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9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elaporte\Desktop\Isaure Files\Revision WD\Replication files\results_files\multilevel multistate event history models\"/>
    </mc:Choice>
  </mc:AlternateContent>
  <xr:revisionPtr revIDLastSave="0" documentId="13_ncr:1_{9BB69314-E5AD-496C-BB4A-DFE03C2778E7}" xr6:coauthVersionLast="47" xr6:coauthVersionMax="47" xr10:uidLastSave="{00000000-0000-0000-0000-000000000000}"/>
  <bookViews>
    <workbookView xWindow="25080" yWindow="375" windowWidth="19440" windowHeight="15000" firstSheet="7" activeTab="8" xr2:uid="{00000000-000D-0000-FFFF-FFFF00000000}"/>
  </bookViews>
  <sheets>
    <sheet name="Outcomes of NRC formal" sheetId="3" r:id="rId1"/>
    <sheet name="Outcomes of RC formal" sheetId="2" r:id="rId2"/>
    <sheet name="Outcomes of RM formal" sheetId="1" r:id="rId3"/>
    <sheet name="Outcomes of NRM formal" sheetId="4" r:id="rId4"/>
    <sheet name="Outcomes of NRC informal" sheetId="8" r:id="rId5"/>
    <sheet name="Outcomes of RC informal" sheetId="9" r:id="rId6"/>
    <sheet name="Outcomes of RM informal" sheetId="6" r:id="rId7"/>
    <sheet name="Outcomes of NRM informal" sheetId="7" r:id="rId8"/>
    <sheet name="Outcomes of out of emp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8" i="1" l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V147" i="1"/>
  <c r="V146" i="1"/>
  <c r="V145" i="1"/>
  <c r="V144" i="1"/>
  <c r="U147" i="1"/>
  <c r="U146" i="1"/>
  <c r="U145" i="1"/>
  <c r="U144" i="1"/>
  <c r="T147" i="1"/>
  <c r="T146" i="1"/>
  <c r="T145" i="1"/>
  <c r="T144" i="1"/>
  <c r="S147" i="1"/>
  <c r="S146" i="1"/>
  <c r="S145" i="1"/>
  <c r="S144" i="1"/>
  <c r="R147" i="1"/>
  <c r="R146" i="1"/>
  <c r="R145" i="1"/>
  <c r="R144" i="1"/>
  <c r="Q147" i="1"/>
  <c r="Q146" i="1"/>
  <c r="Q145" i="1"/>
  <c r="Q144" i="1"/>
  <c r="P147" i="1"/>
  <c r="P146" i="1"/>
  <c r="P145" i="1"/>
  <c r="P144" i="1"/>
  <c r="O147" i="1"/>
  <c r="O146" i="1"/>
  <c r="O145" i="1"/>
  <c r="O144" i="1"/>
  <c r="N147" i="1"/>
  <c r="N146" i="1"/>
  <c r="N145" i="1"/>
  <c r="N144" i="1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U146" i="2"/>
  <c r="U145" i="2"/>
  <c r="U144" i="2"/>
  <c r="U143" i="2"/>
  <c r="T145" i="2"/>
  <c r="T144" i="2"/>
  <c r="T143" i="2"/>
  <c r="S146" i="2"/>
  <c r="S145" i="2"/>
  <c r="S144" i="2"/>
  <c r="S143" i="2"/>
  <c r="R146" i="2"/>
  <c r="R145" i="2"/>
  <c r="R144" i="2"/>
  <c r="R143" i="2"/>
  <c r="Q146" i="2"/>
  <c r="Q145" i="2"/>
  <c r="Q144" i="2"/>
  <c r="Q143" i="2"/>
  <c r="P146" i="2"/>
  <c r="P145" i="2"/>
  <c r="P144" i="2"/>
  <c r="P143" i="2"/>
  <c r="O146" i="2"/>
  <c r="O145" i="2"/>
  <c r="O144" i="2"/>
  <c r="O143" i="2"/>
  <c r="N146" i="2"/>
  <c r="N145" i="2"/>
  <c r="N144" i="2"/>
  <c r="N143" i="2"/>
  <c r="M146" i="2"/>
  <c r="M145" i="2"/>
  <c r="M144" i="2"/>
  <c r="M143" i="2"/>
  <c r="T146" i="2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L458" i="5"/>
  <c r="L457" i="5"/>
  <c r="K458" i="5"/>
  <c r="K457" i="5"/>
  <c r="J458" i="5"/>
  <c r="J457" i="5"/>
  <c r="I458" i="5"/>
  <c r="I457" i="5"/>
  <c r="H458" i="5"/>
  <c r="H457" i="5"/>
  <c r="G458" i="5"/>
  <c r="G457" i="5"/>
  <c r="F458" i="5"/>
  <c r="F457" i="5"/>
  <c r="E458" i="5"/>
  <c r="E457" i="5"/>
  <c r="D458" i="5"/>
  <c r="D457" i="5"/>
  <c r="C458" i="5"/>
  <c r="C457" i="5"/>
  <c r="L456" i="5"/>
  <c r="L455" i="5"/>
  <c r="K456" i="5"/>
  <c r="K455" i="5"/>
  <c r="J456" i="5"/>
  <c r="J455" i="5"/>
  <c r="I456" i="5"/>
  <c r="I455" i="5"/>
  <c r="H456" i="5"/>
  <c r="H455" i="5"/>
  <c r="G456" i="5"/>
  <c r="G455" i="5"/>
  <c r="F456" i="5"/>
  <c r="F455" i="5"/>
  <c r="E456" i="5"/>
  <c r="E455" i="5"/>
  <c r="D456" i="5"/>
  <c r="D455" i="5"/>
  <c r="C456" i="5"/>
  <c r="C455" i="5"/>
  <c r="L342" i="5"/>
  <c r="L341" i="5"/>
  <c r="K342" i="5"/>
  <c r="K341" i="5"/>
  <c r="J342" i="5"/>
  <c r="J341" i="5"/>
  <c r="I342" i="5"/>
  <c r="I341" i="5"/>
  <c r="H342" i="5"/>
  <c r="H341" i="5"/>
  <c r="G342" i="5"/>
  <c r="G341" i="5"/>
  <c r="F342" i="5"/>
  <c r="F341" i="5"/>
  <c r="E342" i="5"/>
  <c r="E341" i="5"/>
  <c r="D342" i="5"/>
  <c r="D341" i="5"/>
  <c r="C342" i="5"/>
  <c r="C341" i="5"/>
  <c r="L340" i="5"/>
  <c r="L339" i="5"/>
  <c r="K340" i="5"/>
  <c r="K339" i="5"/>
  <c r="J340" i="5"/>
  <c r="J339" i="5"/>
  <c r="I340" i="5"/>
  <c r="I339" i="5"/>
  <c r="H340" i="5"/>
  <c r="H339" i="5"/>
  <c r="G340" i="5"/>
  <c r="G339" i="5"/>
  <c r="F340" i="5"/>
  <c r="F339" i="5"/>
  <c r="E340" i="5"/>
  <c r="E339" i="5"/>
  <c r="D340" i="5"/>
  <c r="D339" i="5"/>
  <c r="C340" i="5"/>
  <c r="C339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L251" i="5"/>
  <c r="L250" i="5"/>
  <c r="K251" i="5"/>
  <c r="K250" i="5"/>
  <c r="J251" i="5"/>
  <c r="J250" i="5"/>
  <c r="I251" i="5"/>
  <c r="I250" i="5"/>
  <c r="H251" i="5"/>
  <c r="H250" i="5"/>
  <c r="G251" i="5"/>
  <c r="G250" i="5"/>
  <c r="F251" i="5"/>
  <c r="F250" i="5"/>
  <c r="E251" i="5"/>
  <c r="E250" i="5"/>
  <c r="D251" i="5"/>
  <c r="D250" i="5"/>
  <c r="C251" i="5"/>
  <c r="C250" i="5"/>
  <c r="L249" i="5"/>
  <c r="L248" i="5"/>
  <c r="K249" i="5"/>
  <c r="K248" i="5"/>
  <c r="J249" i="5"/>
  <c r="J248" i="5"/>
  <c r="I249" i="5"/>
  <c r="I248" i="5"/>
  <c r="H249" i="5"/>
  <c r="H248" i="5"/>
  <c r="G249" i="5"/>
  <c r="G248" i="5"/>
  <c r="F249" i="5"/>
  <c r="F248" i="5"/>
  <c r="E249" i="5"/>
  <c r="E248" i="5"/>
  <c r="D249" i="5"/>
  <c r="D248" i="5"/>
  <c r="C249" i="5"/>
  <c r="C248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L154" i="5"/>
  <c r="L153" i="5"/>
  <c r="L152" i="5"/>
  <c r="L151" i="5"/>
  <c r="K154" i="5"/>
  <c r="K153" i="5"/>
  <c r="K152" i="5"/>
  <c r="K151" i="5"/>
  <c r="J154" i="5"/>
  <c r="J153" i="5"/>
  <c r="J152" i="5"/>
  <c r="J151" i="5"/>
  <c r="I154" i="5"/>
  <c r="I153" i="5"/>
  <c r="I152" i="5"/>
  <c r="I151" i="5"/>
  <c r="H154" i="5"/>
  <c r="H153" i="5"/>
  <c r="H152" i="5"/>
  <c r="H151" i="5"/>
  <c r="G154" i="5"/>
  <c r="G153" i="5"/>
  <c r="G152" i="5"/>
  <c r="G151" i="5"/>
  <c r="F154" i="5"/>
  <c r="F153" i="5"/>
  <c r="F152" i="5"/>
  <c r="F151" i="5"/>
  <c r="E154" i="5"/>
  <c r="E153" i="5"/>
  <c r="E152" i="5"/>
  <c r="E151" i="5"/>
  <c r="D154" i="5"/>
  <c r="D153" i="5"/>
  <c r="D152" i="5"/>
  <c r="D151" i="5"/>
  <c r="C154" i="5"/>
  <c r="C153" i="5"/>
  <c r="C152" i="5"/>
  <c r="C151" i="5"/>
  <c r="L56" i="5"/>
  <c r="L55" i="5"/>
  <c r="L54" i="5"/>
  <c r="L53" i="5"/>
  <c r="K56" i="5"/>
  <c r="K55" i="5"/>
  <c r="K54" i="5"/>
  <c r="K53" i="5"/>
  <c r="J56" i="5"/>
  <c r="J55" i="5"/>
  <c r="J54" i="5"/>
  <c r="J53" i="5"/>
  <c r="I56" i="5"/>
  <c r="I55" i="5"/>
  <c r="I54" i="5"/>
  <c r="I53" i="5"/>
  <c r="H56" i="5"/>
  <c r="H55" i="5"/>
  <c r="H54" i="5"/>
  <c r="H53" i="5"/>
  <c r="G56" i="5"/>
  <c r="G55" i="5"/>
  <c r="G54" i="5"/>
  <c r="G53" i="5"/>
  <c r="F56" i="5"/>
  <c r="F55" i="5"/>
  <c r="F54" i="5"/>
  <c r="F53" i="5"/>
  <c r="E56" i="5"/>
  <c r="E55" i="5"/>
  <c r="E54" i="5"/>
  <c r="E53" i="5"/>
  <c r="D56" i="5"/>
  <c r="D55" i="5"/>
  <c r="D54" i="5"/>
  <c r="D53" i="5"/>
  <c r="C56" i="5"/>
  <c r="C55" i="5"/>
  <c r="C54" i="5"/>
  <c r="C53" i="5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8" i="7"/>
  <c r="G377" i="7"/>
  <c r="G376" i="7"/>
  <c r="G375" i="7"/>
  <c r="G374" i="7"/>
  <c r="G373" i="7"/>
  <c r="G372" i="7"/>
  <c r="G371" i="7"/>
  <c r="G370" i="7"/>
  <c r="G369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8" i="7"/>
  <c r="F377" i="7"/>
  <c r="F376" i="7"/>
  <c r="F375" i="7"/>
  <c r="F374" i="7"/>
  <c r="F373" i="7"/>
  <c r="F372" i="7"/>
  <c r="F371" i="7"/>
  <c r="F370" i="7"/>
  <c r="F369" i="7"/>
  <c r="K431" i="7"/>
  <c r="K430" i="7"/>
  <c r="J431" i="7"/>
  <c r="J430" i="7"/>
  <c r="I431" i="7"/>
  <c r="I430" i="7"/>
  <c r="H431" i="7"/>
  <c r="H430" i="7"/>
  <c r="G431" i="7"/>
  <c r="G430" i="7"/>
  <c r="F431" i="7"/>
  <c r="F430" i="7"/>
  <c r="E431" i="7"/>
  <c r="E430" i="7"/>
  <c r="D431" i="7"/>
  <c r="D430" i="7"/>
  <c r="C431" i="7"/>
  <c r="C430" i="7"/>
  <c r="K429" i="7"/>
  <c r="K428" i="7"/>
  <c r="J429" i="7"/>
  <c r="J428" i="7"/>
  <c r="I429" i="7"/>
  <c r="I428" i="7"/>
  <c r="H429" i="7"/>
  <c r="H428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7" i="7"/>
  <c r="G286" i="7"/>
  <c r="G285" i="7"/>
  <c r="G284" i="7"/>
  <c r="G283" i="7"/>
  <c r="G282" i="7"/>
  <c r="G281" i="7"/>
  <c r="G280" i="7"/>
  <c r="G279" i="7"/>
  <c r="G278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7" i="7"/>
  <c r="F286" i="7"/>
  <c r="F285" i="7"/>
  <c r="F284" i="7"/>
  <c r="F283" i="7"/>
  <c r="F282" i="7"/>
  <c r="F281" i="7"/>
  <c r="F280" i="7"/>
  <c r="F279" i="7"/>
  <c r="F278" i="7"/>
  <c r="K322" i="7"/>
  <c r="K321" i="7"/>
  <c r="J322" i="7"/>
  <c r="J321" i="7"/>
  <c r="I322" i="7"/>
  <c r="I321" i="7"/>
  <c r="H322" i="7"/>
  <c r="H321" i="7"/>
  <c r="G322" i="7"/>
  <c r="G321" i="7"/>
  <c r="F322" i="7"/>
  <c r="F321" i="7"/>
  <c r="E322" i="7"/>
  <c r="E321" i="7"/>
  <c r="D322" i="7"/>
  <c r="D321" i="7"/>
  <c r="C322" i="7"/>
  <c r="C321" i="7"/>
  <c r="K320" i="7"/>
  <c r="K319" i="7"/>
  <c r="J320" i="7"/>
  <c r="J319" i="7"/>
  <c r="I320" i="7"/>
  <c r="I319" i="7"/>
  <c r="H320" i="7"/>
  <c r="H319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3" i="7"/>
  <c r="G202" i="7"/>
  <c r="G201" i="7"/>
  <c r="G200" i="7"/>
  <c r="G199" i="7"/>
  <c r="G198" i="7"/>
  <c r="G197" i="7"/>
  <c r="G196" i="7"/>
  <c r="G195" i="7"/>
  <c r="G194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3" i="7"/>
  <c r="F202" i="7"/>
  <c r="F201" i="7"/>
  <c r="F200" i="7"/>
  <c r="F199" i="7"/>
  <c r="F198" i="7"/>
  <c r="F197" i="7"/>
  <c r="F196" i="7"/>
  <c r="F195" i="7"/>
  <c r="F194" i="7"/>
  <c r="K238" i="7"/>
  <c r="K237" i="7"/>
  <c r="J238" i="7"/>
  <c r="J237" i="7"/>
  <c r="I238" i="7"/>
  <c r="I237" i="7"/>
  <c r="H238" i="7"/>
  <c r="H237" i="7"/>
  <c r="G238" i="7"/>
  <c r="G237" i="7"/>
  <c r="F238" i="7"/>
  <c r="F237" i="7"/>
  <c r="E238" i="7"/>
  <c r="E237" i="7"/>
  <c r="D238" i="7"/>
  <c r="D237" i="7"/>
  <c r="C238" i="7"/>
  <c r="C237" i="7"/>
  <c r="K236" i="7"/>
  <c r="K235" i="7"/>
  <c r="J236" i="7"/>
  <c r="J235" i="7"/>
  <c r="I236" i="7"/>
  <c r="I235" i="7"/>
  <c r="H236" i="7"/>
  <c r="H235" i="7"/>
  <c r="J146" i="7"/>
  <c r="J145" i="7"/>
  <c r="J144" i="7"/>
  <c r="J143" i="7"/>
  <c r="I146" i="7"/>
  <c r="I145" i="7"/>
  <c r="I144" i="7"/>
  <c r="I143" i="7"/>
  <c r="H146" i="7"/>
  <c r="H145" i="7"/>
  <c r="H144" i="7"/>
  <c r="H143" i="7"/>
  <c r="G146" i="7"/>
  <c r="G145" i="7"/>
  <c r="G144" i="7"/>
  <c r="G143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J52" i="7"/>
  <c r="J51" i="7"/>
  <c r="J50" i="7"/>
  <c r="J49" i="7"/>
  <c r="I52" i="7"/>
  <c r="I51" i="7"/>
  <c r="I50" i="7"/>
  <c r="I49" i="7"/>
  <c r="H52" i="7"/>
  <c r="H51" i="7"/>
  <c r="H50" i="7"/>
  <c r="H49" i="7"/>
  <c r="G52" i="7"/>
  <c r="G51" i="7"/>
  <c r="G50" i="7"/>
  <c r="G49" i="7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4" i="6"/>
  <c r="G383" i="6"/>
  <c r="G382" i="6"/>
  <c r="G381" i="6"/>
  <c r="G380" i="6"/>
  <c r="G379" i="6"/>
  <c r="G378" i="6"/>
  <c r="G377" i="6"/>
  <c r="G376" i="6"/>
  <c r="G375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4" i="6"/>
  <c r="F383" i="6"/>
  <c r="F382" i="6"/>
  <c r="F381" i="6"/>
  <c r="F380" i="6"/>
  <c r="F379" i="6"/>
  <c r="F378" i="6"/>
  <c r="F377" i="6"/>
  <c r="F376" i="6"/>
  <c r="F375" i="6"/>
  <c r="K437" i="6"/>
  <c r="K436" i="6"/>
  <c r="J437" i="6"/>
  <c r="J436" i="6"/>
  <c r="I437" i="6"/>
  <c r="I436" i="6"/>
  <c r="H437" i="6"/>
  <c r="H436" i="6"/>
  <c r="G437" i="6"/>
  <c r="G436" i="6"/>
  <c r="F437" i="6"/>
  <c r="F436" i="6"/>
  <c r="E437" i="6"/>
  <c r="E436" i="6"/>
  <c r="D437" i="6"/>
  <c r="D436" i="6"/>
  <c r="C437" i="6"/>
  <c r="C436" i="6"/>
  <c r="K435" i="6"/>
  <c r="K434" i="6"/>
  <c r="J435" i="6"/>
  <c r="J434" i="6"/>
  <c r="I435" i="6"/>
  <c r="I434" i="6"/>
  <c r="H435" i="6"/>
  <c r="H434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1" i="6"/>
  <c r="G290" i="6"/>
  <c r="G289" i="6"/>
  <c r="G288" i="6"/>
  <c r="G287" i="6"/>
  <c r="G286" i="6"/>
  <c r="G285" i="6"/>
  <c r="G284" i="6"/>
  <c r="G283" i="6"/>
  <c r="G282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1" i="6"/>
  <c r="F290" i="6"/>
  <c r="F289" i="6"/>
  <c r="F288" i="6"/>
  <c r="F287" i="6"/>
  <c r="F286" i="6"/>
  <c r="F285" i="6"/>
  <c r="F284" i="6"/>
  <c r="F283" i="6"/>
  <c r="F282" i="6"/>
  <c r="K326" i="6"/>
  <c r="K325" i="6"/>
  <c r="J326" i="6"/>
  <c r="J325" i="6"/>
  <c r="I326" i="6"/>
  <c r="I325" i="6"/>
  <c r="H326" i="6"/>
  <c r="H325" i="6"/>
  <c r="G326" i="6"/>
  <c r="G325" i="6"/>
  <c r="F326" i="6"/>
  <c r="F325" i="6"/>
  <c r="E326" i="6"/>
  <c r="E325" i="6"/>
  <c r="D326" i="6"/>
  <c r="D325" i="6"/>
  <c r="C326" i="6"/>
  <c r="C325" i="6"/>
  <c r="K324" i="6"/>
  <c r="K323" i="6"/>
  <c r="J324" i="6"/>
  <c r="J323" i="6"/>
  <c r="I324" i="6"/>
  <c r="I323" i="6"/>
  <c r="H324" i="6"/>
  <c r="H323" i="6"/>
  <c r="G324" i="6"/>
  <c r="G323" i="6"/>
  <c r="F324" i="6"/>
  <c r="F323" i="6"/>
  <c r="E324" i="6"/>
  <c r="E323" i="6"/>
  <c r="D324" i="6"/>
  <c r="D323" i="6"/>
  <c r="C324" i="6"/>
  <c r="C32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6" i="6"/>
  <c r="G205" i="6"/>
  <c r="G204" i="6"/>
  <c r="G203" i="6"/>
  <c r="G202" i="6"/>
  <c r="G201" i="6"/>
  <c r="G200" i="6"/>
  <c r="G199" i="6"/>
  <c r="G198" i="6"/>
  <c r="G197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6" i="6"/>
  <c r="F205" i="6"/>
  <c r="F204" i="6"/>
  <c r="F203" i="6"/>
  <c r="F202" i="6"/>
  <c r="F201" i="6"/>
  <c r="F200" i="6"/>
  <c r="F199" i="6"/>
  <c r="F198" i="6"/>
  <c r="F197" i="6"/>
  <c r="K241" i="6"/>
  <c r="K240" i="6"/>
  <c r="J241" i="6"/>
  <c r="J240" i="6"/>
  <c r="I241" i="6"/>
  <c r="I240" i="6"/>
  <c r="H241" i="6"/>
  <c r="H240" i="6"/>
  <c r="G241" i="6"/>
  <c r="G240" i="6"/>
  <c r="F241" i="6"/>
  <c r="F240" i="6"/>
  <c r="E241" i="6"/>
  <c r="E240" i="6"/>
  <c r="D241" i="6"/>
  <c r="D240" i="6"/>
  <c r="C241" i="6"/>
  <c r="C240" i="6"/>
  <c r="K239" i="6"/>
  <c r="K238" i="6"/>
  <c r="J239" i="6"/>
  <c r="J238" i="6"/>
  <c r="I239" i="6"/>
  <c r="I238" i="6"/>
  <c r="H239" i="6"/>
  <c r="H238" i="6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89" i="9"/>
  <c r="G288" i="9"/>
  <c r="G287" i="9"/>
  <c r="G286" i="9"/>
  <c r="G285" i="9"/>
  <c r="G284" i="9"/>
  <c r="G283" i="9"/>
  <c r="G282" i="9"/>
  <c r="G281" i="9"/>
  <c r="G280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89" i="9"/>
  <c r="F288" i="9"/>
  <c r="F287" i="9"/>
  <c r="F286" i="9"/>
  <c r="F285" i="9"/>
  <c r="F284" i="9"/>
  <c r="F283" i="9"/>
  <c r="F282" i="9"/>
  <c r="F281" i="9"/>
  <c r="F280" i="9"/>
  <c r="H322" i="9"/>
  <c r="H321" i="9"/>
  <c r="G322" i="9"/>
  <c r="G321" i="9"/>
  <c r="F322" i="9"/>
  <c r="F321" i="9"/>
  <c r="E322" i="9"/>
  <c r="E321" i="9"/>
  <c r="D322" i="9"/>
  <c r="D321" i="9"/>
  <c r="C322" i="9"/>
  <c r="C321" i="9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3" i="8"/>
  <c r="G382" i="8"/>
  <c r="G381" i="8"/>
  <c r="G380" i="8"/>
  <c r="G379" i="8"/>
  <c r="G378" i="8"/>
  <c r="G377" i="8"/>
  <c r="G376" i="8"/>
  <c r="G375" i="8"/>
  <c r="G374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3" i="8"/>
  <c r="F382" i="8"/>
  <c r="F381" i="8"/>
  <c r="F380" i="8"/>
  <c r="F379" i="8"/>
  <c r="F378" i="8"/>
  <c r="F377" i="8"/>
  <c r="F376" i="8"/>
  <c r="F375" i="8"/>
  <c r="F374" i="8"/>
  <c r="J436" i="8"/>
  <c r="K436" i="8"/>
  <c r="K435" i="8"/>
  <c r="J435" i="8"/>
  <c r="I436" i="8"/>
  <c r="I435" i="8"/>
  <c r="H436" i="8"/>
  <c r="H435" i="8"/>
  <c r="G436" i="8"/>
  <c r="G435" i="8"/>
  <c r="F436" i="8"/>
  <c r="F435" i="8"/>
  <c r="E436" i="8"/>
  <c r="E435" i="8"/>
  <c r="D436" i="8"/>
  <c r="D435" i="8"/>
  <c r="C436" i="8"/>
  <c r="C435" i="8"/>
  <c r="K434" i="8"/>
  <c r="K433" i="8"/>
  <c r="J434" i="8"/>
  <c r="J433" i="8"/>
  <c r="I434" i="8"/>
  <c r="I433" i="8"/>
  <c r="H434" i="8"/>
  <c r="H433" i="8"/>
  <c r="G434" i="8"/>
  <c r="G433" i="8"/>
  <c r="F434" i="8"/>
  <c r="F433" i="8"/>
  <c r="E434" i="8"/>
  <c r="E433" i="8"/>
  <c r="D434" i="8"/>
  <c r="D433" i="8"/>
  <c r="C434" i="8"/>
  <c r="C433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0" i="8"/>
  <c r="G289" i="8"/>
  <c r="G288" i="8"/>
  <c r="G287" i="8"/>
  <c r="G286" i="8"/>
  <c r="G285" i="8"/>
  <c r="G284" i="8"/>
  <c r="G283" i="8"/>
  <c r="G282" i="8"/>
  <c r="G281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0" i="8"/>
  <c r="F289" i="8"/>
  <c r="F288" i="8"/>
  <c r="F287" i="8"/>
  <c r="F286" i="8"/>
  <c r="F285" i="8"/>
  <c r="F284" i="8"/>
  <c r="F283" i="8"/>
  <c r="F282" i="8"/>
  <c r="F281" i="8"/>
  <c r="H323" i="8"/>
  <c r="H322" i="8"/>
  <c r="G323" i="8"/>
  <c r="G322" i="8"/>
  <c r="F323" i="8"/>
  <c r="F322" i="8"/>
  <c r="E323" i="8"/>
  <c r="E322" i="8"/>
  <c r="D323" i="8"/>
  <c r="D322" i="8"/>
  <c r="C323" i="8"/>
  <c r="C322" i="8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89" i="4"/>
  <c r="G288" i="4"/>
  <c r="G287" i="4"/>
  <c r="G286" i="4"/>
  <c r="G285" i="4"/>
  <c r="G284" i="4"/>
  <c r="G283" i="4"/>
  <c r="G282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89" i="4"/>
  <c r="F288" i="4"/>
  <c r="F287" i="4"/>
  <c r="F286" i="4"/>
  <c r="F285" i="4"/>
  <c r="F284" i="4"/>
  <c r="F283" i="4"/>
  <c r="F282" i="4"/>
  <c r="K326" i="4"/>
  <c r="K325" i="4"/>
  <c r="J326" i="4"/>
  <c r="J325" i="4"/>
  <c r="I326" i="4"/>
  <c r="I325" i="4"/>
  <c r="H326" i="4"/>
  <c r="H325" i="4"/>
  <c r="G326" i="4"/>
  <c r="G325" i="4"/>
  <c r="F326" i="4"/>
  <c r="F325" i="4"/>
  <c r="E326" i="4"/>
  <c r="E325" i="4"/>
  <c r="D326" i="4"/>
  <c r="D325" i="4"/>
  <c r="C326" i="4"/>
  <c r="C325" i="4"/>
  <c r="K324" i="4"/>
  <c r="K323" i="4"/>
  <c r="J324" i="4"/>
  <c r="J323" i="4"/>
  <c r="I324" i="4"/>
  <c r="I323" i="4"/>
  <c r="H324" i="4"/>
  <c r="H323" i="4"/>
  <c r="G324" i="4"/>
  <c r="G323" i="4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0" i="1"/>
  <c r="G289" i="1"/>
  <c r="G288" i="1"/>
  <c r="G287" i="1"/>
  <c r="G286" i="1"/>
  <c r="G285" i="1"/>
  <c r="G284" i="1"/>
  <c r="G283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2" i="1"/>
  <c r="F293" i="1"/>
  <c r="F290" i="1"/>
  <c r="F289" i="1"/>
  <c r="F288" i="1"/>
  <c r="F287" i="1"/>
  <c r="F286" i="1"/>
  <c r="F285" i="1"/>
  <c r="F284" i="1"/>
  <c r="F283" i="1"/>
  <c r="K327" i="1"/>
  <c r="K326" i="1"/>
  <c r="J327" i="1"/>
  <c r="J326" i="1"/>
  <c r="I327" i="1"/>
  <c r="I326" i="1"/>
  <c r="H327" i="1"/>
  <c r="H326" i="1"/>
  <c r="G327" i="1"/>
  <c r="G326" i="1"/>
  <c r="F327" i="1"/>
  <c r="F326" i="1"/>
  <c r="E327" i="1"/>
  <c r="E326" i="1"/>
  <c r="D327" i="1"/>
  <c r="D326" i="1"/>
  <c r="C327" i="1"/>
  <c r="C326" i="1"/>
  <c r="K325" i="1"/>
  <c r="K324" i="1"/>
  <c r="J325" i="1"/>
  <c r="J324" i="1"/>
  <c r="I325" i="1"/>
  <c r="I324" i="1"/>
  <c r="H325" i="1"/>
  <c r="H324" i="1"/>
  <c r="G325" i="1"/>
  <c r="G324" i="1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3" i="3"/>
  <c r="G382" i="3"/>
  <c r="G381" i="3"/>
  <c r="G380" i="3"/>
  <c r="G379" i="3"/>
  <c r="G378" i="3"/>
  <c r="G377" i="3"/>
  <c r="G376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3" i="3"/>
  <c r="F382" i="3"/>
  <c r="F381" i="3"/>
  <c r="F380" i="3"/>
  <c r="F379" i="3"/>
  <c r="F378" i="3"/>
  <c r="F377" i="3"/>
  <c r="F376" i="3"/>
  <c r="K438" i="3"/>
  <c r="K437" i="3"/>
  <c r="J438" i="3"/>
  <c r="J437" i="3"/>
  <c r="I438" i="3"/>
  <c r="I437" i="3"/>
  <c r="H438" i="3"/>
  <c r="H437" i="3"/>
  <c r="G438" i="3"/>
  <c r="G437" i="3"/>
  <c r="F438" i="3"/>
  <c r="F437" i="3"/>
  <c r="E438" i="3"/>
  <c r="E437" i="3"/>
  <c r="D438" i="3"/>
  <c r="D437" i="3"/>
  <c r="C438" i="3"/>
  <c r="C437" i="3"/>
  <c r="K436" i="3"/>
  <c r="K435" i="3"/>
  <c r="J436" i="3"/>
  <c r="J435" i="3"/>
  <c r="I436" i="3"/>
  <c r="I435" i="3"/>
  <c r="H436" i="3"/>
  <c r="H435" i="3"/>
  <c r="G436" i="3"/>
  <c r="G435" i="3"/>
  <c r="G425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7" i="9"/>
  <c r="G406" i="9"/>
  <c r="G405" i="9"/>
  <c r="G404" i="9"/>
  <c r="G403" i="9"/>
  <c r="G402" i="9"/>
  <c r="G401" i="9"/>
  <c r="G400" i="9"/>
  <c r="G399" i="9"/>
  <c r="G398" i="9"/>
  <c r="G397" i="9"/>
  <c r="G396" i="9"/>
  <c r="G395" i="9"/>
  <c r="G394" i="9"/>
  <c r="G393" i="9"/>
  <c r="G392" i="9"/>
  <c r="G391" i="9"/>
  <c r="G390" i="9"/>
  <c r="G389" i="9"/>
  <c r="G388" i="9"/>
  <c r="G387" i="9"/>
  <c r="G386" i="9"/>
  <c r="G385" i="9"/>
  <c r="G384" i="9"/>
  <c r="G383" i="9"/>
  <c r="G381" i="9"/>
  <c r="G380" i="9"/>
  <c r="G379" i="9"/>
  <c r="G378" i="9"/>
  <c r="G377" i="9"/>
  <c r="G376" i="9"/>
  <c r="G375" i="9"/>
  <c r="G374" i="9"/>
  <c r="G373" i="9"/>
  <c r="G372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1" i="9"/>
  <c r="F380" i="9"/>
  <c r="F379" i="9"/>
  <c r="F378" i="9"/>
  <c r="F377" i="9"/>
  <c r="F376" i="9"/>
  <c r="F375" i="9"/>
  <c r="F374" i="9"/>
  <c r="F373" i="9"/>
  <c r="F372" i="9"/>
  <c r="K434" i="9"/>
  <c r="K433" i="9"/>
  <c r="J434" i="9"/>
  <c r="J433" i="9"/>
  <c r="I434" i="9"/>
  <c r="I433" i="9"/>
  <c r="H434" i="9"/>
  <c r="H433" i="9"/>
  <c r="G434" i="9"/>
  <c r="G433" i="9"/>
  <c r="F434" i="9"/>
  <c r="F433" i="9"/>
  <c r="E434" i="9"/>
  <c r="E433" i="9"/>
  <c r="D434" i="9"/>
  <c r="D433" i="9"/>
  <c r="C434" i="9"/>
  <c r="C433" i="9"/>
  <c r="K432" i="9"/>
  <c r="K431" i="9"/>
  <c r="J432" i="9"/>
  <c r="J431" i="9"/>
  <c r="I432" i="9"/>
  <c r="I431" i="9"/>
  <c r="H432" i="9"/>
  <c r="H431" i="9"/>
  <c r="K324" i="9"/>
  <c r="K323" i="9"/>
  <c r="J324" i="9"/>
  <c r="J323" i="9"/>
  <c r="I324" i="9"/>
  <c r="I323" i="9"/>
  <c r="H324" i="9"/>
  <c r="H323" i="9"/>
  <c r="G324" i="9"/>
  <c r="G323" i="9"/>
  <c r="F324" i="9"/>
  <c r="F323" i="9"/>
  <c r="E324" i="9"/>
  <c r="E323" i="9"/>
  <c r="D324" i="9"/>
  <c r="D323" i="9"/>
  <c r="C324" i="9"/>
  <c r="C323" i="9"/>
  <c r="K322" i="9"/>
  <c r="K321" i="9"/>
  <c r="J322" i="9"/>
  <c r="J321" i="9"/>
  <c r="I322" i="9"/>
  <c r="I321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5" i="9"/>
  <c r="G204" i="9"/>
  <c r="G203" i="9"/>
  <c r="G202" i="9"/>
  <c r="G201" i="9"/>
  <c r="G200" i="9"/>
  <c r="G199" i="9"/>
  <c r="G198" i="9"/>
  <c r="G197" i="9"/>
  <c r="G196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5" i="9"/>
  <c r="F204" i="9"/>
  <c r="F203" i="9"/>
  <c r="F202" i="9"/>
  <c r="F201" i="9"/>
  <c r="F200" i="9"/>
  <c r="F199" i="9"/>
  <c r="F198" i="9"/>
  <c r="F197" i="9"/>
  <c r="F196" i="9"/>
  <c r="K240" i="9"/>
  <c r="K239" i="9"/>
  <c r="J240" i="9"/>
  <c r="J239" i="9"/>
  <c r="I240" i="9"/>
  <c r="I239" i="9"/>
  <c r="H240" i="9"/>
  <c r="H239" i="9"/>
  <c r="G240" i="9"/>
  <c r="G239" i="9"/>
  <c r="F240" i="9"/>
  <c r="F239" i="9"/>
  <c r="E240" i="9"/>
  <c r="E239" i="9"/>
  <c r="D240" i="9"/>
  <c r="D239" i="9"/>
  <c r="C240" i="9"/>
  <c r="C239" i="9"/>
  <c r="K238" i="9"/>
  <c r="K237" i="9"/>
  <c r="J238" i="9"/>
  <c r="J237" i="9"/>
  <c r="I238" i="9"/>
  <c r="I237" i="9"/>
  <c r="H238" i="9"/>
  <c r="H237" i="9"/>
  <c r="K325" i="8"/>
  <c r="K324" i="8"/>
  <c r="J325" i="8"/>
  <c r="J324" i="8"/>
  <c r="I325" i="8"/>
  <c r="I324" i="8"/>
  <c r="H325" i="8"/>
  <c r="H324" i="8"/>
  <c r="G325" i="8"/>
  <c r="G324" i="8"/>
  <c r="F325" i="8"/>
  <c r="F324" i="8"/>
  <c r="E325" i="8"/>
  <c r="E324" i="8"/>
  <c r="D325" i="8"/>
  <c r="D324" i="8"/>
  <c r="C325" i="8"/>
  <c r="C324" i="8"/>
  <c r="K323" i="8"/>
  <c r="K322" i="8"/>
  <c r="J323" i="8"/>
  <c r="J322" i="8"/>
  <c r="I323" i="8"/>
  <c r="I322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6" i="8"/>
  <c r="G205" i="8"/>
  <c r="G204" i="8"/>
  <c r="G203" i="8"/>
  <c r="G202" i="8"/>
  <c r="G201" i="8"/>
  <c r="G200" i="8"/>
  <c r="G199" i="8"/>
  <c r="G198" i="8"/>
  <c r="G197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6" i="8"/>
  <c r="F205" i="8"/>
  <c r="F204" i="8"/>
  <c r="F203" i="8"/>
  <c r="F202" i="8"/>
  <c r="F201" i="8"/>
  <c r="F200" i="8"/>
  <c r="F199" i="8"/>
  <c r="F198" i="8"/>
  <c r="F197" i="8"/>
  <c r="K241" i="8"/>
  <c r="K240" i="8"/>
  <c r="J241" i="8"/>
  <c r="J240" i="8"/>
  <c r="I241" i="8"/>
  <c r="I240" i="8"/>
  <c r="H241" i="8"/>
  <c r="H240" i="8"/>
  <c r="G241" i="8"/>
  <c r="G240" i="8"/>
  <c r="F241" i="8"/>
  <c r="F240" i="8"/>
  <c r="E241" i="8"/>
  <c r="E240" i="8"/>
  <c r="D241" i="8"/>
  <c r="D240" i="8"/>
  <c r="C241" i="8"/>
  <c r="C240" i="8"/>
  <c r="K239" i="8"/>
  <c r="K238" i="8"/>
  <c r="J239" i="8"/>
  <c r="J238" i="8"/>
  <c r="I239" i="8"/>
  <c r="I238" i="8"/>
  <c r="H239" i="8"/>
  <c r="H238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132" i="8"/>
  <c r="G132" i="8"/>
  <c r="F133" i="8"/>
  <c r="G133" i="8"/>
  <c r="F134" i="8"/>
  <c r="G134" i="8"/>
  <c r="F135" i="8"/>
  <c r="G135" i="8"/>
  <c r="F136" i="8"/>
  <c r="G136" i="8"/>
  <c r="F137" i="8"/>
  <c r="G137" i="8"/>
  <c r="G239" i="6"/>
  <c r="G238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K147" i="6"/>
  <c r="K146" i="6"/>
  <c r="K145" i="6"/>
  <c r="K144" i="6"/>
  <c r="J147" i="6"/>
  <c r="J146" i="6"/>
  <c r="J145" i="6"/>
  <c r="J144" i="6"/>
  <c r="I147" i="6"/>
  <c r="I146" i="6"/>
  <c r="I145" i="6"/>
  <c r="I144" i="6"/>
  <c r="H147" i="6"/>
  <c r="H146" i="6"/>
  <c r="H145" i="6"/>
  <c r="H144" i="6"/>
  <c r="K52" i="6"/>
  <c r="K51" i="6"/>
  <c r="K50" i="6"/>
  <c r="K49" i="6"/>
  <c r="J52" i="6"/>
  <c r="J51" i="6"/>
  <c r="J50" i="6"/>
  <c r="J49" i="6"/>
  <c r="I52" i="6"/>
  <c r="I51" i="6"/>
  <c r="I50" i="6"/>
  <c r="I49" i="6"/>
  <c r="H52" i="6"/>
  <c r="H51" i="6"/>
  <c r="H50" i="6"/>
  <c r="H49" i="6"/>
  <c r="G432" i="9"/>
  <c r="G431" i="9"/>
  <c r="G238" i="9"/>
  <c r="G237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J147" i="9"/>
  <c r="J146" i="9"/>
  <c r="J145" i="9"/>
  <c r="J144" i="9"/>
  <c r="I147" i="9"/>
  <c r="I146" i="9"/>
  <c r="I145" i="9"/>
  <c r="I144" i="9"/>
  <c r="H147" i="9"/>
  <c r="H146" i="9"/>
  <c r="H145" i="9"/>
  <c r="H144" i="9"/>
  <c r="G147" i="9"/>
  <c r="G146" i="9"/>
  <c r="G145" i="9"/>
  <c r="G144" i="9"/>
  <c r="J52" i="9"/>
  <c r="J51" i="9"/>
  <c r="J50" i="9"/>
  <c r="J49" i="9"/>
  <c r="I52" i="9"/>
  <c r="I51" i="9"/>
  <c r="I50" i="9"/>
  <c r="I49" i="9"/>
  <c r="H52" i="9"/>
  <c r="H51" i="9"/>
  <c r="H50" i="9"/>
  <c r="H49" i="9"/>
  <c r="G52" i="9"/>
  <c r="G51" i="9"/>
  <c r="G50" i="9"/>
  <c r="G49" i="9"/>
  <c r="G239" i="8"/>
  <c r="G238" i="8"/>
  <c r="J146" i="8"/>
  <c r="J145" i="8"/>
  <c r="J144" i="8"/>
  <c r="J143" i="8"/>
  <c r="I146" i="8"/>
  <c r="I145" i="8"/>
  <c r="I144" i="8"/>
  <c r="I143" i="8"/>
  <c r="H146" i="8"/>
  <c r="H145" i="8"/>
  <c r="H144" i="8"/>
  <c r="H143" i="8"/>
  <c r="G146" i="8"/>
  <c r="G145" i="8"/>
  <c r="G144" i="8"/>
  <c r="G143" i="8"/>
  <c r="J52" i="8"/>
  <c r="J51" i="8"/>
  <c r="J50" i="8"/>
  <c r="J49" i="8"/>
  <c r="I52" i="8"/>
  <c r="I51" i="8"/>
  <c r="I50" i="8"/>
  <c r="I49" i="8"/>
  <c r="H52" i="8"/>
  <c r="H51" i="8"/>
  <c r="H50" i="8"/>
  <c r="H49" i="8"/>
  <c r="G52" i="8"/>
  <c r="G51" i="8"/>
  <c r="G50" i="8"/>
  <c r="G49" i="8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0" i="4"/>
  <c r="G379" i="4"/>
  <c r="G378" i="4"/>
  <c r="G377" i="4"/>
  <c r="G376" i="4"/>
  <c r="G375" i="4"/>
  <c r="G374" i="4"/>
  <c r="G373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0" i="4"/>
  <c r="F379" i="4"/>
  <c r="F378" i="4"/>
  <c r="F377" i="4"/>
  <c r="F376" i="4"/>
  <c r="F375" i="4"/>
  <c r="F374" i="4"/>
  <c r="F373" i="4"/>
  <c r="K435" i="4"/>
  <c r="K434" i="4"/>
  <c r="J435" i="4"/>
  <c r="J434" i="4"/>
  <c r="I435" i="4"/>
  <c r="I434" i="4"/>
  <c r="H435" i="4"/>
  <c r="H434" i="4"/>
  <c r="G435" i="4"/>
  <c r="G434" i="4"/>
  <c r="F435" i="4"/>
  <c r="F434" i="4"/>
  <c r="E435" i="4"/>
  <c r="E434" i="4"/>
  <c r="D435" i="4"/>
  <c r="D434" i="4"/>
  <c r="C435" i="4"/>
  <c r="C434" i="4"/>
  <c r="K433" i="4"/>
  <c r="K432" i="4"/>
  <c r="J433" i="4"/>
  <c r="J432" i="4"/>
  <c r="I433" i="4"/>
  <c r="I432" i="4"/>
  <c r="H433" i="4"/>
  <c r="H432" i="4"/>
  <c r="G433" i="4"/>
  <c r="G432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2" i="4"/>
  <c r="G201" i="4"/>
  <c r="G200" i="4"/>
  <c r="G199" i="4"/>
  <c r="G198" i="4"/>
  <c r="G197" i="4"/>
  <c r="G196" i="4"/>
  <c r="G195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2" i="4"/>
  <c r="F201" i="4"/>
  <c r="F200" i="4"/>
  <c r="F199" i="4"/>
  <c r="F198" i="4"/>
  <c r="F197" i="4"/>
  <c r="F196" i="4"/>
  <c r="F195" i="4"/>
  <c r="K239" i="4"/>
  <c r="K238" i="4"/>
  <c r="J239" i="4"/>
  <c r="J238" i="4"/>
  <c r="I239" i="4"/>
  <c r="I238" i="4"/>
  <c r="H239" i="4"/>
  <c r="H238" i="4"/>
  <c r="G239" i="4"/>
  <c r="G238" i="4"/>
  <c r="F239" i="4"/>
  <c r="F238" i="4"/>
  <c r="E239" i="4"/>
  <c r="E238" i="4"/>
  <c r="D239" i="4"/>
  <c r="D238" i="4"/>
  <c r="C239" i="4"/>
  <c r="C238" i="4"/>
  <c r="K237" i="4"/>
  <c r="K236" i="4"/>
  <c r="J237" i="4"/>
  <c r="J236" i="4"/>
  <c r="I237" i="4"/>
  <c r="I236" i="4"/>
  <c r="H237" i="4"/>
  <c r="H236" i="4"/>
  <c r="G237" i="4"/>
  <c r="G236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J146" i="4"/>
  <c r="J145" i="4"/>
  <c r="J144" i="4"/>
  <c r="J143" i="4"/>
  <c r="I146" i="4"/>
  <c r="I145" i="4"/>
  <c r="I144" i="4"/>
  <c r="I143" i="4"/>
  <c r="H146" i="4"/>
  <c r="H145" i="4"/>
  <c r="H144" i="4"/>
  <c r="H143" i="4"/>
  <c r="G146" i="4"/>
  <c r="G145" i="4"/>
  <c r="G144" i="4"/>
  <c r="G143" i="4"/>
  <c r="F146" i="4"/>
  <c r="F145" i="4"/>
  <c r="F144" i="4"/>
  <c r="F143" i="4"/>
  <c r="J52" i="4"/>
  <c r="J51" i="4"/>
  <c r="J50" i="4"/>
  <c r="J49" i="4"/>
  <c r="I52" i="4"/>
  <c r="I51" i="4"/>
  <c r="I50" i="4"/>
  <c r="I49" i="4"/>
  <c r="H52" i="4"/>
  <c r="H51" i="4"/>
  <c r="H50" i="4"/>
  <c r="H49" i="4"/>
  <c r="G52" i="4"/>
  <c r="G51" i="4"/>
  <c r="G50" i="4"/>
  <c r="G49" i="4"/>
  <c r="F52" i="4"/>
  <c r="F51" i="4"/>
  <c r="F50" i="4"/>
  <c r="F49" i="4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2" i="1"/>
  <c r="G381" i="1"/>
  <c r="G380" i="1"/>
  <c r="G379" i="1"/>
  <c r="G378" i="1"/>
  <c r="G377" i="1"/>
  <c r="G376" i="1"/>
  <c r="G375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2" i="1"/>
  <c r="F381" i="1"/>
  <c r="F380" i="1"/>
  <c r="F379" i="1"/>
  <c r="F378" i="1"/>
  <c r="F377" i="1"/>
  <c r="F376" i="1"/>
  <c r="F375" i="1"/>
  <c r="K436" i="1"/>
  <c r="K435" i="1"/>
  <c r="J436" i="1"/>
  <c r="J435" i="1"/>
  <c r="I436" i="1"/>
  <c r="I435" i="1"/>
  <c r="H436" i="1"/>
  <c r="H435" i="1"/>
  <c r="G436" i="1"/>
  <c r="G435" i="1"/>
  <c r="K438" i="1"/>
  <c r="K437" i="1"/>
  <c r="J438" i="1"/>
  <c r="J437" i="1"/>
  <c r="I438" i="1"/>
  <c r="I437" i="1"/>
  <c r="H438" i="1"/>
  <c r="H437" i="1"/>
  <c r="G438" i="1"/>
  <c r="G437" i="1"/>
  <c r="F438" i="1"/>
  <c r="F437" i="1"/>
  <c r="E438" i="1"/>
  <c r="E437" i="1"/>
  <c r="D438" i="1"/>
  <c r="D437" i="1"/>
  <c r="C438" i="1"/>
  <c r="C437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2" i="1"/>
  <c r="G201" i="1"/>
  <c r="G200" i="1"/>
  <c r="G199" i="1"/>
  <c r="G198" i="1"/>
  <c r="G197" i="1"/>
  <c r="G196" i="1"/>
  <c r="G195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2" i="1"/>
  <c r="F201" i="1"/>
  <c r="F200" i="1"/>
  <c r="F199" i="1"/>
  <c r="F198" i="1"/>
  <c r="F197" i="1"/>
  <c r="F196" i="1"/>
  <c r="F195" i="1"/>
  <c r="K240" i="1"/>
  <c r="K239" i="1"/>
  <c r="J240" i="1"/>
  <c r="J239" i="1"/>
  <c r="I240" i="1"/>
  <c r="I239" i="1"/>
  <c r="H240" i="1"/>
  <c r="H239" i="1"/>
  <c r="G240" i="1"/>
  <c r="G239" i="1"/>
  <c r="F240" i="1"/>
  <c r="F239" i="1"/>
  <c r="E240" i="1"/>
  <c r="E239" i="1"/>
  <c r="D240" i="1"/>
  <c r="D239" i="1"/>
  <c r="C240" i="1"/>
  <c r="C239" i="1"/>
  <c r="K238" i="1"/>
  <c r="K237" i="1"/>
  <c r="J238" i="1"/>
  <c r="J237" i="1"/>
  <c r="I238" i="1"/>
  <c r="I237" i="1"/>
  <c r="H238" i="1"/>
  <c r="H237" i="1"/>
  <c r="G238" i="1"/>
  <c r="G237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K147" i="1"/>
  <c r="K146" i="1"/>
  <c r="K145" i="1"/>
  <c r="K144" i="1"/>
  <c r="J147" i="1"/>
  <c r="J146" i="1"/>
  <c r="J145" i="1"/>
  <c r="J144" i="1"/>
  <c r="I147" i="1"/>
  <c r="I146" i="1"/>
  <c r="I145" i="1"/>
  <c r="I144" i="1"/>
  <c r="H147" i="1"/>
  <c r="H146" i="1"/>
  <c r="H145" i="1"/>
  <c r="H144" i="1"/>
  <c r="G147" i="1"/>
  <c r="G146" i="1"/>
  <c r="G145" i="1"/>
  <c r="G144" i="1"/>
  <c r="K52" i="1"/>
  <c r="K51" i="1"/>
  <c r="K50" i="1"/>
  <c r="K49" i="1"/>
  <c r="J52" i="1"/>
  <c r="J51" i="1"/>
  <c r="J50" i="1"/>
  <c r="J49" i="1"/>
  <c r="I52" i="1"/>
  <c r="I51" i="1"/>
  <c r="I50" i="1"/>
  <c r="I49" i="1"/>
  <c r="H52" i="1"/>
  <c r="H51" i="1"/>
  <c r="H50" i="1"/>
  <c r="H49" i="1"/>
  <c r="G52" i="1"/>
  <c r="G51" i="1"/>
  <c r="G50" i="1"/>
  <c r="G49" i="1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1" i="2"/>
  <c r="G380" i="2"/>
  <c r="G379" i="2"/>
  <c r="G378" i="2"/>
  <c r="G377" i="2"/>
  <c r="G376" i="2"/>
  <c r="G375" i="2"/>
  <c r="G374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1" i="2"/>
  <c r="F380" i="2"/>
  <c r="F379" i="2"/>
  <c r="F378" i="2"/>
  <c r="F377" i="2"/>
  <c r="F376" i="2"/>
  <c r="F375" i="2"/>
  <c r="F374" i="2"/>
  <c r="K436" i="2"/>
  <c r="K435" i="2"/>
  <c r="J436" i="2"/>
  <c r="J435" i="2"/>
  <c r="I436" i="2"/>
  <c r="I435" i="2"/>
  <c r="H436" i="2"/>
  <c r="H435" i="2"/>
  <c r="G436" i="2"/>
  <c r="G435" i="2"/>
  <c r="F436" i="2"/>
  <c r="F435" i="2"/>
  <c r="E436" i="2"/>
  <c r="E435" i="2"/>
  <c r="D436" i="2"/>
  <c r="D435" i="2"/>
  <c r="C436" i="2"/>
  <c r="C435" i="2"/>
  <c r="K434" i="2"/>
  <c r="K433" i="2"/>
  <c r="J434" i="2"/>
  <c r="J433" i="2"/>
  <c r="I434" i="2"/>
  <c r="I433" i="2"/>
  <c r="H434" i="2"/>
  <c r="H433" i="2"/>
  <c r="G434" i="2"/>
  <c r="G433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7" i="2"/>
  <c r="G286" i="2"/>
  <c r="G285" i="2"/>
  <c r="G284" i="2"/>
  <c r="G283" i="2"/>
  <c r="G282" i="2"/>
  <c r="G281" i="2"/>
  <c r="G280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7" i="2"/>
  <c r="F286" i="2"/>
  <c r="F285" i="2"/>
  <c r="F284" i="2"/>
  <c r="F283" i="2"/>
  <c r="F282" i="2"/>
  <c r="F281" i="2"/>
  <c r="F280" i="2"/>
  <c r="K324" i="2"/>
  <c r="K323" i="2"/>
  <c r="J324" i="2"/>
  <c r="J323" i="2"/>
  <c r="I324" i="2"/>
  <c r="I323" i="2"/>
  <c r="H324" i="2"/>
  <c r="H323" i="2"/>
  <c r="G324" i="2"/>
  <c r="G323" i="2"/>
  <c r="F324" i="2"/>
  <c r="F323" i="2"/>
  <c r="E324" i="2"/>
  <c r="E323" i="2"/>
  <c r="D324" i="2"/>
  <c r="D323" i="2"/>
  <c r="C324" i="2"/>
  <c r="C323" i="2"/>
  <c r="K322" i="2"/>
  <c r="K321" i="2"/>
  <c r="J322" i="2"/>
  <c r="J321" i="2"/>
  <c r="I322" i="2"/>
  <c r="I321" i="2"/>
  <c r="H322" i="2"/>
  <c r="H321" i="2"/>
  <c r="G322" i="2"/>
  <c r="G32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2" i="2"/>
  <c r="G201" i="2"/>
  <c r="G200" i="2"/>
  <c r="G199" i="2"/>
  <c r="G198" i="2"/>
  <c r="G197" i="2"/>
  <c r="G196" i="2"/>
  <c r="G195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2" i="2"/>
  <c r="F201" i="2"/>
  <c r="F200" i="2"/>
  <c r="F199" i="2"/>
  <c r="F198" i="2"/>
  <c r="F197" i="2"/>
  <c r="F196" i="2"/>
  <c r="F195" i="2"/>
  <c r="K239" i="2"/>
  <c r="K238" i="2"/>
  <c r="J239" i="2"/>
  <c r="J238" i="2"/>
  <c r="I239" i="2"/>
  <c r="I238" i="2"/>
  <c r="H239" i="2"/>
  <c r="H238" i="2"/>
  <c r="G239" i="2"/>
  <c r="G238" i="2"/>
  <c r="F239" i="2"/>
  <c r="F238" i="2"/>
  <c r="E239" i="2"/>
  <c r="E238" i="2"/>
  <c r="D239" i="2"/>
  <c r="D238" i="2"/>
  <c r="C239" i="2"/>
  <c r="C238" i="2"/>
  <c r="K237" i="2"/>
  <c r="K236" i="2"/>
  <c r="J237" i="2"/>
  <c r="J236" i="2"/>
  <c r="I237" i="2"/>
  <c r="I236" i="2"/>
  <c r="H237" i="2"/>
  <c r="H236" i="2"/>
  <c r="G237" i="2"/>
  <c r="G236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J146" i="2"/>
  <c r="J145" i="2"/>
  <c r="J144" i="2"/>
  <c r="J143" i="2"/>
  <c r="I146" i="2"/>
  <c r="I145" i="2"/>
  <c r="I144" i="2"/>
  <c r="I143" i="2"/>
  <c r="H146" i="2"/>
  <c r="H145" i="2"/>
  <c r="H144" i="2"/>
  <c r="H143" i="2"/>
  <c r="G146" i="2"/>
  <c r="G145" i="2"/>
  <c r="G144" i="2"/>
  <c r="G143" i="2"/>
  <c r="F146" i="2"/>
  <c r="F145" i="2"/>
  <c r="F144" i="2"/>
  <c r="F143" i="2"/>
  <c r="J52" i="2"/>
  <c r="J51" i="2"/>
  <c r="J50" i="2"/>
  <c r="J49" i="2"/>
  <c r="I52" i="2"/>
  <c r="I51" i="2"/>
  <c r="I50" i="2"/>
  <c r="I49" i="2"/>
  <c r="H52" i="2"/>
  <c r="H51" i="2"/>
  <c r="H50" i="2"/>
  <c r="H49" i="2"/>
  <c r="G52" i="2"/>
  <c r="G51" i="2"/>
  <c r="G50" i="2"/>
  <c r="G49" i="2"/>
  <c r="F52" i="2"/>
  <c r="F51" i="2"/>
  <c r="F50" i="2"/>
  <c r="F49" i="2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0" i="3"/>
  <c r="G289" i="3"/>
  <c r="G288" i="3"/>
  <c r="G287" i="3"/>
  <c r="G286" i="3"/>
  <c r="G285" i="3"/>
  <c r="G284" i="3"/>
  <c r="G283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0" i="3"/>
  <c r="F289" i="3"/>
  <c r="F288" i="3"/>
  <c r="F287" i="3"/>
  <c r="F286" i="3"/>
  <c r="F285" i="3"/>
  <c r="F284" i="3"/>
  <c r="F283" i="3"/>
  <c r="K327" i="3"/>
  <c r="K326" i="3"/>
  <c r="J327" i="3"/>
  <c r="J326" i="3"/>
  <c r="I327" i="3"/>
  <c r="I326" i="3"/>
  <c r="H327" i="3"/>
  <c r="H326" i="3"/>
  <c r="G327" i="3"/>
  <c r="G326" i="3"/>
  <c r="F327" i="3"/>
  <c r="F326" i="3"/>
  <c r="E327" i="3"/>
  <c r="E326" i="3"/>
  <c r="D327" i="3"/>
  <c r="D326" i="3"/>
  <c r="C327" i="3"/>
  <c r="C326" i="3"/>
  <c r="K325" i="3"/>
  <c r="K324" i="3"/>
  <c r="J325" i="3"/>
  <c r="J324" i="3"/>
  <c r="I325" i="3"/>
  <c r="I324" i="3"/>
  <c r="H325" i="3"/>
  <c r="H324" i="3"/>
  <c r="G325" i="3"/>
  <c r="G324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4" i="3"/>
  <c r="G203" i="3"/>
  <c r="G202" i="3"/>
  <c r="G201" i="3"/>
  <c r="G200" i="3"/>
  <c r="G199" i="3"/>
  <c r="G198" i="3"/>
  <c r="G197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4" i="3"/>
  <c r="F203" i="3"/>
  <c r="F202" i="3"/>
  <c r="F201" i="3"/>
  <c r="F200" i="3"/>
  <c r="F199" i="3"/>
  <c r="F198" i="3"/>
  <c r="F197" i="3"/>
  <c r="K241" i="3"/>
  <c r="K240" i="3"/>
  <c r="J241" i="3"/>
  <c r="J240" i="3"/>
  <c r="I241" i="3"/>
  <c r="I240" i="3"/>
  <c r="H241" i="3"/>
  <c r="H240" i="3"/>
  <c r="G241" i="3"/>
  <c r="G240" i="3"/>
  <c r="F241" i="3"/>
  <c r="F240" i="3"/>
  <c r="E241" i="3"/>
  <c r="E240" i="3"/>
  <c r="D241" i="3"/>
  <c r="D240" i="3"/>
  <c r="C241" i="3"/>
  <c r="C240" i="3"/>
  <c r="K239" i="3"/>
  <c r="K238" i="3"/>
  <c r="J239" i="3"/>
  <c r="J238" i="3"/>
  <c r="I239" i="3"/>
  <c r="I238" i="3"/>
  <c r="H239" i="3"/>
  <c r="H238" i="3"/>
  <c r="G239" i="3"/>
  <c r="G238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5" i="3"/>
  <c r="F104" i="3"/>
  <c r="F145" i="3"/>
  <c r="F144" i="3"/>
  <c r="E147" i="3"/>
  <c r="E146" i="3"/>
  <c r="E145" i="3"/>
  <c r="E144" i="3"/>
  <c r="D147" i="3"/>
  <c r="D146" i="3"/>
  <c r="D145" i="3"/>
  <c r="D144" i="3"/>
  <c r="C147" i="3"/>
  <c r="C146" i="3"/>
  <c r="C145" i="3"/>
  <c r="C144" i="3"/>
  <c r="B147" i="3"/>
  <c r="B146" i="3"/>
  <c r="B145" i="3"/>
  <c r="B144" i="3"/>
  <c r="J52" i="3"/>
  <c r="J51" i="3"/>
  <c r="J50" i="3"/>
  <c r="J49" i="3"/>
  <c r="I52" i="3"/>
  <c r="I51" i="3"/>
  <c r="I50" i="3"/>
  <c r="I49" i="3"/>
  <c r="H52" i="3"/>
  <c r="H51" i="3"/>
  <c r="H50" i="3"/>
  <c r="H49" i="3"/>
  <c r="G52" i="3"/>
  <c r="G51" i="3"/>
  <c r="G50" i="3"/>
  <c r="G49" i="3"/>
  <c r="F52" i="3"/>
  <c r="F51" i="3"/>
  <c r="F50" i="3"/>
  <c r="F49" i="3"/>
  <c r="C435" i="3"/>
  <c r="D435" i="3"/>
  <c r="E435" i="3"/>
  <c r="F435" i="3"/>
  <c r="C436" i="3"/>
  <c r="D436" i="3"/>
  <c r="E436" i="3"/>
  <c r="F436" i="3"/>
  <c r="G429" i="7"/>
  <c r="G428" i="7"/>
  <c r="F429" i="7"/>
  <c r="F428" i="7"/>
  <c r="E429" i="7"/>
  <c r="E428" i="7"/>
  <c r="D429" i="7"/>
  <c r="D428" i="7"/>
  <c r="C429" i="7"/>
  <c r="C428" i="7"/>
  <c r="G320" i="7"/>
  <c r="G319" i="7"/>
  <c r="F320" i="7"/>
  <c r="F319" i="7"/>
  <c r="E320" i="7"/>
  <c r="E319" i="7"/>
  <c r="D320" i="7"/>
  <c r="D319" i="7"/>
  <c r="C320" i="7"/>
  <c r="C319" i="7"/>
  <c r="G236" i="7"/>
  <c r="G235" i="7"/>
  <c r="F236" i="7"/>
  <c r="F235" i="7"/>
  <c r="E236" i="7"/>
  <c r="E235" i="7"/>
  <c r="D236" i="7"/>
  <c r="D235" i="7"/>
  <c r="C236" i="7"/>
  <c r="C235" i="7"/>
  <c r="F146" i="7"/>
  <c r="F145" i="7"/>
  <c r="F144" i="7"/>
  <c r="F143" i="7"/>
  <c r="E146" i="7"/>
  <c r="E145" i="7"/>
  <c r="E144" i="7"/>
  <c r="E143" i="7"/>
  <c r="D146" i="7"/>
  <c r="D145" i="7"/>
  <c r="D144" i="7"/>
  <c r="D143" i="7"/>
  <c r="C146" i="7"/>
  <c r="C145" i="7"/>
  <c r="C144" i="7"/>
  <c r="C143" i="7"/>
  <c r="B146" i="7"/>
  <c r="B145" i="7"/>
  <c r="B144" i="7"/>
  <c r="B143" i="7"/>
  <c r="F52" i="7"/>
  <c r="F51" i="7"/>
  <c r="F50" i="7"/>
  <c r="F49" i="7"/>
  <c r="E52" i="7"/>
  <c r="E51" i="7"/>
  <c r="E50" i="7"/>
  <c r="E49" i="7"/>
  <c r="D52" i="7"/>
  <c r="D51" i="7"/>
  <c r="D50" i="7"/>
  <c r="D49" i="7"/>
  <c r="C52" i="7"/>
  <c r="C51" i="7"/>
  <c r="C50" i="7"/>
  <c r="C49" i="7"/>
  <c r="B52" i="7"/>
  <c r="B51" i="7"/>
  <c r="B50" i="7"/>
  <c r="B49" i="7"/>
  <c r="G435" i="6"/>
  <c r="G434" i="6"/>
  <c r="F435" i="6"/>
  <c r="F434" i="6"/>
  <c r="E435" i="6"/>
  <c r="E434" i="6"/>
  <c r="D435" i="6"/>
  <c r="D434" i="6"/>
  <c r="C435" i="6"/>
  <c r="C434" i="6"/>
  <c r="F239" i="6"/>
  <c r="F238" i="6"/>
  <c r="E239" i="6"/>
  <c r="E238" i="6"/>
  <c r="D239" i="6"/>
  <c r="D238" i="6"/>
  <c r="C239" i="6"/>
  <c r="C238" i="6"/>
  <c r="G147" i="6"/>
  <c r="G146" i="6"/>
  <c r="G145" i="6"/>
  <c r="G144" i="6"/>
  <c r="F147" i="6"/>
  <c r="F146" i="6"/>
  <c r="F145" i="6"/>
  <c r="F144" i="6"/>
  <c r="E147" i="6"/>
  <c r="E146" i="6"/>
  <c r="E145" i="6"/>
  <c r="E144" i="6"/>
  <c r="D147" i="6"/>
  <c r="D146" i="6"/>
  <c r="D145" i="6"/>
  <c r="D144" i="6"/>
  <c r="C147" i="6"/>
  <c r="C146" i="6"/>
  <c r="C145" i="6"/>
  <c r="C144" i="6"/>
  <c r="G52" i="6"/>
  <c r="G51" i="6"/>
  <c r="G50" i="6"/>
  <c r="G49" i="6"/>
  <c r="F52" i="6"/>
  <c r="F51" i="6"/>
  <c r="F50" i="6"/>
  <c r="F49" i="6"/>
  <c r="E52" i="6"/>
  <c r="E51" i="6"/>
  <c r="E50" i="6"/>
  <c r="D52" i="6"/>
  <c r="E49" i="6"/>
  <c r="D51" i="6"/>
  <c r="D50" i="6"/>
  <c r="D49" i="6"/>
  <c r="C52" i="6"/>
  <c r="C51" i="6"/>
  <c r="C50" i="6"/>
  <c r="C49" i="6"/>
  <c r="F432" i="9"/>
  <c r="F431" i="9"/>
  <c r="E432" i="9"/>
  <c r="E431" i="9"/>
  <c r="D432" i="9"/>
  <c r="D431" i="9"/>
  <c r="C432" i="9"/>
  <c r="C431" i="9"/>
  <c r="F238" i="9"/>
  <c r="F237" i="9"/>
  <c r="E238" i="9"/>
  <c r="E237" i="9"/>
  <c r="D238" i="9"/>
  <c r="D237" i="9"/>
  <c r="C238" i="9"/>
  <c r="C237" i="9"/>
  <c r="F147" i="9"/>
  <c r="F146" i="9"/>
  <c r="F145" i="9"/>
  <c r="F144" i="9"/>
  <c r="E147" i="9"/>
  <c r="E146" i="9"/>
  <c r="E145" i="9"/>
  <c r="E144" i="9"/>
  <c r="D147" i="9"/>
  <c r="D146" i="9"/>
  <c r="D145" i="9"/>
  <c r="D144" i="9"/>
  <c r="C147" i="9"/>
  <c r="C146" i="9"/>
  <c r="C145" i="9"/>
  <c r="C144" i="9"/>
  <c r="B147" i="9"/>
  <c r="B146" i="9"/>
  <c r="B145" i="9"/>
  <c r="B144" i="9"/>
  <c r="F52" i="9"/>
  <c r="F51" i="9"/>
  <c r="F50" i="9"/>
  <c r="F49" i="9"/>
  <c r="E52" i="9"/>
  <c r="E51" i="9"/>
  <c r="E50" i="9"/>
  <c r="E49" i="9"/>
  <c r="D52" i="9"/>
  <c r="D51" i="9"/>
  <c r="D50" i="9"/>
  <c r="D49" i="9"/>
  <c r="C52" i="9"/>
  <c r="C51" i="9"/>
  <c r="C50" i="9"/>
  <c r="C49" i="9"/>
  <c r="B52" i="9"/>
  <c r="B51" i="9"/>
  <c r="B50" i="9"/>
  <c r="B49" i="9"/>
  <c r="F239" i="8"/>
  <c r="F238" i="8"/>
  <c r="E239" i="8"/>
  <c r="E238" i="8"/>
  <c r="D239" i="8"/>
  <c r="D238" i="8"/>
  <c r="C239" i="8"/>
  <c r="C238" i="8"/>
  <c r="F146" i="8"/>
  <c r="F145" i="8"/>
  <c r="F144" i="8"/>
  <c r="F143" i="8"/>
  <c r="E146" i="8"/>
  <c r="E145" i="8"/>
  <c r="E144" i="8"/>
  <c r="E143" i="8"/>
  <c r="D146" i="8"/>
  <c r="D145" i="8"/>
  <c r="D144" i="8"/>
  <c r="D143" i="8"/>
  <c r="C146" i="8"/>
  <c r="C145" i="8"/>
  <c r="C144" i="8"/>
  <c r="C143" i="8"/>
  <c r="B146" i="8"/>
  <c r="B145" i="8"/>
  <c r="B144" i="8"/>
  <c r="B143" i="8"/>
  <c r="F52" i="8"/>
  <c r="F51" i="8"/>
  <c r="F50" i="8"/>
  <c r="F49" i="8"/>
  <c r="E52" i="8"/>
  <c r="E51" i="8"/>
  <c r="E50" i="8"/>
  <c r="E49" i="8"/>
  <c r="D52" i="8"/>
  <c r="D51" i="8"/>
  <c r="D50" i="8"/>
  <c r="D49" i="8"/>
  <c r="C52" i="8"/>
  <c r="C51" i="8"/>
  <c r="C50" i="8"/>
  <c r="C49" i="8"/>
  <c r="B52" i="8"/>
  <c r="B51" i="8"/>
  <c r="B50" i="8"/>
  <c r="B49" i="8"/>
  <c r="F433" i="4"/>
  <c r="F432" i="4"/>
  <c r="E433" i="4"/>
  <c r="E432" i="4"/>
  <c r="D433" i="4"/>
  <c r="D432" i="4"/>
  <c r="C433" i="4"/>
  <c r="C432" i="4"/>
  <c r="F324" i="4"/>
  <c r="F323" i="4"/>
  <c r="E324" i="4"/>
  <c r="E323" i="4"/>
  <c r="D324" i="4"/>
  <c r="D323" i="4"/>
  <c r="C324" i="4"/>
  <c r="C323" i="4"/>
  <c r="F237" i="4"/>
  <c r="F236" i="4"/>
  <c r="E237" i="4"/>
  <c r="E236" i="4"/>
  <c r="D237" i="4"/>
  <c r="D236" i="4"/>
  <c r="C237" i="4"/>
  <c r="C236" i="4"/>
  <c r="E146" i="4"/>
  <c r="E145" i="4"/>
  <c r="E144" i="4"/>
  <c r="E143" i="4"/>
  <c r="D146" i="4"/>
  <c r="D145" i="4"/>
  <c r="D144" i="4"/>
  <c r="D143" i="4"/>
  <c r="C146" i="4"/>
  <c r="C145" i="4"/>
  <c r="C144" i="4"/>
  <c r="C143" i="4"/>
  <c r="B146" i="4"/>
  <c r="B145" i="4"/>
  <c r="B144" i="4"/>
  <c r="B143" i="4"/>
  <c r="E52" i="4"/>
  <c r="E51" i="4"/>
  <c r="E50" i="4"/>
  <c r="E49" i="4"/>
  <c r="D52" i="4"/>
  <c r="D51" i="4"/>
  <c r="D50" i="4"/>
  <c r="D49" i="4"/>
  <c r="C52" i="4"/>
  <c r="C51" i="4"/>
  <c r="C50" i="4"/>
  <c r="C49" i="4"/>
  <c r="B52" i="4"/>
  <c r="B51" i="4"/>
  <c r="B50" i="4"/>
  <c r="B49" i="4"/>
  <c r="F436" i="1"/>
  <c r="F435" i="1"/>
  <c r="E436" i="1"/>
  <c r="E435" i="1"/>
  <c r="D436" i="1"/>
  <c r="D435" i="1"/>
  <c r="C436" i="1"/>
  <c r="C435" i="1"/>
  <c r="F325" i="1"/>
  <c r="F324" i="1"/>
  <c r="E325" i="1"/>
  <c r="E324" i="1"/>
  <c r="D325" i="1"/>
  <c r="D324" i="1"/>
  <c r="C325" i="1"/>
  <c r="C324" i="1"/>
  <c r="F238" i="1"/>
  <c r="F237" i="1"/>
  <c r="E238" i="1"/>
  <c r="E237" i="1"/>
  <c r="D238" i="1"/>
  <c r="D237" i="1"/>
  <c r="C238" i="1"/>
  <c r="C237" i="1"/>
  <c r="F147" i="1"/>
  <c r="F146" i="1"/>
  <c r="F145" i="1"/>
  <c r="F144" i="1"/>
  <c r="E147" i="1"/>
  <c r="E146" i="1"/>
  <c r="E145" i="1"/>
  <c r="E144" i="1"/>
  <c r="D147" i="1"/>
  <c r="D146" i="1"/>
  <c r="D145" i="1"/>
  <c r="D144" i="1"/>
  <c r="C147" i="1"/>
  <c r="C146" i="1"/>
  <c r="C145" i="1"/>
  <c r="C144" i="1"/>
  <c r="F52" i="1"/>
  <c r="F51" i="1"/>
  <c r="F50" i="1"/>
  <c r="F49" i="1"/>
  <c r="E52" i="1"/>
  <c r="E51" i="1"/>
  <c r="E50" i="1"/>
  <c r="E49" i="1"/>
  <c r="D52" i="1"/>
  <c r="D51" i="1"/>
  <c r="D50" i="1"/>
  <c r="D49" i="1"/>
  <c r="C52" i="1"/>
  <c r="C51" i="1"/>
  <c r="C50" i="1"/>
  <c r="C49" i="1"/>
  <c r="F434" i="2"/>
  <c r="F433" i="2"/>
  <c r="E434" i="2"/>
  <c r="E433" i="2"/>
  <c r="D434" i="2"/>
  <c r="D433" i="2"/>
  <c r="C434" i="2"/>
  <c r="C433" i="2"/>
  <c r="F322" i="2"/>
  <c r="F321" i="2"/>
  <c r="E322" i="2"/>
  <c r="E321" i="2"/>
  <c r="D322" i="2"/>
  <c r="D321" i="2"/>
  <c r="C322" i="2"/>
  <c r="C321" i="2"/>
  <c r="F237" i="2"/>
  <c r="F236" i="2"/>
  <c r="E237" i="2"/>
  <c r="E236" i="2"/>
  <c r="D237" i="2"/>
  <c r="D236" i="2"/>
  <c r="C237" i="2"/>
  <c r="C236" i="2"/>
  <c r="E146" i="2"/>
  <c r="E145" i="2"/>
  <c r="E144" i="2"/>
  <c r="E143" i="2"/>
  <c r="D146" i="2"/>
  <c r="D145" i="2"/>
  <c r="D144" i="2"/>
  <c r="D143" i="2"/>
  <c r="C146" i="2"/>
  <c r="C145" i="2"/>
  <c r="C144" i="2"/>
  <c r="C143" i="2"/>
  <c r="B146" i="2"/>
  <c r="B145" i="2"/>
  <c r="B144" i="2"/>
  <c r="B143" i="2"/>
  <c r="E52" i="2"/>
  <c r="E51" i="2"/>
  <c r="E50" i="2"/>
  <c r="E49" i="2"/>
  <c r="D52" i="2"/>
  <c r="D51" i="2"/>
  <c r="D50" i="2"/>
  <c r="D49" i="2"/>
  <c r="C52" i="2"/>
  <c r="C51" i="2"/>
  <c r="C50" i="2"/>
  <c r="C49" i="2"/>
  <c r="B52" i="2"/>
  <c r="B51" i="2"/>
  <c r="B50" i="2"/>
  <c r="B49" i="2"/>
  <c r="F325" i="3"/>
  <c r="F324" i="3"/>
  <c r="E325" i="3"/>
  <c r="E324" i="3"/>
  <c r="D325" i="3"/>
  <c r="D324" i="3"/>
  <c r="C325" i="3"/>
  <c r="C324" i="3"/>
  <c r="F239" i="3"/>
  <c r="F238" i="3"/>
  <c r="E239" i="3"/>
  <c r="E238" i="3"/>
  <c r="D239" i="3"/>
  <c r="D238" i="3"/>
  <c r="C239" i="3"/>
  <c r="C238" i="3"/>
  <c r="J147" i="3"/>
  <c r="J146" i="3"/>
  <c r="J145" i="3"/>
  <c r="J144" i="3"/>
  <c r="I147" i="3"/>
  <c r="I146" i="3"/>
  <c r="I145" i="3"/>
  <c r="I144" i="3"/>
  <c r="H147" i="3"/>
  <c r="H146" i="3"/>
  <c r="H145" i="3"/>
  <c r="H144" i="3"/>
  <c r="G147" i="3"/>
  <c r="G146" i="3"/>
  <c r="G145" i="3"/>
  <c r="G144" i="3"/>
  <c r="F147" i="3"/>
  <c r="F146" i="3"/>
  <c r="E52" i="3"/>
  <c r="E51" i="3"/>
  <c r="E50" i="3"/>
  <c r="E49" i="3"/>
  <c r="D52" i="3"/>
  <c r="D51" i="3"/>
  <c r="D50" i="3"/>
  <c r="D49" i="3"/>
  <c r="C52" i="3"/>
  <c r="C51" i="3"/>
  <c r="C50" i="3"/>
  <c r="C49" i="3"/>
  <c r="B52" i="3"/>
  <c r="B51" i="3"/>
  <c r="B50" i="3"/>
  <c r="B49" i="3"/>
</calcChain>
</file>

<file path=xl/sharedStrings.xml><?xml version="1.0" encoding="utf-8"?>
<sst xmlns="http://schemas.openxmlformats.org/spreadsheetml/2006/main" count="3708" uniqueCount="373">
  <si>
    <t>Results: Transitions out of RM</t>
  </si>
  <si>
    <t>Robust</t>
  </si>
  <si>
    <t>_t</t>
  </si>
  <si>
    <t>z</t>
  </si>
  <si>
    <t>P&gt;z</t>
  </si>
  <si>
    <t>type#time_RM</t>
  </si>
  <si>
    <t>_cons</t>
  </si>
  <si>
    <t>Unemp</t>
  </si>
  <si>
    <t>Inactive</t>
  </si>
  <si>
    <t>NRC formal</t>
  </si>
  <si>
    <t>RC formal</t>
  </si>
  <si>
    <t>NRM formal</t>
  </si>
  <si>
    <t>1980-1990</t>
  </si>
  <si>
    <t>1990-2000</t>
  </si>
  <si>
    <t>2000-2010</t>
  </si>
  <si>
    <t>2010-2020</t>
  </si>
  <si>
    <t>1#1990-2000</t>
  </si>
  <si>
    <t>1#2000-2010</t>
  </si>
  <si>
    <t>1#2010-2020</t>
  </si>
  <si>
    <t>2#1980-1990</t>
  </si>
  <si>
    <t>2#1990-2000</t>
  </si>
  <si>
    <t>2#2000-2010</t>
  </si>
  <si>
    <t>2#2010-2020</t>
  </si>
  <si>
    <t>3#1980-1990</t>
  </si>
  <si>
    <t>3#1990-2000</t>
  </si>
  <si>
    <t>3#2000-2010</t>
  </si>
  <si>
    <t>3#2010-2020</t>
  </si>
  <si>
    <t>4#1980-1990</t>
  </si>
  <si>
    <t>4#1990-2000</t>
  </si>
  <si>
    <t>4#2000-2010</t>
  </si>
  <si>
    <t>4#2010-2020</t>
  </si>
  <si>
    <t>5#1990-2000</t>
  </si>
  <si>
    <t>5#2000-2010</t>
  </si>
  <si>
    <t>5#2010-2020</t>
  </si>
  <si>
    <t>6#1980-1990</t>
  </si>
  <si>
    <t>6#1990-2000</t>
  </si>
  <si>
    <t>6#2000-2010</t>
  </si>
  <si>
    <t>6#2010-2020</t>
  </si>
  <si>
    <t>Results: Transitions out of RC</t>
  </si>
  <si>
    <t>type#time_RC</t>
  </si>
  <si>
    <t>RM formal</t>
  </si>
  <si>
    <t>type#time_NRC</t>
  </si>
  <si>
    <t>Results: Transitions out of unemployment or inactivity</t>
  </si>
  <si>
    <t>Results: Transitions out of NRM</t>
  </si>
  <si>
    <t>Results: Transitions out of NRC</t>
  </si>
  <si>
    <t>type#time_NRM</t>
  </si>
  <si>
    <t>1#1980-1990</t>
  </si>
  <si>
    <t>event: 1 NRC, 2 RC, 3 NRM, 4 unemp, 5 inactive, 6 informality</t>
  </si>
  <si>
    <t>event: 1 NRC, 2 RC, 3 RM, 4 unemp, 5 inactive, 6 informality</t>
  </si>
  <si>
    <t>event: 1 NRC, 2 RC, 3 RM, 4 NRM, 5 unemp, 6 inactive, 7 informality</t>
  </si>
  <si>
    <t>7#1980-1990</t>
  </si>
  <si>
    <t>7#1990-2000</t>
  </si>
  <si>
    <t>7#2000-2010</t>
  </si>
  <si>
    <t>7#2010-2020</t>
  </si>
  <si>
    <t>8#1980-1990</t>
  </si>
  <si>
    <t>8#1990-2000</t>
  </si>
  <si>
    <t>8#2000-2010</t>
  </si>
  <si>
    <t>8#2010-2020</t>
  </si>
  <si>
    <t>9#1980-1990</t>
  </si>
  <si>
    <t>9#1990-2000</t>
  </si>
  <si>
    <t>9#2000-2010</t>
  </si>
  <si>
    <t>9#2010-2020</t>
  </si>
  <si>
    <t>NRC informal</t>
  </si>
  <si>
    <t>RC informal</t>
  </si>
  <si>
    <t>RM informal</t>
  </si>
  <si>
    <t>NRM informal</t>
  </si>
  <si>
    <t>type#time_outofemp</t>
  </si>
  <si>
    <t>5#1980-1990</t>
  </si>
  <si>
    <t>10#1980-1990</t>
  </si>
  <si>
    <t>10#1990-2000</t>
  </si>
  <si>
    <t>10#2000-2010</t>
  </si>
  <si>
    <t>10#2010-2020</t>
  </si>
  <si>
    <t>sex</t>
  </si>
  <si>
    <t>Female</t>
  </si>
  <si>
    <t>agegroup</t>
  </si>
  <si>
    <t>20-24</t>
  </si>
  <si>
    <t>25-29</t>
  </si>
  <si>
    <t>30-34</t>
  </si>
  <si>
    <t>35-39</t>
  </si>
  <si>
    <t>40-44</t>
  </si>
  <si>
    <t>45-49</t>
  </si>
  <si>
    <t>time_since_RM</t>
  </si>
  <si>
    <t>10+</t>
  </si>
  <si>
    <t>time_since_RC</t>
  </si>
  <si>
    <t>time_since_NRM</t>
  </si>
  <si>
    <t>time_since_NRC</t>
  </si>
  <si>
    <t>50-54</t>
  </si>
  <si>
    <t>55-59</t>
  </si>
  <si>
    <t>60+</t>
  </si>
  <si>
    <t>Unemployed</t>
  </si>
  <si>
    <t>By gender</t>
  </si>
  <si>
    <t>Male</t>
  </si>
  <si>
    <t>sex#type#time_RM</t>
  </si>
  <si>
    <t>agegroup_dummy#type#time_RM</t>
  </si>
  <si>
    <t>Age 15-29</t>
  </si>
  <si>
    <t>Age 30+</t>
  </si>
  <si>
    <t>sex#type#time_RC</t>
  </si>
  <si>
    <t>agegroup_dummy#type#time_RC</t>
  </si>
  <si>
    <t>sex#type#time_NRM</t>
  </si>
  <si>
    <t>By age group</t>
  </si>
  <si>
    <t>agegroup_dummy#type#time_NRM</t>
  </si>
  <si>
    <t>sex#type#time_NRC</t>
  </si>
  <si>
    <t>agegroup_dummy#type#time_NRC</t>
  </si>
  <si>
    <t>By educational level</t>
  </si>
  <si>
    <t>education#type#time_NRC</t>
  </si>
  <si>
    <t>Low</t>
  </si>
  <si>
    <t>High</t>
  </si>
  <si>
    <t>By level of education</t>
  </si>
  <si>
    <t>order</t>
  </si>
  <si>
    <t>3+</t>
  </si>
  <si>
    <t>education#type#time_RC</t>
  </si>
  <si>
    <t>education#type#time_RM</t>
  </si>
  <si>
    <t>education#type#time_NRM</t>
  </si>
  <si>
    <t>education</t>
  </si>
  <si>
    <t>time_since_outofemp</t>
  </si>
  <si>
    <t>sex#type#time_outofemp</t>
  </si>
  <si>
    <t>education#type#time_outofemp</t>
  </si>
  <si>
    <t>Male#1#1980-2000</t>
  </si>
  <si>
    <t>Male#1#2000-2020</t>
  </si>
  <si>
    <t>Male#2#1980-2000</t>
  </si>
  <si>
    <t>Male#2#2000-2020</t>
  </si>
  <si>
    <t>Male#3#1980-2000</t>
  </si>
  <si>
    <t>Male#3#2000-2020</t>
  </si>
  <si>
    <t>Male#4#1980-2000</t>
  </si>
  <si>
    <t>Male#4#2000-2020</t>
  </si>
  <si>
    <t>Male#5#2000-2020</t>
  </si>
  <si>
    <t>Male#6#1980-2000</t>
  </si>
  <si>
    <t>Male#6#2000-2020</t>
  </si>
  <si>
    <t>Male#7#1980-2000</t>
  </si>
  <si>
    <t>Male#7#2000-2020</t>
  </si>
  <si>
    <t>Male#8#1980-2000</t>
  </si>
  <si>
    <t>Male#8#2000-2020</t>
  </si>
  <si>
    <t>Male#9#1980-2000</t>
  </si>
  <si>
    <t>Male#9#2000-2020</t>
  </si>
  <si>
    <t>Female#1#1980-2000</t>
  </si>
  <si>
    <t>Female#1#2000-2020</t>
  </si>
  <si>
    <t>Female#2#1980-2000</t>
  </si>
  <si>
    <t>Female#2#2000-2020</t>
  </si>
  <si>
    <t>Female#3#1980-2000</t>
  </si>
  <si>
    <t>Female#3#2000-2020</t>
  </si>
  <si>
    <t>Female#4#1980-2000</t>
  </si>
  <si>
    <t>Female#4#2000-2020</t>
  </si>
  <si>
    <t>Female#5#1980-2000</t>
  </si>
  <si>
    <t>Female#5#2000-2020</t>
  </si>
  <si>
    <t>Female#6#1980-2000</t>
  </si>
  <si>
    <t>Female#6#2000-2020</t>
  </si>
  <si>
    <t>Female#7#1980-2000</t>
  </si>
  <si>
    <t>Female#7#2000-2020</t>
  </si>
  <si>
    <t>Female#8#1980-2000</t>
  </si>
  <si>
    <t>Female#8#2000-2020</t>
  </si>
  <si>
    <t>Female#9#1980-2000</t>
  </si>
  <si>
    <t>Female#9#2000-2020</t>
  </si>
  <si>
    <t>1980-2000</t>
  </si>
  <si>
    <t>Male#5#1980-2000</t>
  </si>
  <si>
    <t>1#1#1980-2000</t>
  </si>
  <si>
    <t>1#1#2000-2020</t>
  </si>
  <si>
    <t>1#2#1980-2000</t>
  </si>
  <si>
    <t>1#2#2000-2020</t>
  </si>
  <si>
    <t>1#3#1980-2000</t>
  </si>
  <si>
    <t>1#3#2000-2020</t>
  </si>
  <si>
    <t>1#4#1980-2000</t>
  </si>
  <si>
    <t>1#4#2000-2020</t>
  </si>
  <si>
    <t>1#5#2000-2020</t>
  </si>
  <si>
    <t>1#6#1980-2000</t>
  </si>
  <si>
    <t>1#6#2000-2020</t>
  </si>
  <si>
    <t>1#7#1980-2000</t>
  </si>
  <si>
    <t>1#7#2000-2020</t>
  </si>
  <si>
    <t>1#8#1980-2000</t>
  </si>
  <si>
    <t>1#8#2000-2020</t>
  </si>
  <si>
    <t>1#9#1980-2000</t>
  </si>
  <si>
    <t>1#9#2000-2020</t>
  </si>
  <si>
    <t>2#1#1980-2000</t>
  </si>
  <si>
    <t>2#1#2000-2020</t>
  </si>
  <si>
    <t>2#2#1980-2000</t>
  </si>
  <si>
    <t>2#2#2000-2020</t>
  </si>
  <si>
    <t>2#3#1980-2000</t>
  </si>
  <si>
    <t>2#3#2000-2020</t>
  </si>
  <si>
    <t>2#4#1980-2000</t>
  </si>
  <si>
    <t>2#4#2000-2020</t>
  </si>
  <si>
    <t>2#5#1980-2000</t>
  </si>
  <si>
    <t>2#5#2000-2020</t>
  </si>
  <si>
    <t>2#6#1980-2000</t>
  </si>
  <si>
    <t>2#6#2000-2020</t>
  </si>
  <si>
    <t>2#7#1980-2000</t>
  </si>
  <si>
    <t>2#7#2000-2020</t>
  </si>
  <si>
    <t>2#8#1980-2000</t>
  </si>
  <si>
    <t>2#8#2000-2020</t>
  </si>
  <si>
    <t>2#9#1980-2000</t>
  </si>
  <si>
    <t>2#9#2000-2020</t>
  </si>
  <si>
    <t>1#5#1980-2000</t>
  </si>
  <si>
    <t>Male# 1#2000-2020</t>
  </si>
  <si>
    <t>Male# 2#1980-2000</t>
  </si>
  <si>
    <t>Male# 2#2000-2020</t>
  </si>
  <si>
    <t>Male# 3#1980-2000</t>
  </si>
  <si>
    <t>Male# 3#2000-2020</t>
  </si>
  <si>
    <t>Male# 4#1980-2000</t>
  </si>
  <si>
    <t>Male# 4#2000-2020</t>
  </si>
  <si>
    <t>Male# 5#1980-2000</t>
  </si>
  <si>
    <t>Male# 5#2000-2020</t>
  </si>
  <si>
    <t>Male# 6#1980-2000</t>
  </si>
  <si>
    <t>Male# 6#2000-2020</t>
  </si>
  <si>
    <t>Male# 7#1980-2000</t>
  </si>
  <si>
    <t>Male# 7#2000-2020</t>
  </si>
  <si>
    <t>Male# 8#1980-2000</t>
  </si>
  <si>
    <t>Male# 8#2000-2020</t>
  </si>
  <si>
    <t>Male# 9#1980-2000</t>
  </si>
  <si>
    <t>Male# 9#2000-2020</t>
  </si>
  <si>
    <t>Male#10#1980-2000</t>
  </si>
  <si>
    <t>Male#10#2000-2020</t>
  </si>
  <si>
    <t>Female# 1#1980-2000</t>
  </si>
  <si>
    <t>Female# 1#2000-2020</t>
  </si>
  <si>
    <t>Female# 2#1980-2000</t>
  </si>
  <si>
    <t>Female# 2#2000-2020</t>
  </si>
  <si>
    <t>Female# 3#1980-2000</t>
  </si>
  <si>
    <t>Female# 3#2000-2020</t>
  </si>
  <si>
    <t>Female# 4#1980-2000</t>
  </si>
  <si>
    <t>Female# 4#2000-2020</t>
  </si>
  <si>
    <t>Female# 5#1980-2000</t>
  </si>
  <si>
    <t>Female# 5#2000-2020</t>
  </si>
  <si>
    <t>Female# 6#1980-2000</t>
  </si>
  <si>
    <t>Female# 6#2000-2020</t>
  </si>
  <si>
    <t>Female# 7#1980-2000</t>
  </si>
  <si>
    <t>Female# 7#2000-2020</t>
  </si>
  <si>
    <t>Female# 8#1980-2000</t>
  </si>
  <si>
    <t>Female# 8#2000-2020</t>
  </si>
  <si>
    <t>Female# 9#1980-2000</t>
  </si>
  <si>
    <t>Female# 9#2000-2020</t>
  </si>
  <si>
    <t>Female#10#1980-2000</t>
  </si>
  <si>
    <t>Female#10#2000-2020</t>
  </si>
  <si>
    <t>1# 1#2000-2020</t>
  </si>
  <si>
    <t>1# 2#1980-2000</t>
  </si>
  <si>
    <t>1# 2#2000-2020</t>
  </si>
  <si>
    <t>1# 3#1980-2000</t>
  </si>
  <si>
    <t>1# 3#2000-2020</t>
  </si>
  <si>
    <t>1# 4#1980-2000</t>
  </si>
  <si>
    <t>1# 4#2000-2020</t>
  </si>
  <si>
    <t>1# 5#1980-2000</t>
  </si>
  <si>
    <t>1# 5#2000-2020</t>
  </si>
  <si>
    <t>1# 6#1980-2000</t>
  </si>
  <si>
    <t>1# 6#2000-2020</t>
  </si>
  <si>
    <t>1# 7#1980-2000</t>
  </si>
  <si>
    <t>1# 7#2000-2020</t>
  </si>
  <si>
    <t>1# 8#1980-2000</t>
  </si>
  <si>
    <t>1# 8#2000-2020</t>
  </si>
  <si>
    <t>1# 9#1980-2000</t>
  </si>
  <si>
    <t>1# 9#2000-2020</t>
  </si>
  <si>
    <t>1#10#1980-2000</t>
  </si>
  <si>
    <t>1#10#2000-2020</t>
  </si>
  <si>
    <t>2# 1#1980-2000</t>
  </si>
  <si>
    <t>2# 1#2000-2020</t>
  </si>
  <si>
    <t>2# 2#1980-2000</t>
  </si>
  <si>
    <t>2# 2#2000-2020</t>
  </si>
  <si>
    <t>2# 3#1980-2000</t>
  </si>
  <si>
    <t>2# 3#2000-2020</t>
  </si>
  <si>
    <t>2# 4#1980-2000</t>
  </si>
  <si>
    <t>2# 4#2000-2020</t>
  </si>
  <si>
    <t>2# 5#1980-2000</t>
  </si>
  <si>
    <t>2# 5#2000-2020</t>
  </si>
  <si>
    <t>2# 6#1980-2000</t>
  </si>
  <si>
    <t>2# 6#2000-2020</t>
  </si>
  <si>
    <t>2# 7#1980-2000</t>
  </si>
  <si>
    <t>2# 7#2000-2020</t>
  </si>
  <si>
    <t>2# 8#1980-2000</t>
  </si>
  <si>
    <t>2# 8#2000-2020</t>
  </si>
  <si>
    <t>2# 9#1980-2000</t>
  </si>
  <si>
    <t>2# 9#2000-2020</t>
  </si>
  <si>
    <t>2#10#1980-2000</t>
  </si>
  <si>
    <t>2#10#2000-2020</t>
  </si>
  <si>
    <t>1# 1#1980-2000</t>
  </si>
  <si>
    <t>Haz. ratio</t>
  </si>
  <si>
    <t>std. err.</t>
  </si>
  <si>
    <t>[95% conf.</t>
  </si>
  <si>
    <t>interval]</t>
  </si>
  <si>
    <t>3#1#1980-2000</t>
  </si>
  <si>
    <t>3#1#2000-2020</t>
  </si>
  <si>
    <t>3#2#1980-2000</t>
  </si>
  <si>
    <t>3#2#2000-2020</t>
  </si>
  <si>
    <t>3#3#1980-2000</t>
  </si>
  <si>
    <t>3#3#2000-2020</t>
  </si>
  <si>
    <t>3#4#1980-2000</t>
  </si>
  <si>
    <t>3#4#2000-2020</t>
  </si>
  <si>
    <t>3#5#1980-2000</t>
  </si>
  <si>
    <t>3#5#2000-2020</t>
  </si>
  <si>
    <t>3#6#1980-2000</t>
  </si>
  <si>
    <t>3#6#2000-2020</t>
  </si>
  <si>
    <t>3#7#1980-2000</t>
  </si>
  <si>
    <t>3#7#2000-2020</t>
  </si>
  <si>
    <t>3#8#1980-2000</t>
  </si>
  <si>
    <t>3#8#2000-2020</t>
  </si>
  <si>
    <t>3#9#1980-2000</t>
  </si>
  <si>
    <t>3#9#2000-2020</t>
  </si>
  <si>
    <t>agegroup_dummy#type#</t>
  </si>
  <si>
    <t xml:space="preserve">time_since_outofemp </t>
  </si>
  <si>
    <t xml:space="preserve">time_outofemp </t>
  </si>
  <si>
    <t>3# 1#1980-2000</t>
  </si>
  <si>
    <t>3# 1#2000-2020</t>
  </si>
  <si>
    <t>3# 2#1980-2000</t>
  </si>
  <si>
    <t>3# 2#2000-2020</t>
  </si>
  <si>
    <t>3# 3#1980-2000</t>
  </si>
  <si>
    <t>3# 3#2000-2020</t>
  </si>
  <si>
    <t>3# 4#1980-2000</t>
  </si>
  <si>
    <t>3# 4#2000-2020</t>
  </si>
  <si>
    <t>3# 5#1980-2000</t>
  </si>
  <si>
    <t>3# 5#2000-2020</t>
  </si>
  <si>
    <t>3# 6#1980-2000</t>
  </si>
  <si>
    <t>3# 6#2000-2020</t>
  </si>
  <si>
    <t>3# 7#1980-2000</t>
  </si>
  <si>
    <t>3# 7#2000-2020</t>
  </si>
  <si>
    <t>3# 8#1980-2000</t>
  </si>
  <si>
    <t>3# 8#2000-2020</t>
  </si>
  <si>
    <t>3# 9#1980-2000</t>
  </si>
  <si>
    <t>3# 9#2000-2020</t>
  </si>
  <si>
    <t>3#10#1980-2000</t>
  </si>
  <si>
    <t>3#10#2000-2020</t>
  </si>
  <si>
    <t>0B106-1.963778</t>
  </si>
  <si>
    <t>01-03</t>
  </si>
  <si>
    <t>03-05</t>
  </si>
  <si>
    <t>05-10</t>
  </si>
  <si>
    <t>event: 1 RC formal, 2 RM formal, 3 NRM formal, 4 unemp, 5 inactive, 6 NRC informal, 7 RC informal, 8 RM informal, 9 NRM informal</t>
  </si>
  <si>
    <t>event: 1 NRC formal, 2 RM formal, 3 NRM formal, 4 unemp, 5 inactive, 6 NRC informal, 7 RC informal, 8 RM informal, 9 NRM informal</t>
  </si>
  <si>
    <t>event: 1 NRC formal, 2 RC formal, 3 NRM formal, 4 unemp, 5 inactive, 6 NRC informal, 7 RC informal, 8 RM informal, 9 NRM informal</t>
  </si>
  <si>
    <t>event: 1 NRC formal, 2 RC formal, 3 RM formal, 4 unemp, 5 inactive, 6 NRC informal, 7 RC informal, 8 RM informal, 9 NRM informal</t>
  </si>
  <si>
    <t>event: 1 NRC formal, 2 RC formal, 3 RM formal, 4 NRM formal, 5 unemp, 6 inactive, 7 RC informal, 8 RM informal, 9 NRM informal</t>
  </si>
  <si>
    <t>event: 1 NRC formal, 2 RC formal, 3 RM formal, 4 NRM formal, 5 unemp, 6 inactive, 7 NRC informal, 8 RM informal, 9 NRM informal</t>
  </si>
  <si>
    <t xml:space="preserve">sex </t>
  </si>
  <si>
    <t xml:space="preserve">education </t>
  </si>
  <si>
    <t xml:space="preserve">order </t>
  </si>
  <si>
    <t xml:space="preserve">3+     </t>
  </si>
  <si>
    <t xml:space="preserve">1# 1#2000-2020    </t>
  </si>
  <si>
    <t xml:space="preserve">1# 2#1980-2000     </t>
  </si>
  <si>
    <t xml:space="preserve">1# 2#2000-2020     </t>
  </si>
  <si>
    <t xml:space="preserve">1# 3#1980-2000    </t>
  </si>
  <si>
    <t xml:space="preserve">1# 3#2000-2020    </t>
  </si>
  <si>
    <t xml:space="preserve">1# 4#1980-2000    </t>
  </si>
  <si>
    <t xml:space="preserve">1# 4#2000-2020   </t>
  </si>
  <si>
    <t xml:space="preserve">1# 5#1980-2000  </t>
  </si>
  <si>
    <t xml:space="preserve">1# 5#2000-2020     </t>
  </si>
  <si>
    <t xml:space="preserve">1# 6#1980-2000    </t>
  </si>
  <si>
    <t xml:space="preserve">1# 6#2000-2020     </t>
  </si>
  <si>
    <t xml:space="preserve">1# 7#1980-2000     </t>
  </si>
  <si>
    <t xml:space="preserve">1# 7#2000-2020    </t>
  </si>
  <si>
    <t xml:space="preserve">1# 8#1980-2000   </t>
  </si>
  <si>
    <t xml:space="preserve">1# 8#2000-2020   </t>
  </si>
  <si>
    <t xml:space="preserve">1# 9#1980-2000     </t>
  </si>
  <si>
    <t xml:space="preserve">1# 9#2000-2020     </t>
  </si>
  <si>
    <t xml:space="preserve">1#10#1980-2000     </t>
  </si>
  <si>
    <t xml:space="preserve">1#10#2000-2020     </t>
  </si>
  <si>
    <t xml:space="preserve">2# 1#1980-2000    </t>
  </si>
  <si>
    <t xml:space="preserve">2# 1#2000-2020     </t>
  </si>
  <si>
    <t xml:space="preserve">2# 2#1980-2000     </t>
  </si>
  <si>
    <t xml:space="preserve">2# 2#2000-2020    </t>
  </si>
  <si>
    <t xml:space="preserve">2# 3#1980-2000     </t>
  </si>
  <si>
    <t xml:space="preserve">2# 3#2000-2020      </t>
  </si>
  <si>
    <t xml:space="preserve">2# 4#1980-2000     </t>
  </si>
  <si>
    <t xml:space="preserve">2# 4#2000-2020     </t>
  </si>
  <si>
    <t xml:space="preserve">2# 5#1980-2000     </t>
  </si>
  <si>
    <t xml:space="preserve">2# 5#2000-2020    </t>
  </si>
  <si>
    <t xml:space="preserve">2# 6#1980-2000     </t>
  </si>
  <si>
    <t xml:space="preserve">2# 6#2000-2020     </t>
  </si>
  <si>
    <t xml:space="preserve">2# 7#1980-2000   </t>
  </si>
  <si>
    <t xml:space="preserve">2# 7#2000-2020    </t>
  </si>
  <si>
    <t xml:space="preserve">2# 8#1980-2000      </t>
  </si>
  <si>
    <t xml:space="preserve">2# 8#2000-2020    </t>
  </si>
  <si>
    <t xml:space="preserve">2# 9#1980-2000     </t>
  </si>
  <si>
    <t xml:space="preserve">2# 9#2000-2020     </t>
  </si>
  <si>
    <t xml:space="preserve">2#10#1980-2000    </t>
  </si>
  <si>
    <t xml:space="preserve">2#10#2000-2020    </t>
  </si>
  <si>
    <t xml:space="preserve">_cons    </t>
  </si>
  <si>
    <t>Male# 1#1980-2000</t>
  </si>
  <si>
    <t xml:space="preserve">1# 1#1980-2000     </t>
  </si>
  <si>
    <t>Focusing on those who lost their job unvoluntarily only</t>
  </si>
  <si>
    <t>2010-2015</t>
  </si>
  <si>
    <t>2000-2015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</si>
</sst>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"/>
    <numFmt numFmtId="165" formatCode="#,##0.00000"/>
    <numFmt numFmtId="166" formatCode="#,##0.000000"/>
    <numFmt numFmtId="167" formatCode="0.000000"/>
    <numFmt numFmtId="168" formatCode="0.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ont="1" applyFill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/>
    <xf numFmtId="0" fontId="0" fillId="0" borderId="0" xfId="0" applyFont="1"/>
    <xf numFmtId="0" fontId="0" fillId="0" borderId="3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0" xfId="0" applyFont="1" applyAlignment="1">
      <alignment vertical="center"/>
    </xf>
    <xf numFmtId="166" fontId="0" fillId="0" borderId="0" xfId="0" applyNumberFormat="1" applyFont="1" applyAlignment="1">
      <alignment vertical="center"/>
    </xf>
    <xf numFmtId="3" fontId="0" fillId="0" borderId="0" xfId="0" applyNumberFormat="1" applyFont="1" applyAlignment="1">
      <alignment vertical="center"/>
    </xf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 applyAlignment="1">
      <alignment vertical="center"/>
    </xf>
    <xf numFmtId="167" fontId="0" fillId="0" borderId="0" xfId="0" applyNumberFormat="1" applyFont="1"/>
    <xf numFmtId="165" fontId="0" fillId="0" borderId="0" xfId="0" applyNumberFormat="1" applyFont="1" applyAlignment="1">
      <alignment vertical="center"/>
    </xf>
    <xf numFmtId="166" fontId="0" fillId="0" borderId="0" xfId="0" applyNumberFormat="1" applyFont="1"/>
    <xf numFmtId="0" fontId="0" fillId="0" borderId="8" xfId="0" applyFont="1" applyBorder="1"/>
    <xf numFmtId="3" fontId="0" fillId="0" borderId="8" xfId="0" applyNumberFormat="1" applyFont="1" applyBorder="1"/>
    <xf numFmtId="0" fontId="0" fillId="0" borderId="9" xfId="0" applyFont="1" applyBorder="1" applyAlignment="1">
      <alignment vertical="center"/>
    </xf>
    <xf numFmtId="165" fontId="0" fillId="0" borderId="10" xfId="0" applyNumberFormat="1" applyFont="1" applyBorder="1" applyAlignment="1">
      <alignment vertical="center"/>
    </xf>
    <xf numFmtId="166" fontId="0" fillId="0" borderId="10" xfId="0" applyNumberFormat="1" applyFont="1" applyBorder="1"/>
    <xf numFmtId="3" fontId="0" fillId="0" borderId="11" xfId="0" applyNumberFormat="1" applyFont="1" applyBorder="1"/>
    <xf numFmtId="11" fontId="0" fillId="0" borderId="0" xfId="0" applyNumberFormat="1" applyFont="1" applyAlignment="1">
      <alignment vertical="center"/>
    </xf>
    <xf numFmtId="0" fontId="0" fillId="0" borderId="7" xfId="0" applyFont="1" applyBorder="1"/>
    <xf numFmtId="3" fontId="0" fillId="0" borderId="0" xfId="0" applyNumberFormat="1" applyFont="1"/>
    <xf numFmtId="0" fontId="0" fillId="0" borderId="9" xfId="0" applyFont="1" applyBorder="1"/>
    <xf numFmtId="0" fontId="0" fillId="0" borderId="10" xfId="0" applyFont="1" applyBorder="1" applyAlignment="1">
      <alignment vertical="center"/>
    </xf>
    <xf numFmtId="3" fontId="0" fillId="0" borderId="10" xfId="0" applyNumberFormat="1" applyFont="1" applyBorder="1"/>
    <xf numFmtId="0" fontId="0" fillId="0" borderId="10" xfId="0" applyFont="1" applyBorder="1"/>
    <xf numFmtId="11" fontId="0" fillId="0" borderId="10" xfId="0" applyNumberFormat="1" applyFont="1" applyBorder="1"/>
    <xf numFmtId="0" fontId="0" fillId="0" borderId="11" xfId="0" applyFont="1" applyBorder="1"/>
    <xf numFmtId="3" fontId="0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center"/>
    </xf>
    <xf numFmtId="11" fontId="0" fillId="0" borderId="11" xfId="0" applyNumberFormat="1" applyFont="1" applyBorder="1"/>
    <xf numFmtId="11" fontId="0" fillId="2" borderId="0" xfId="0" applyNumberFormat="1" applyFont="1" applyFill="1" applyAlignment="1">
      <alignment vertical="center"/>
    </xf>
    <xf numFmtId="0" fontId="0" fillId="0" borderId="1" xfId="0" applyFont="1" applyBorder="1" applyAlignment="1">
      <alignment vertical="center"/>
    </xf>
    <xf numFmtId="16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11" fontId="0" fillId="0" borderId="8" xfId="0" applyNumberFormat="1" applyFont="1" applyBorder="1"/>
    <xf numFmtId="168" fontId="0" fillId="0" borderId="0" xfId="0" applyNumberFormat="1" applyFont="1" applyBorder="1" applyAlignment="1">
      <alignment vertical="center"/>
    </xf>
    <xf numFmtId="164" fontId="0" fillId="0" borderId="0" xfId="0" applyNumberFormat="1" applyFont="1" applyAlignment="1">
      <alignment vertical="center"/>
    </xf>
    <xf numFmtId="11" fontId="0" fillId="0" borderId="0" xfId="0" applyNumberFormat="1" applyFont="1"/>
    <xf numFmtId="3" fontId="0" fillId="0" borderId="10" xfId="0" applyNumberFormat="1" applyFont="1" applyBorder="1" applyAlignment="1">
      <alignment vertical="center"/>
    </xf>
    <xf numFmtId="2" fontId="0" fillId="0" borderId="0" xfId="0" applyNumberFormat="1" applyFont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Font="1" applyFill="1"/>
    <xf numFmtId="3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11" fontId="0" fillId="0" borderId="0" xfId="0" applyNumberFormat="1" applyFont="1" applyFill="1" applyAlignment="1">
      <alignment vertical="center"/>
    </xf>
    <xf numFmtId="11" fontId="0" fillId="0" borderId="0" xfId="0" applyNumberFormat="1" applyBorder="1" applyAlignment="1">
      <alignment vertical="center"/>
    </xf>
    <xf numFmtId="0" fontId="0" fillId="0" borderId="0" xfId="0" applyFont="1" applyBorder="1"/>
    <xf numFmtId="0" fontId="0" fillId="0" borderId="2" xfId="0" applyFont="1" applyBorder="1" applyAlignment="1"/>
    <xf numFmtId="0" fontId="0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NRC formal'!$B$48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of NRC 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NRC formal'!$B$49:$B$52</c:f>
              <c:numCache>
                <c:formatCode>#,##0.00000</c:formatCode>
                <c:ptCount val="4"/>
                <c:pt idx="0" formatCode="0.000000">
                  <c:v>0.55294120000000002</c:v>
                </c:pt>
                <c:pt idx="1">
                  <c:v>1.8102180000000001</c:v>
                </c:pt>
                <c:pt idx="2">
                  <c:v>3.240993</c:v>
                </c:pt>
                <c:pt idx="3">
                  <c:v>1.142485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C-4AFB-92EC-84E77A203AD0}"/>
            </c:ext>
          </c:extLst>
        </c:ser>
        <c:ser>
          <c:idx val="1"/>
          <c:order val="1"/>
          <c:tx>
            <c:strRef>
              <c:f>'Outcomes of NRC formal'!$C$48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of NRC 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NRC formal'!$C$49:$C$52</c:f>
              <c:numCache>
                <c:formatCode>#,##0.00000</c:formatCode>
                <c:ptCount val="4"/>
                <c:pt idx="0">
                  <c:v>0.1176471</c:v>
                </c:pt>
                <c:pt idx="1">
                  <c:v>0.38940750000000002</c:v>
                </c:pt>
                <c:pt idx="2">
                  <c:v>0.9283245</c:v>
                </c:pt>
                <c:pt idx="3">
                  <c:v>0.3545644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C-4AFB-92EC-84E77A203AD0}"/>
            </c:ext>
          </c:extLst>
        </c:ser>
        <c:ser>
          <c:idx val="2"/>
          <c:order val="2"/>
          <c:tx>
            <c:strRef>
              <c:f>'Outcomes of NRC formal'!$D$48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of NRC 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NRC formal'!$D$49:$D$52</c:f>
              <c:numCache>
                <c:formatCode>#,##0.00000</c:formatCode>
                <c:ptCount val="4"/>
                <c:pt idx="0">
                  <c:v>0.2117647</c:v>
                </c:pt>
                <c:pt idx="1">
                  <c:v>0.54727530000000002</c:v>
                </c:pt>
                <c:pt idx="2">
                  <c:v>1.058616</c:v>
                </c:pt>
                <c:pt idx="3">
                  <c:v>0.63033680000000003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C-4AFB-92EC-84E77A203AD0}"/>
            </c:ext>
          </c:extLst>
        </c:ser>
        <c:ser>
          <c:idx val="3"/>
          <c:order val="3"/>
          <c:tx>
            <c:strRef>
              <c:f>'Outcomes of NRC formal'!$E$48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of NRC 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NRC formal'!$E$49:$E$52</c:f>
              <c:numCache>
                <c:formatCode>#,##0.00000</c:formatCode>
                <c:ptCount val="4"/>
                <c:pt idx="0">
                  <c:v>0.68627450000000001</c:v>
                </c:pt>
                <c:pt idx="1">
                  <c:v>2.3680180000000002</c:v>
                </c:pt>
                <c:pt idx="2">
                  <c:v>2.6302530000000002</c:v>
                </c:pt>
                <c:pt idx="3">
                  <c:v>5.003298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BC-4AFB-92EC-84E77A203AD0}"/>
            </c:ext>
          </c:extLst>
        </c:ser>
        <c:ser>
          <c:idx val="4"/>
          <c:order val="4"/>
          <c:tx>
            <c:strRef>
              <c:f>'Outcomes of NRC formal'!$F$48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'Outcomes of NRC 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NRC formal'!$F$49:$F$52</c:f>
              <c:numCache>
                <c:formatCode>#,##0.00000</c:formatCode>
                <c:ptCount val="4"/>
                <c:pt idx="0">
                  <c:v>1</c:v>
                </c:pt>
                <c:pt idx="1">
                  <c:v>1.505007</c:v>
                </c:pt>
                <c:pt idx="2">
                  <c:v>1.80779</c:v>
                </c:pt>
                <c:pt idx="3">
                  <c:v>3.6244360000000002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BC-4AFB-92EC-84E77A203AD0}"/>
            </c:ext>
          </c:extLst>
        </c:ser>
        <c:ser>
          <c:idx val="5"/>
          <c:order val="5"/>
          <c:tx>
            <c:strRef>
              <c:f>'Outcomes of NRC formal'!$G$48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'Outcomes of NRC 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NRC formal'!$G$49:$G$52</c:f>
              <c:numCache>
                <c:formatCode>#,##0.00000</c:formatCode>
                <c:ptCount val="4"/>
                <c:pt idx="0">
                  <c:v>0.65490199999999998</c:v>
                </c:pt>
                <c:pt idx="1">
                  <c:v>1.4418599999999999</c:v>
                </c:pt>
                <c:pt idx="2">
                  <c:v>1.514635</c:v>
                </c:pt>
                <c:pt idx="3">
                  <c:v>1.615238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BC-4AFB-92EC-84E77A203AD0}"/>
            </c:ext>
          </c:extLst>
        </c:ser>
        <c:ser>
          <c:idx val="6"/>
          <c:order val="6"/>
          <c:tx>
            <c:strRef>
              <c:f>'Outcomes of NRC formal'!$H$48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of NRC 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NRC formal'!$H$49:$H$52</c:f>
              <c:numCache>
                <c:formatCode>#,##0.000000</c:formatCode>
                <c:ptCount val="4"/>
                <c:pt idx="0">
                  <c:v>9.0197100000000002E-2</c:v>
                </c:pt>
                <c:pt idx="1">
                  <c:v>0.29468670000000002</c:v>
                </c:pt>
                <c:pt idx="2">
                  <c:v>0.40715990000000002</c:v>
                </c:pt>
                <c:pt idx="3">
                  <c:v>0.3545644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8-43BC-9328-80F4B8AD56D1}"/>
            </c:ext>
          </c:extLst>
        </c:ser>
        <c:ser>
          <c:idx val="7"/>
          <c:order val="7"/>
          <c:tx>
            <c:strRef>
              <c:f>'Outcomes of NRC formal'!$I$48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of NRC 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NRC formal'!$I$49:$I$52</c:f>
              <c:numCache>
                <c:formatCode>#,##0.000000</c:formatCode>
                <c:ptCount val="4"/>
                <c:pt idx="0">
                  <c:v>7.8434900000000002E-2</c:v>
                </c:pt>
                <c:pt idx="1">
                  <c:v>0.17891689999999999</c:v>
                </c:pt>
                <c:pt idx="2">
                  <c:v>0.26872550000000001</c:v>
                </c:pt>
                <c:pt idx="3">
                  <c:v>0.39396049999999999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8-43BC-9328-80F4B8AD56D1}"/>
            </c:ext>
          </c:extLst>
        </c:ser>
        <c:ser>
          <c:idx val="8"/>
          <c:order val="8"/>
          <c:tx>
            <c:strRef>
              <c:f>'Outcomes of NRC formal'!$J$48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of NRC 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NRC formal'!$J$49:$J$52</c:f>
              <c:numCache>
                <c:formatCode>#,##0</c:formatCode>
                <c:ptCount val="4"/>
                <c:pt idx="0" formatCode="General">
                  <c:v>0.15686269999999999</c:v>
                </c:pt>
                <c:pt idx="1">
                  <c:v>0.43150559999999999</c:v>
                </c:pt>
                <c:pt idx="2">
                  <c:v>0.61073980000000005</c:v>
                </c:pt>
                <c:pt idx="3">
                  <c:v>0.43335649999999998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68-43BC-9328-80F4B8AD5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507784"/>
        <c:axId val="503509424"/>
      </c:barChart>
      <c:catAx>
        <c:axId val="50350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9424"/>
        <c:crosses val="autoZero"/>
        <c:auto val="1"/>
        <c:lblAlgn val="ctr"/>
        <c:lblOffset val="100"/>
        <c:noMultiLvlLbl val="0"/>
      </c:catAx>
      <c:valAx>
        <c:axId val="5035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RC formal'!$C$432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formal'!$O$432:$O$435</c:f>
                <c:numCache>
                  <c:formatCode>General</c:formatCode>
                  <c:ptCount val="4"/>
                  <c:pt idx="0">
                    <c:v>0.23633240000000005</c:v>
                  </c:pt>
                  <c:pt idx="1">
                    <c:v>0.51879710000000001</c:v>
                  </c:pt>
                  <c:pt idx="2">
                    <c:v>0.80433299999999996</c:v>
                  </c:pt>
                  <c:pt idx="3">
                    <c:v>1.2034140000000004</c:v>
                  </c:pt>
                </c:numCache>
              </c:numRef>
            </c:plus>
            <c:minus>
              <c:numRef>
                <c:f>'Outcomes of RC formal'!$N$432:$N$435</c:f>
                <c:numCache>
                  <c:formatCode>General</c:formatCode>
                  <c:ptCount val="4"/>
                  <c:pt idx="0">
                    <c:v>0.12529249999999997</c:v>
                  </c:pt>
                  <c:pt idx="1">
                    <c:v>0.27877769999999996</c:v>
                  </c:pt>
                  <c:pt idx="2">
                    <c:v>0.56360499999999991</c:v>
                  </c:pt>
                  <c:pt idx="3">
                    <c:v>0.85115499999999988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formal'!$A$433:$B$436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RC formal'!$C$433:$C$436</c:f>
              <c:numCache>
                <c:formatCode>#,##0.00000</c:formatCode>
                <c:ptCount val="4"/>
                <c:pt idx="0" formatCode="0.000000">
                  <c:v>0.26666669999999998</c:v>
                </c:pt>
                <c:pt idx="1">
                  <c:v>0.60257289999999997</c:v>
                </c:pt>
                <c:pt idx="2" formatCode="#,##0">
                  <c:v>1.8831439999999999</c:v>
                </c:pt>
                <c:pt idx="3" formatCode="#,##0">
                  <c:v>2.9077809999999999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E-44B8-9A6E-9FB2557FE566}"/>
            </c:ext>
          </c:extLst>
        </c:ser>
        <c:ser>
          <c:idx val="1"/>
          <c:order val="1"/>
          <c:tx>
            <c:strRef>
              <c:f>'Outcomes of RC formal'!$D$432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formal'!$O$436:$O$439</c:f>
                <c:numCache>
                  <c:formatCode>General</c:formatCode>
                  <c:ptCount val="4"/>
                  <c:pt idx="0">
                    <c:v>0.37835039999999998</c:v>
                  </c:pt>
                  <c:pt idx="1">
                    <c:v>0.70729280000000005</c:v>
                  </c:pt>
                  <c:pt idx="2">
                    <c:v>0.1309824</c:v>
                  </c:pt>
                  <c:pt idx="3">
                    <c:v>0.22113379999999999</c:v>
                  </c:pt>
                </c:numCache>
              </c:numRef>
            </c:plus>
            <c:minus>
              <c:numRef>
                <c:f>'Outcomes of RC formal'!$N$436:$N$439</c:f>
                <c:numCache>
                  <c:formatCode>General</c:formatCode>
                  <c:ptCount val="4"/>
                  <c:pt idx="0">
                    <c:v>0.23203369999999995</c:v>
                  </c:pt>
                  <c:pt idx="1">
                    <c:v>0.40119569999999993</c:v>
                  </c:pt>
                  <c:pt idx="2">
                    <c:v>5.1484299999999997E-2</c:v>
                  </c:pt>
                  <c:pt idx="3">
                    <c:v>0.124974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formal'!$A$433:$B$436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RC formal'!$D$433:$D$436</c:f>
              <c:numCache>
                <c:formatCode>#,##0.00000</c:formatCode>
                <c:ptCount val="4"/>
                <c:pt idx="0">
                  <c:v>0.6</c:v>
                </c:pt>
                <c:pt idx="1">
                  <c:v>0.92703519999999995</c:v>
                </c:pt>
                <c:pt idx="2">
                  <c:v>8.4826299999999993E-2</c:v>
                </c:pt>
                <c:pt idx="3" formatCode="General">
                  <c:v>0.28739690000000001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E-44B8-9A6E-9FB2557FE566}"/>
            </c:ext>
          </c:extLst>
        </c:ser>
        <c:ser>
          <c:idx val="2"/>
          <c:order val="2"/>
          <c:tx>
            <c:strRef>
              <c:f>'Outcomes of RC formal'!$E$432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formal'!$O$440:$O$443</c:f>
                <c:numCache>
                  <c:formatCode>General</c:formatCode>
                  <c:ptCount val="4"/>
                  <c:pt idx="0">
                    <c:v>0.49178890000000008</c:v>
                  </c:pt>
                  <c:pt idx="1">
                    <c:v>0.92292400000000008</c:v>
                  </c:pt>
                  <c:pt idx="2">
                    <c:v>0.1986521</c:v>
                  </c:pt>
                  <c:pt idx="3">
                    <c:v>0.23272139999999997</c:v>
                  </c:pt>
                </c:numCache>
              </c:numRef>
            </c:plus>
            <c:minus>
              <c:numRef>
                <c:f>'Outcomes of RC formal'!$N$440:$N$443</c:f>
                <c:numCache>
                  <c:formatCode>General</c:formatCode>
                  <c:ptCount val="4"/>
                  <c:pt idx="0">
                    <c:v>0.31939149999999994</c:v>
                  </c:pt>
                  <c:pt idx="1">
                    <c:v>0.5882639999999999</c:v>
                  </c:pt>
                  <c:pt idx="2">
                    <c:v>0.10817589999999999</c:v>
                  </c:pt>
                  <c:pt idx="3">
                    <c:v>0.1349485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formal'!$A$433:$B$436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RC formal'!$E$433:$E$436</c:f>
              <c:numCache>
                <c:formatCode>#,##0.00000</c:formatCode>
                <c:ptCount val="4"/>
                <c:pt idx="0">
                  <c:v>0.91111109999999995</c:v>
                </c:pt>
                <c:pt idx="1">
                  <c:v>1.622312</c:v>
                </c:pt>
                <c:pt idx="2">
                  <c:v>0.23751369999999999</c:v>
                </c:pt>
                <c:pt idx="3" formatCode="General">
                  <c:v>0.3212083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5E-44B8-9A6E-9FB2557FE566}"/>
            </c:ext>
          </c:extLst>
        </c:ser>
        <c:ser>
          <c:idx val="3"/>
          <c:order val="3"/>
          <c:tx>
            <c:strRef>
              <c:f>'Outcomes of RC formal'!$F$432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formal'!$Q$432:$Q$435</c:f>
                <c:numCache>
                  <c:formatCode>General</c:formatCode>
                  <c:ptCount val="4"/>
                  <c:pt idx="0">
                    <c:v>0.66419200000000012</c:v>
                  </c:pt>
                  <c:pt idx="1">
                    <c:v>1.278416</c:v>
                  </c:pt>
                  <c:pt idx="2">
                    <c:v>0.61233699999999991</c:v>
                  </c:pt>
                  <c:pt idx="3">
                    <c:v>1.0609869999999999</c:v>
                  </c:pt>
                </c:numCache>
              </c:numRef>
            </c:plus>
            <c:minus>
              <c:numRef>
                <c:f>'Outcomes of RC formal'!$P$432:$P$435</c:f>
                <c:numCache>
                  <c:formatCode>General</c:formatCode>
                  <c:ptCount val="4"/>
                  <c:pt idx="0">
                    <c:v>0.43571859999999996</c:v>
                  </c:pt>
                  <c:pt idx="1">
                    <c:v>0.80564499999999972</c:v>
                  </c:pt>
                  <c:pt idx="2">
                    <c:v>0.40974520000000003</c:v>
                  </c:pt>
                  <c:pt idx="3">
                    <c:v>0.74048800000000004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formal'!$A$433:$B$436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RC formal'!$F$433:$F$436</c:f>
              <c:numCache>
                <c:formatCode>#,##0.00000</c:formatCode>
                <c:ptCount val="4"/>
                <c:pt idx="0">
                  <c:v>1.266667</c:v>
                </c:pt>
                <c:pt idx="1">
                  <c:v>2.1785329999999998</c:v>
                </c:pt>
                <c:pt idx="2">
                  <c:v>1.238464</c:v>
                </c:pt>
                <c:pt idx="3" formatCode="#,##0">
                  <c:v>2.451327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5E-44B8-9A6E-9FB2557FE566}"/>
            </c:ext>
          </c:extLst>
        </c:ser>
        <c:ser>
          <c:idx val="4"/>
          <c:order val="4"/>
          <c:tx>
            <c:strRef>
              <c:f>'Outcomes of RC formal'!$G$432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formal'!$Q$436:$Q$439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1.0506199999999999</c:v>
                  </c:pt>
                  <c:pt idx="2">
                    <c:v>0.76376500000000003</c:v>
                  </c:pt>
                  <c:pt idx="3">
                    <c:v>1.0985770000000001</c:v>
                  </c:pt>
                </c:numCache>
              </c:numRef>
            </c:plus>
            <c:minus>
              <c:numRef>
                <c:f>'Outcomes of RC formal'!$P$436:$P$439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0.67061200000000021</c:v>
                  </c:pt>
                  <c:pt idx="2">
                    <c:v>0.51993899999999993</c:v>
                  </c:pt>
                  <c:pt idx="3">
                    <c:v>0.76957199999999992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formal'!$A$433:$B$436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RC formal'!$G$433:$G$436</c:f>
              <c:numCache>
                <c:formatCode>#,##0.00000</c:formatCode>
                <c:ptCount val="4"/>
                <c:pt idx="0">
                  <c:v>1</c:v>
                </c:pt>
                <c:pt idx="1">
                  <c:v>1.8540700000000001</c:v>
                </c:pt>
                <c:pt idx="2">
                  <c:v>1.628665</c:v>
                </c:pt>
                <c:pt idx="3" formatCode="#,##0">
                  <c:v>2.5696669999999999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5E-44B8-9A6E-9FB2557FE566}"/>
            </c:ext>
          </c:extLst>
        </c:ser>
        <c:ser>
          <c:idx val="5"/>
          <c:order val="5"/>
          <c:tx>
            <c:strRef>
              <c:f>'Outcomes of RC formal'!$H$432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formal'!$Q$440:$Q$443</c:f>
                <c:numCache>
                  <c:formatCode>General</c:formatCode>
                  <c:ptCount val="4"/>
                  <c:pt idx="0">
                    <c:v>0.1812974</c:v>
                  </c:pt>
                  <c:pt idx="1">
                    <c:v>0.35851440000000007</c:v>
                  </c:pt>
                  <c:pt idx="2">
                    <c:v>0.24227010000000004</c:v>
                  </c:pt>
                  <c:pt idx="3">
                    <c:v>0.2963345</c:v>
                  </c:pt>
                </c:numCache>
              </c:numRef>
            </c:plus>
            <c:minus>
              <c:numRef>
                <c:f>'Outcomes of RC formal'!$P$440:$P$443</c:f>
                <c:numCache>
                  <c:formatCode>General</c:formatCode>
                  <c:ptCount val="4"/>
                  <c:pt idx="0">
                    <c:v>7.6829699999999987E-2</c:v>
                  </c:pt>
                  <c:pt idx="1">
                    <c:v>0.14076339999999998</c:v>
                  </c:pt>
                  <c:pt idx="2">
                    <c:v>0.14134619999999998</c:v>
                  </c:pt>
                  <c:pt idx="3">
                    <c:v>0.18224489999999999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formal'!$A$433:$B$436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RC formal'!$H$433:$H$436</c:f>
              <c:numCache>
                <c:formatCode>#,##0.00000</c:formatCode>
                <c:ptCount val="4"/>
                <c:pt idx="0">
                  <c:v>0.13333329999999999</c:v>
                </c:pt>
                <c:pt idx="1">
                  <c:v>0.23175879999999999</c:v>
                </c:pt>
                <c:pt idx="2">
                  <c:v>0.33930519999999997</c:v>
                </c:pt>
                <c:pt idx="3" formatCode="General">
                  <c:v>0.47335969999999999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5E-44B8-9A6E-9FB2557FE566}"/>
            </c:ext>
          </c:extLst>
        </c:ser>
        <c:ser>
          <c:idx val="6"/>
          <c:order val="6"/>
          <c:tx>
            <c:strRef>
              <c:f>'Outcomes of RC formal'!$I$432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formal'!$S$432:$S$435</c:f>
                <c:numCache>
                  <c:formatCode>General</c:formatCode>
                  <c:ptCount val="4"/>
                  <c:pt idx="0">
                    <c:v>0.29814659999999993</c:v>
                  </c:pt>
                  <c:pt idx="1">
                    <c:v>0.56519059999999999</c:v>
                  </c:pt>
                  <c:pt idx="2">
                    <c:v>0.27381790000000006</c:v>
                  </c:pt>
                  <c:pt idx="3">
                    <c:v>0.34828919999999997</c:v>
                  </c:pt>
                </c:numCache>
              </c:numRef>
            </c:plus>
            <c:minus>
              <c:numRef>
                <c:f>'Outcomes of RC formal'!$R$432:$R$435</c:f>
                <c:numCache>
                  <c:formatCode>General</c:formatCode>
                  <c:ptCount val="4"/>
                  <c:pt idx="0">
                    <c:v>0.17082180000000002</c:v>
                  </c:pt>
                  <c:pt idx="1">
                    <c:v>0.31176029999999999</c:v>
                  </c:pt>
                  <c:pt idx="2">
                    <c:v>0.16639429999999999</c:v>
                  </c:pt>
                  <c:pt idx="3">
                    <c:v>0.21923939999999997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formal'!$A$433:$B$436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RC formal'!$I$433:$I$436</c:f>
              <c:numCache>
                <c:formatCode>#,##0.000000</c:formatCode>
                <c:ptCount val="4"/>
                <c:pt idx="0">
                  <c:v>0.4</c:v>
                </c:pt>
                <c:pt idx="1">
                  <c:v>0.69527640000000002</c:v>
                </c:pt>
                <c:pt idx="2">
                  <c:v>0.42413149999999999</c:v>
                </c:pt>
                <c:pt idx="3" formatCode="#,##0">
                  <c:v>0.59169959999999999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5E-44B8-9A6E-9FB2557FE566}"/>
            </c:ext>
          </c:extLst>
        </c:ser>
        <c:ser>
          <c:idx val="7"/>
          <c:order val="7"/>
          <c:tx>
            <c:strRef>
              <c:f>'Outcomes of RC formal'!$J$432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formal'!$S$436:$S$439</c:f>
                <c:numCache>
                  <c:formatCode>General</c:formatCode>
                  <c:ptCount val="4"/>
                  <c:pt idx="0">
                    <c:v>0.3012321</c:v>
                  </c:pt>
                  <c:pt idx="1">
                    <c:v>0.62500180000000005</c:v>
                  </c:pt>
                  <c:pt idx="2">
                    <c:v>0.16793160000000001</c:v>
                  </c:pt>
                  <c:pt idx="3">
                    <c:v>0.11335089999999999</c:v>
                  </c:pt>
                </c:numCache>
              </c:numRef>
            </c:plus>
            <c:minus>
              <c:numRef>
                <c:f>'Outcomes of RC formal'!$R$436:$R$439</c:f>
                <c:numCache>
                  <c:formatCode>General</c:formatCode>
                  <c:ptCount val="4"/>
                  <c:pt idx="0">
                    <c:v>0.17580499999999999</c:v>
                  </c:pt>
                  <c:pt idx="1">
                    <c:v>0.33916929999999995</c:v>
                  </c:pt>
                  <c:pt idx="2">
                    <c:v>6.3376199999999994E-2</c:v>
                  </c:pt>
                  <c:pt idx="3">
                    <c:v>3.5039300000000002E-2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formal'!$A$433:$B$436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RC formal'!$J$433:$J$436</c:f>
              <c:numCache>
                <c:formatCode>#,##0.000000</c:formatCode>
                <c:ptCount val="4"/>
                <c:pt idx="0">
                  <c:v>0.42222219999999999</c:v>
                </c:pt>
                <c:pt idx="1">
                  <c:v>0.74162819999999996</c:v>
                </c:pt>
                <c:pt idx="2">
                  <c:v>0.1017916</c:v>
                </c:pt>
                <c:pt idx="3" formatCode="General">
                  <c:v>5.0717100000000001E-2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5E-44B8-9A6E-9FB2557FE566}"/>
            </c:ext>
          </c:extLst>
        </c:ser>
        <c:ser>
          <c:idx val="8"/>
          <c:order val="8"/>
          <c:tx>
            <c:strRef>
              <c:f>'Outcomes of RC formal'!$K$432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formal'!$S$440:$S$443</c:f>
                <c:numCache>
                  <c:formatCode>General</c:formatCode>
                  <c:ptCount val="4"/>
                  <c:pt idx="0">
                    <c:v>0.37200120000000003</c:v>
                  </c:pt>
                  <c:pt idx="1">
                    <c:v>0.71825399999999995</c:v>
                  </c:pt>
                  <c:pt idx="2">
                    <c:v>0.1464818</c:v>
                  </c:pt>
                  <c:pt idx="3">
                    <c:v>0.27018740000000002</c:v>
                  </c:pt>
                </c:numCache>
              </c:numRef>
            </c:plus>
            <c:minus>
              <c:numRef>
                <c:f>'Outcomes of RC formal'!$R$440:$R$443</c:f>
                <c:numCache>
                  <c:formatCode>General</c:formatCode>
                  <c:ptCount val="4"/>
                  <c:pt idx="0">
                    <c:v>0.2296301</c:v>
                  </c:pt>
                  <c:pt idx="1">
                    <c:v>0.45003710000000008</c:v>
                  </c:pt>
                  <c:pt idx="2">
                    <c:v>6.5585099999999993E-2</c:v>
                  </c:pt>
                  <c:pt idx="3">
                    <c:v>0.16218540000000001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formal'!$A$433:$B$436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RC formal'!$K$433:$K$436</c:f>
              <c:numCache>
                <c:formatCode>0.00E+00</c:formatCode>
                <c:ptCount val="4"/>
                <c:pt idx="0" formatCode="General">
                  <c:v>0.6</c:v>
                </c:pt>
                <c:pt idx="1">
                  <c:v>1.2051460000000001</c:v>
                </c:pt>
                <c:pt idx="2" formatCode="General">
                  <c:v>0.1187568</c:v>
                </c:pt>
                <c:pt idx="3" formatCode="General">
                  <c:v>0.40573690000000001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5E-44B8-9A6E-9FB2557FE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610296"/>
        <c:axId val="517610624"/>
      </c:barChart>
      <c:catAx>
        <c:axId val="51761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10624"/>
        <c:crosses val="autoZero"/>
        <c:auto val="1"/>
        <c:lblAlgn val="ctr"/>
        <c:lblOffset val="100"/>
        <c:noMultiLvlLbl val="0"/>
      </c:catAx>
      <c:valAx>
        <c:axId val="51761062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1029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RC formal'!$M$142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formal'!$Q$103:$Q$106</c:f>
                <c:numCache>
                  <c:formatCode>General</c:formatCode>
                  <c:ptCount val="4"/>
                  <c:pt idx="0">
                    <c:v>0.12107140000000001</c:v>
                  </c:pt>
                  <c:pt idx="1">
                    <c:v>0.30403450000000004</c:v>
                  </c:pt>
                  <c:pt idx="2">
                    <c:v>0.59421089999999999</c:v>
                  </c:pt>
                  <c:pt idx="3">
                    <c:v>3.2000000000000011E-7</c:v>
                  </c:pt>
                </c:numCache>
              </c:numRef>
            </c:plus>
            <c:minus>
              <c:numRef>
                <c:f>'Outcomes of RC formal'!$P$103:$P$106</c:f>
                <c:numCache>
                  <c:formatCode>General</c:formatCode>
                  <c:ptCount val="4"/>
                  <c:pt idx="0">
                    <c:v>5.9309599999999997E-2</c:v>
                  </c:pt>
                  <c:pt idx="1">
                    <c:v>9.5794499999999977E-2</c:v>
                  </c:pt>
                  <c:pt idx="2">
                    <c:v>0.27327389999999996</c:v>
                  </c:pt>
                  <c:pt idx="3">
                    <c:v>2.2899999999999995E-7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RC formal'!$L$143:$L$146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RC formal'!$M$143:$M$146</c:f>
              <c:numCache>
                <c:formatCode>#,##0.00000</c:formatCode>
                <c:ptCount val="4"/>
                <c:pt idx="0" formatCode="0.000000">
                  <c:v>0.1162641</c:v>
                </c:pt>
                <c:pt idx="1">
                  <c:v>0.13986199999999999</c:v>
                </c:pt>
                <c:pt idx="2">
                  <c:v>0.5059631</c:v>
                </c:pt>
                <c:pt idx="3">
                  <c:v>7.9999999999999996E-7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F-4A56-BA21-86265AA42E61}"/>
            </c:ext>
          </c:extLst>
        </c:ser>
        <c:ser>
          <c:idx val="1"/>
          <c:order val="1"/>
          <c:tx>
            <c:strRef>
              <c:f>'Outcomes of RC formal'!$N$142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formal'!$Q$107:$Q$110</c:f>
                <c:numCache>
                  <c:formatCode>General</c:formatCode>
                  <c:ptCount val="4"/>
                  <c:pt idx="0">
                    <c:v>0.14887880000000001</c:v>
                  </c:pt>
                  <c:pt idx="1">
                    <c:v>0.49073060000000013</c:v>
                  </c:pt>
                  <c:pt idx="2">
                    <c:v>0.59818989999999994</c:v>
                  </c:pt>
                  <c:pt idx="3">
                    <c:v>2.5580270000000001</c:v>
                  </c:pt>
                </c:numCache>
              </c:numRef>
            </c:plus>
            <c:minus>
              <c:numRef>
                <c:f>'Outcomes of RC formal'!$P$107:$P$110</c:f>
                <c:numCache>
                  <c:formatCode>General</c:formatCode>
                  <c:ptCount val="4"/>
                  <c:pt idx="0">
                    <c:v>9.2490299999999998E-2</c:v>
                  </c:pt>
                  <c:pt idx="1">
                    <c:v>0.27116199999999996</c:v>
                  </c:pt>
                  <c:pt idx="2">
                    <c:v>0.27411229999999998</c:v>
                  </c:pt>
                  <c:pt idx="3">
                    <c:v>1.1073011000000001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RC formal'!$L$143:$L$146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RC formal'!$N$143:$N$146</c:f>
              <c:numCache>
                <c:formatCode>#,##0.00000</c:formatCode>
                <c:ptCount val="4"/>
                <c:pt idx="0">
                  <c:v>0.24419640000000001</c:v>
                </c:pt>
                <c:pt idx="1">
                  <c:v>0.60604139999999995</c:v>
                </c:pt>
                <c:pt idx="2">
                  <c:v>0.5059631</c:v>
                </c:pt>
                <c:pt idx="3">
                  <c:v>1.9524760000000001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F-4A56-BA21-86265AA42E61}"/>
            </c:ext>
          </c:extLst>
        </c:ser>
        <c:ser>
          <c:idx val="2"/>
          <c:order val="2"/>
          <c:tx>
            <c:strRef>
              <c:f>'Outcomes of RC formal'!$O$142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formal'!$Q$111:$Q$114</c:f>
                <c:numCache>
                  <c:formatCode>General</c:formatCode>
                  <c:ptCount val="4"/>
                  <c:pt idx="0">
                    <c:v>0.25246150000000001</c:v>
                  </c:pt>
                  <c:pt idx="1">
                    <c:v>0.81590800000000008</c:v>
                  </c:pt>
                  <c:pt idx="2">
                    <c:v>1.0959830000000002</c:v>
                  </c:pt>
                  <c:pt idx="3">
                    <c:v>2.4508920000000001</c:v>
                  </c:pt>
                </c:numCache>
              </c:numRef>
            </c:plus>
            <c:minus>
              <c:numRef>
                <c:f>'Outcomes of RC formal'!$P$111:$P$114</c:f>
                <c:numCache>
                  <c:formatCode>General</c:formatCode>
                  <c:ptCount val="4"/>
                  <c:pt idx="0">
                    <c:v>0.17809790000000003</c:v>
                  </c:pt>
                  <c:pt idx="1">
                    <c:v>0.54900900000000008</c:v>
                  </c:pt>
                  <c:pt idx="2">
                    <c:v>0.69227300000000014</c:v>
                  </c:pt>
                  <c:pt idx="3">
                    <c:v>0.97788529999999996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RC formal'!$L$143:$L$146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RC formal'!$O$143:$O$146</c:f>
              <c:numCache>
                <c:formatCode>#,##0.00000</c:formatCode>
                <c:ptCount val="4"/>
                <c:pt idx="0">
                  <c:v>0.60463460000000002</c:v>
                </c:pt>
                <c:pt idx="1">
                  <c:v>1.678323</c:v>
                </c:pt>
                <c:pt idx="2">
                  <c:v>1.8793610000000001</c:v>
                </c:pt>
                <c:pt idx="3">
                  <c:v>1.6270739999999999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6F-4A56-BA21-86265AA42E61}"/>
            </c:ext>
          </c:extLst>
        </c:ser>
        <c:ser>
          <c:idx val="3"/>
          <c:order val="3"/>
          <c:tx>
            <c:strRef>
              <c:f>'Outcomes of RC formal'!$P$142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formal'!$Q$115:$Q$118</c:f>
                <c:numCache>
                  <c:formatCode>General</c:formatCode>
                  <c:ptCount val="4"/>
                  <c:pt idx="0">
                    <c:v>0.99635100000000021</c:v>
                  </c:pt>
                  <c:pt idx="1">
                    <c:v>2.4485780000000004</c:v>
                  </c:pt>
                  <c:pt idx="2">
                    <c:v>5.0635900000000014</c:v>
                  </c:pt>
                  <c:pt idx="3">
                    <c:v>7.1166799999999988</c:v>
                  </c:pt>
                </c:numCache>
              </c:numRef>
            </c:plus>
            <c:minus>
              <c:numRef>
                <c:f>'Outcomes of RC formal'!$P$115:$P$118</c:f>
                <c:numCache>
                  <c:formatCode>General</c:formatCode>
                  <c:ptCount val="4"/>
                  <c:pt idx="0">
                    <c:v>0.77556499999999984</c:v>
                  </c:pt>
                  <c:pt idx="1">
                    <c:v>1.8600450000000004</c:v>
                  </c:pt>
                  <c:pt idx="2">
                    <c:v>3.8406500000000001</c:v>
                  </c:pt>
                  <c:pt idx="3">
                    <c:v>5.0652600000000021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RC formal'!$L$143:$L$146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RC formal'!$P$143:$P$146</c:f>
              <c:numCache>
                <c:formatCode>#,##0.00000</c:formatCode>
                <c:ptCount val="4"/>
                <c:pt idx="0">
                  <c:v>3.4999199999999999</c:v>
                </c:pt>
                <c:pt idx="1">
                  <c:v>7.7386720000000002</c:v>
                </c:pt>
                <c:pt idx="2">
                  <c:v>15.9023</c:v>
                </c:pt>
                <c:pt idx="3">
                  <c:v>17.572130000000001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6F-4A56-BA21-86265AA42E61}"/>
            </c:ext>
          </c:extLst>
        </c:ser>
        <c:ser>
          <c:idx val="4"/>
          <c:order val="4"/>
          <c:tx>
            <c:strRef>
              <c:f>'Outcomes of RC formal'!$Q$142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formal'!$Q$119:$Q$122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0.88306699999999982</c:v>
                  </c:pt>
                  <c:pt idx="2">
                    <c:v>1.2264440000000003</c:v>
                  </c:pt>
                  <c:pt idx="3">
                    <c:v>3.6578049999999989</c:v>
                  </c:pt>
                </c:numCache>
              </c:numRef>
            </c:plus>
            <c:minus>
              <c:numRef>
                <c:f>'Outcomes of RC formal'!$P$119:$P$122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0.60859299999999994</c:v>
                  </c:pt>
                  <c:pt idx="2">
                    <c:v>0.80147599999999986</c:v>
                  </c:pt>
                  <c:pt idx="3">
                    <c:v>2.0908970000000004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RC formal'!$L$143:$L$146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RC formal'!$Q$143:$Q$146</c:f>
              <c:numCache>
                <c:formatCode>#,##0.00000</c:formatCode>
                <c:ptCount val="4"/>
                <c:pt idx="0">
                  <c:v>1</c:v>
                </c:pt>
                <c:pt idx="1">
                  <c:v>1.958032</c:v>
                </c:pt>
                <c:pt idx="2">
                  <c:v>2.3130359999999999</c:v>
                </c:pt>
                <c:pt idx="3">
                  <c:v>4.8810130000000003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6F-4A56-BA21-86265AA42E61}"/>
            </c:ext>
          </c:extLst>
        </c:ser>
        <c:ser>
          <c:idx val="5"/>
          <c:order val="5"/>
          <c:tx>
            <c:strRef>
              <c:f>'Outcomes of RC formal'!$R$142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formal'!$Q$123:$Q$126</c:f>
                <c:numCache>
                  <c:formatCode>General</c:formatCode>
                  <c:ptCount val="4"/>
                  <c:pt idx="0">
                    <c:v>9.3421900000000002E-2</c:v>
                  </c:pt>
                  <c:pt idx="1">
                    <c:v>0.38263239999999998</c:v>
                  </c:pt>
                  <c:pt idx="2">
                    <c:v>0.59507090000000007</c:v>
                  </c:pt>
                  <c:pt idx="3">
                    <c:v>2.0411487999999998</c:v>
                  </c:pt>
                </c:numCache>
              </c:numRef>
            </c:plus>
            <c:minus>
              <c:numRef>
                <c:f>'Outcomes of RC formal'!$P$123:$P$126</c:f>
                <c:numCache>
                  <c:formatCode>General</c:formatCode>
                  <c:ptCount val="4"/>
                  <c:pt idx="0">
                    <c:v>4.3486599999999993E-2</c:v>
                  </c:pt>
                  <c:pt idx="1">
                    <c:v>0.17612400000000003</c:v>
                  </c:pt>
                  <c:pt idx="2">
                    <c:v>0.27345549999999996</c:v>
                  </c:pt>
                  <c:pt idx="3">
                    <c:v>0.28066369999999996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RC formal'!$L$143:$L$146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RC formal'!$R$143:$R$146</c:f>
              <c:numCache>
                <c:formatCode>#,##0.00000</c:formatCode>
                <c:ptCount val="4"/>
                <c:pt idx="0">
                  <c:v>8.1357399999999996E-2</c:v>
                </c:pt>
                <c:pt idx="1">
                  <c:v>0.32633420000000002</c:v>
                </c:pt>
                <c:pt idx="2">
                  <c:v>0.5059631</c:v>
                </c:pt>
                <c:pt idx="3">
                  <c:v>0.32540819999999998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6F-4A56-BA21-86265AA42E61}"/>
            </c:ext>
          </c:extLst>
        </c:ser>
        <c:ser>
          <c:idx val="6"/>
          <c:order val="6"/>
          <c:tx>
            <c:strRef>
              <c:f>'Outcomes of RC formal'!$S$142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formal'!$Q$127:$Q$130</c:f>
                <c:numCache>
                  <c:formatCode>General</c:formatCode>
                  <c:ptCount val="4"/>
                  <c:pt idx="0">
                    <c:v>0.10812619999999999</c:v>
                  </c:pt>
                  <c:pt idx="1">
                    <c:v>0.41523970000000004</c:v>
                  </c:pt>
                  <c:pt idx="2">
                    <c:v>0.59658389999999994</c:v>
                  </c:pt>
                  <c:pt idx="3">
                    <c:v>1.9944629000000003</c:v>
                  </c:pt>
                </c:numCache>
              </c:numRef>
            </c:plus>
            <c:minus>
              <c:numRef>
                <c:f>'Outcomes of RC formal'!$P$127:$P$130</c:f>
                <c:numCache>
                  <c:formatCode>General</c:formatCode>
                  <c:ptCount val="4"/>
                  <c:pt idx="0">
                    <c:v>5.6023799999999999E-2</c:v>
                  </c:pt>
                  <c:pt idx="1">
                    <c:v>0.2086954</c:v>
                  </c:pt>
                  <c:pt idx="2">
                    <c:v>0.27377470000000004</c:v>
                  </c:pt>
                  <c:pt idx="3">
                    <c:v>0.49069170000000001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RC formal'!$L$143:$L$146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RC formal'!$S$143:$S$146</c:f>
              <c:numCache>
                <c:formatCode>#,##0.000000</c:formatCode>
                <c:ptCount val="4"/>
                <c:pt idx="0">
                  <c:v>0.1162641</c:v>
                </c:pt>
                <c:pt idx="1">
                  <c:v>0.4195644</c:v>
                </c:pt>
                <c:pt idx="2">
                  <c:v>0.5059631</c:v>
                </c:pt>
                <c:pt idx="3">
                  <c:v>0.6508081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6F-4A56-BA21-86265AA42E61}"/>
            </c:ext>
          </c:extLst>
        </c:ser>
        <c:ser>
          <c:idx val="7"/>
          <c:order val="7"/>
          <c:tx>
            <c:strRef>
              <c:f>'Outcomes of RC formal'!$T$142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formal'!$Q$131:$Q$134</c:f>
                <c:numCache>
                  <c:formatCode>General</c:formatCode>
                  <c:ptCount val="4"/>
                  <c:pt idx="0">
                    <c:v>0.57023999999999986</c:v>
                  </c:pt>
                  <c:pt idx="1">
                    <c:v>1.3589739999999999</c:v>
                  </c:pt>
                  <c:pt idx="2">
                    <c:v>1.6456870000000001</c:v>
                  </c:pt>
                  <c:pt idx="3">
                    <c:v>2.8112750000000002</c:v>
                  </c:pt>
                </c:numCache>
              </c:numRef>
            </c:plus>
            <c:minus>
              <c:numRef>
                <c:f>'Outcomes of RC formal'!$P$131:$P$134</c:f>
                <c:numCache>
                  <c:formatCode>General</c:formatCode>
                  <c:ptCount val="4"/>
                  <c:pt idx="0">
                    <c:v>0.43517200000000011</c:v>
                  </c:pt>
                  <c:pt idx="1">
                    <c:v>0.98222699999999996</c:v>
                  </c:pt>
                  <c:pt idx="2">
                    <c:v>1.1377570000000001</c:v>
                  </c:pt>
                  <c:pt idx="3">
                    <c:v>1.351637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RC formal'!$L$143:$L$146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RC formal'!$T$143:$T$146</c:f>
              <c:numCache>
                <c:formatCode>#,##0.000000</c:formatCode>
                <c:ptCount val="4"/>
                <c:pt idx="0">
                  <c:v>1.8372200000000001</c:v>
                </c:pt>
                <c:pt idx="1">
                  <c:v>3.543005</c:v>
                </c:pt>
                <c:pt idx="2">
                  <c:v>3.6863220000000001</c:v>
                </c:pt>
                <c:pt idx="3">
                  <c:v>0.9726844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6F-4A56-BA21-86265AA42E61}"/>
            </c:ext>
          </c:extLst>
        </c:ser>
        <c:ser>
          <c:idx val="8"/>
          <c:order val="8"/>
          <c:tx>
            <c:strRef>
              <c:f>'Outcomes of RC formal'!$U$142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formal'!$Q$135:$Q$138</c:f>
                <c:numCache>
                  <c:formatCode>General</c:formatCode>
                  <c:ptCount val="4"/>
                  <c:pt idx="0">
                    <c:v>0.28325729999999993</c:v>
                  </c:pt>
                  <c:pt idx="1">
                    <c:v>0.85688500000000012</c:v>
                  </c:pt>
                  <c:pt idx="2">
                    <c:v>1.0012120000000002</c:v>
                  </c:pt>
                  <c:pt idx="3">
                    <c:v>3.4444530000000002</c:v>
                  </c:pt>
                </c:numCache>
              </c:numRef>
            </c:plus>
            <c:minus>
              <c:numRef>
                <c:f>'Outcomes of RC formal'!$P$135:$P$138</c:f>
                <c:numCache>
                  <c:formatCode>General</c:formatCode>
                  <c:ptCount val="4"/>
                  <c:pt idx="0">
                    <c:v>0.20335599999999998</c:v>
                  </c:pt>
                  <c:pt idx="1">
                    <c:v>0.57753699999999997</c:v>
                  </c:pt>
                  <c:pt idx="2">
                    <c:v>0.62488799999999989</c:v>
                  </c:pt>
                  <c:pt idx="3">
                    <c:v>1.8985560000000001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RC formal'!$L$143:$L$146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RC formal'!$U$143:$U$146</c:f>
              <c:numCache>
                <c:formatCode>General</c:formatCode>
                <c:ptCount val="4"/>
                <c:pt idx="0">
                  <c:v>0.72091669999999997</c:v>
                </c:pt>
                <c:pt idx="1">
                  <c:v>1.77156</c:v>
                </c:pt>
                <c:pt idx="2">
                  <c:v>1.6625179999999999</c:v>
                </c:pt>
                <c:pt idx="3">
                  <c:v>4.230219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6F-4A56-BA21-86265AA4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03128"/>
        <c:axId val="99003456"/>
      </c:barChart>
      <c:catAx>
        <c:axId val="990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3456"/>
        <c:crosses val="autoZero"/>
        <c:auto val="1"/>
        <c:lblAlgn val="ctr"/>
        <c:lblOffset val="100"/>
        <c:noMultiLvlLbl val="0"/>
      </c:catAx>
      <c:valAx>
        <c:axId val="99003456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RM formal'!$C$48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of RM formal'!$B$49:$B$52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RM formal'!$C$49:$C$52</c:f>
              <c:numCache>
                <c:formatCode>#,##0.00000</c:formatCode>
                <c:ptCount val="4"/>
                <c:pt idx="0" formatCode="0.000000">
                  <c:v>0.13679250000000001</c:v>
                </c:pt>
                <c:pt idx="1">
                  <c:v>0.38837690000000002</c:v>
                </c:pt>
                <c:pt idx="2">
                  <c:v>0.82879369999999997</c:v>
                </c:pt>
                <c:pt idx="3">
                  <c:v>0.64377309999999999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9-4407-B1C5-6FD6F4ED0CD2}"/>
            </c:ext>
          </c:extLst>
        </c:ser>
        <c:ser>
          <c:idx val="1"/>
          <c:order val="1"/>
          <c:tx>
            <c:strRef>
              <c:f>'Outcomes of RM formal'!$D$48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of RM formal'!$B$49:$B$52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RM formal'!$D$49:$D$52</c:f>
              <c:numCache>
                <c:formatCode>#,##0.00000</c:formatCode>
                <c:ptCount val="4"/>
                <c:pt idx="0">
                  <c:v>0.24056620000000001</c:v>
                </c:pt>
                <c:pt idx="1">
                  <c:v>0.7547701</c:v>
                </c:pt>
                <c:pt idx="2">
                  <c:v>1.073356</c:v>
                </c:pt>
                <c:pt idx="3">
                  <c:v>1.098201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9-4407-B1C5-6FD6F4ED0CD2}"/>
            </c:ext>
          </c:extLst>
        </c:ser>
        <c:ser>
          <c:idx val="2"/>
          <c:order val="2"/>
          <c:tx>
            <c:strRef>
              <c:f>'Outcomes of RM formal'!$E$48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of RM formal'!$B$49:$B$52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RM formal'!$E$49:$E$52</c:f>
              <c:numCache>
                <c:formatCode>#,##0.00000</c:formatCode>
                <c:ptCount val="4"/>
                <c:pt idx="0">
                  <c:v>0.62735850000000004</c:v>
                </c:pt>
                <c:pt idx="1">
                  <c:v>1.6414420000000001</c:v>
                </c:pt>
                <c:pt idx="2">
                  <c:v>2.4660009999999999</c:v>
                </c:pt>
                <c:pt idx="3">
                  <c:v>1.931319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19-4407-B1C5-6FD6F4ED0CD2}"/>
            </c:ext>
          </c:extLst>
        </c:ser>
        <c:ser>
          <c:idx val="3"/>
          <c:order val="3"/>
          <c:tx>
            <c:strRef>
              <c:f>'Outcomes of RM formal'!$F$48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of RM formal'!$B$49:$B$52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RM formal'!$F$49:$F$52</c:f>
              <c:numCache>
                <c:formatCode>#,##0.00000</c:formatCode>
                <c:ptCount val="4"/>
                <c:pt idx="0">
                  <c:v>1.674528</c:v>
                </c:pt>
                <c:pt idx="1">
                  <c:v>3.6199650000000001</c:v>
                </c:pt>
                <c:pt idx="2">
                  <c:v>4.5515720000000002</c:v>
                </c:pt>
                <c:pt idx="3">
                  <c:v>6.8164210000000001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19-4407-B1C5-6FD6F4ED0CD2}"/>
            </c:ext>
          </c:extLst>
        </c:ser>
        <c:ser>
          <c:idx val="4"/>
          <c:order val="4"/>
          <c:tx>
            <c:strRef>
              <c:f>'Outcomes of RM formal'!$G$48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'Outcomes of RM formal'!$B$49:$B$52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RM formal'!$G$49:$G$52</c:f>
              <c:numCache>
                <c:formatCode>#,##0.00000</c:formatCode>
                <c:ptCount val="4"/>
                <c:pt idx="0">
                  <c:v>1</c:v>
                </c:pt>
                <c:pt idx="1">
                  <c:v>1.7879989999999999</c:v>
                </c:pt>
                <c:pt idx="2">
                  <c:v>1.440199</c:v>
                </c:pt>
                <c:pt idx="3">
                  <c:v>2.878044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19-4407-B1C5-6FD6F4ED0CD2}"/>
            </c:ext>
          </c:extLst>
        </c:ser>
        <c:ser>
          <c:idx val="5"/>
          <c:order val="5"/>
          <c:tx>
            <c:strRef>
              <c:f>'Outcomes of RM formal'!$H$48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'Outcomes of RM formal'!$B$49:$B$52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RM formal'!$H$49:$H$52</c:f>
              <c:numCache>
                <c:formatCode>#,##0.00000</c:formatCode>
                <c:ptCount val="4"/>
                <c:pt idx="0">
                  <c:v>7.7830800000000006E-2</c:v>
                </c:pt>
                <c:pt idx="1">
                  <c:v>0.1831969</c:v>
                </c:pt>
                <c:pt idx="2">
                  <c:v>0.29890919999999999</c:v>
                </c:pt>
                <c:pt idx="3">
                  <c:v>0.34082099999999999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19-4407-B1C5-6FD6F4ED0CD2}"/>
            </c:ext>
          </c:extLst>
        </c:ser>
        <c:ser>
          <c:idx val="6"/>
          <c:order val="6"/>
          <c:tx>
            <c:strRef>
              <c:f>'Outcomes of RM formal'!$I$48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of RM formal'!$B$49:$B$52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RM formal'!$I$49:$I$52</c:f>
              <c:numCache>
                <c:formatCode>General</c:formatCode>
                <c:ptCount val="4"/>
                <c:pt idx="0">
                  <c:v>9.4339599999999996E-2</c:v>
                </c:pt>
                <c:pt idx="1">
                  <c:v>0.2418197</c:v>
                </c:pt>
                <c:pt idx="2">
                  <c:v>0.25814890000000001</c:v>
                </c:pt>
                <c:pt idx="3">
                  <c:v>0.53016609999999997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F-4BCA-BADE-8347C00C9B3F}"/>
            </c:ext>
          </c:extLst>
        </c:ser>
        <c:ser>
          <c:idx val="7"/>
          <c:order val="7"/>
          <c:tx>
            <c:strRef>
              <c:f>'Outcomes of RM formal'!$J$48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of RM formal'!$B$49:$B$52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RM formal'!$J$49:$J$52</c:f>
              <c:numCache>
                <c:formatCode>#,##0</c:formatCode>
                <c:ptCount val="4"/>
                <c:pt idx="0">
                  <c:v>1.3325469999999999</c:v>
                </c:pt>
                <c:pt idx="1">
                  <c:v>2.6233759999999999</c:v>
                </c:pt>
                <c:pt idx="2">
                  <c:v>3.2812079999999999</c:v>
                </c:pt>
                <c:pt idx="3">
                  <c:v>2.310009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F-4BCA-BADE-8347C00C9B3F}"/>
            </c:ext>
          </c:extLst>
        </c:ser>
        <c:ser>
          <c:idx val="8"/>
          <c:order val="8"/>
          <c:tx>
            <c:strRef>
              <c:f>'Outcomes of RM formal'!$K$48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of RM formal'!$B$49:$B$52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RM formal'!$K$49:$K$52</c:f>
              <c:numCache>
                <c:formatCode>General</c:formatCode>
                <c:ptCount val="4"/>
                <c:pt idx="0">
                  <c:v>0.46933960000000002</c:v>
                </c:pt>
                <c:pt idx="1">
                  <c:v>0.95995030000000003</c:v>
                </c:pt>
                <c:pt idx="2">
                  <c:v>1.3790579999999999</c:v>
                </c:pt>
                <c:pt idx="3" formatCode="#,##0">
                  <c:v>1.6283669999999999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1F-4BCA-BADE-8347C00C9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804776"/>
        <c:axId val="644807072"/>
      </c:barChart>
      <c:catAx>
        <c:axId val="64480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07072"/>
        <c:crosses val="autoZero"/>
        <c:auto val="1"/>
        <c:lblAlgn val="ctr"/>
        <c:lblOffset val="100"/>
        <c:noMultiLvlLbl val="0"/>
      </c:catAx>
      <c:valAx>
        <c:axId val="64480707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047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RM formal'!$C$143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formal'!$G$103:$G$106</c:f>
                <c:numCache>
                  <c:formatCode>General</c:formatCode>
                  <c:ptCount val="4"/>
                  <c:pt idx="0">
                    <c:v>4.4132899999999975E-2</c:v>
                  </c:pt>
                  <c:pt idx="1">
                    <c:v>9.8811399999999994E-2</c:v>
                  </c:pt>
                  <c:pt idx="2">
                    <c:v>0.14497319999999991</c:v>
                  </c:pt>
                  <c:pt idx="3">
                    <c:v>0.27228459999999993</c:v>
                  </c:pt>
                </c:numCache>
              </c:numRef>
            </c:plus>
            <c:minus>
              <c:numRef>
                <c:f>'Outcomes of RM formal'!$F$103:$F$106</c:f>
                <c:numCache>
                  <c:formatCode>General</c:formatCode>
                  <c:ptCount val="4"/>
                  <c:pt idx="0">
                    <c:v>3.3367700000000014E-2</c:v>
                  </c:pt>
                  <c:pt idx="1">
                    <c:v>7.4008000000000018E-2</c:v>
                  </c:pt>
                  <c:pt idx="2">
                    <c:v>0.11735990000000002</c:v>
                  </c:pt>
                  <c:pt idx="3">
                    <c:v>0.16700860000000001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RM formal'!$B$144:$B$147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RM formal'!$C$144:$C$147</c:f>
              <c:numCache>
                <c:formatCode>#,##0.00000</c:formatCode>
                <c:ptCount val="4"/>
                <c:pt idx="0" formatCode="0.000000">
                  <c:v>0.13679250000000001</c:v>
                </c:pt>
                <c:pt idx="1">
                  <c:v>0.29483160000000003</c:v>
                </c:pt>
                <c:pt idx="2">
                  <c:v>0.61615410000000004</c:v>
                </c:pt>
                <c:pt idx="3">
                  <c:v>0.43194850000000001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D-4C8A-AFED-4ED8B9B56FC8}"/>
            </c:ext>
          </c:extLst>
        </c:ser>
        <c:ser>
          <c:idx val="1"/>
          <c:order val="1"/>
          <c:tx>
            <c:strRef>
              <c:f>'Outcomes of RM formal'!$D$143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formal'!$G$107:$G$110</c:f>
                <c:numCache>
                  <c:formatCode>General</c:formatCode>
                  <c:ptCount val="4"/>
                  <c:pt idx="0">
                    <c:v>5.8219299999999974E-2</c:v>
                  </c:pt>
                  <c:pt idx="1">
                    <c:v>0.14188070000000008</c:v>
                  </c:pt>
                  <c:pt idx="2">
                    <c:v>0.16904739999999996</c:v>
                  </c:pt>
                  <c:pt idx="3">
                    <c:v>0.34064869999999992</c:v>
                  </c:pt>
                </c:numCache>
              </c:numRef>
            </c:plus>
            <c:minus>
              <c:numRef>
                <c:f>'Outcomes of RM formal'!$F$107:$F$110</c:f>
                <c:numCache>
                  <c:formatCode>General</c:formatCode>
                  <c:ptCount val="4"/>
                  <c:pt idx="0">
                    <c:v>4.6875E-2</c:v>
                  </c:pt>
                  <c:pt idx="1">
                    <c:v>0.11372109999999996</c:v>
                  </c:pt>
                  <c:pt idx="2">
                    <c:v>0.1394957</c:v>
                  </c:pt>
                  <c:pt idx="3">
                    <c:v>0.23295399999999999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RM formal'!$B$144:$B$147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RM formal'!$D$144:$D$147</c:f>
              <c:numCache>
                <c:formatCode>#,##0.00000</c:formatCode>
                <c:ptCount val="4"/>
                <c:pt idx="0">
                  <c:v>0.240566</c:v>
                </c:pt>
                <c:pt idx="1">
                  <c:v>0.57297469999999995</c:v>
                </c:pt>
                <c:pt idx="2">
                  <c:v>0.79797010000000002</c:v>
                </c:pt>
                <c:pt idx="3">
                  <c:v>0.73685330000000004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D-4C8A-AFED-4ED8B9B56FC8}"/>
            </c:ext>
          </c:extLst>
        </c:ser>
        <c:ser>
          <c:idx val="2"/>
          <c:order val="2"/>
          <c:tx>
            <c:strRef>
              <c:f>'Outcomes of RM formal'!$E$143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formal'!$G$111:$G$114</c:f>
                <c:numCache>
                  <c:formatCode>General</c:formatCode>
                  <c:ptCount val="4"/>
                  <c:pt idx="0">
                    <c:v>0.10417199999999993</c:v>
                  </c:pt>
                  <c:pt idx="1">
                    <c:v>0.22703099999999998</c:v>
                  </c:pt>
                  <c:pt idx="2">
                    <c:v>0.3019369999999999</c:v>
                  </c:pt>
                  <c:pt idx="3">
                    <c:v>0.45120700000000014</c:v>
                  </c:pt>
                </c:numCache>
              </c:numRef>
            </c:plus>
            <c:minus>
              <c:numRef>
                <c:f>'Outcomes of RM formal'!$F$111:$F$114</c:f>
                <c:numCache>
                  <c:formatCode>General</c:formatCode>
                  <c:ptCount val="4"/>
                  <c:pt idx="0">
                    <c:v>8.9337600000000017E-2</c:v>
                  </c:pt>
                  <c:pt idx="1">
                    <c:v>0.19204200000000005</c:v>
                  </c:pt>
                  <c:pt idx="2">
                    <c:v>0.25924099999999983</c:v>
                  </c:pt>
                  <c:pt idx="3">
                    <c:v>0.33467399999999992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RM formal'!$B$144:$B$147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RM formal'!$E$144:$E$147</c:f>
              <c:numCache>
                <c:formatCode>#,##0.00000</c:formatCode>
                <c:ptCount val="4"/>
                <c:pt idx="0">
                  <c:v>0.62735850000000004</c:v>
                </c:pt>
                <c:pt idx="1">
                  <c:v>1.246081</c:v>
                </c:pt>
                <c:pt idx="2">
                  <c:v>1.8333109999999999</c:v>
                </c:pt>
                <c:pt idx="3">
                  <c:v>1.2958449999999999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CD-4C8A-AFED-4ED8B9B56FC8}"/>
            </c:ext>
          </c:extLst>
        </c:ser>
        <c:ser>
          <c:idx val="3"/>
          <c:order val="3"/>
          <c:tx>
            <c:strRef>
              <c:f>'Outcomes of RM formal'!$F$143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formal'!$G$115:$G$118</c:f>
                <c:numCache>
                  <c:formatCode>General</c:formatCode>
                  <c:ptCount val="4"/>
                  <c:pt idx="0">
                    <c:v>0.22639199999999993</c:v>
                  </c:pt>
                  <c:pt idx="1">
                    <c:v>0.4142920000000001</c:v>
                  </c:pt>
                  <c:pt idx="2">
                    <c:v>0.48852800000000007</c:v>
                  </c:pt>
                  <c:pt idx="3">
                    <c:v>1.0205299999999999</c:v>
                  </c:pt>
                </c:numCache>
              </c:numRef>
            </c:plus>
            <c:minus>
              <c:numRef>
                <c:f>'Outcomes of RM formal'!$F$115:$F$118</c:f>
                <c:numCache>
                  <c:formatCode>General</c:formatCode>
                  <c:ptCount val="4"/>
                  <c:pt idx="0">
                    <c:v>0.19942900000000008</c:v>
                  </c:pt>
                  <c:pt idx="1">
                    <c:v>0.36001599999999989</c:v>
                  </c:pt>
                  <c:pt idx="2">
                    <c:v>0.42689600000000016</c:v>
                  </c:pt>
                  <c:pt idx="3">
                    <c:v>0.8343550000000004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RM formal'!$B$144:$B$147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RM formal'!$F$144:$F$147</c:f>
              <c:numCache>
                <c:formatCode>#,##0.00000</c:formatCode>
                <c:ptCount val="4"/>
                <c:pt idx="0">
                  <c:v>1.674528</c:v>
                </c:pt>
                <c:pt idx="1">
                  <c:v>2.7480530000000001</c:v>
                </c:pt>
                <c:pt idx="2">
                  <c:v>3.3837969999999999</c:v>
                </c:pt>
                <c:pt idx="3">
                  <c:v>4.5735720000000004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CD-4C8A-AFED-4ED8B9B56FC8}"/>
            </c:ext>
          </c:extLst>
        </c:ser>
        <c:ser>
          <c:idx val="4"/>
          <c:order val="4"/>
          <c:tx>
            <c:strRef>
              <c:f>'Outcomes of RM formal'!$G$143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formal'!$G$119:$G$122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0.24661</c:v>
                  </c:pt>
                  <c:pt idx="2">
                    <c:v>0.20694999999999997</c:v>
                  </c:pt>
                  <c:pt idx="3">
                    <c:v>0.56108000000000025</c:v>
                  </c:pt>
                </c:numCache>
              </c:numRef>
            </c:plus>
            <c:minus>
              <c:numRef>
                <c:f>'Outcomes of RM formal'!$F$119:$F$122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0.20869300000000002</c:v>
                  </c:pt>
                  <c:pt idx="2">
                    <c:v>0.17342829999999998</c:v>
                  </c:pt>
                  <c:pt idx="3">
                    <c:v>0.4347589999999999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RM formal'!$B$144:$B$147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RM formal'!$G$144:$G$147</c:f>
              <c:numCache>
                <c:formatCode>#,##0.00000</c:formatCode>
                <c:ptCount val="4"/>
                <c:pt idx="0">
                  <c:v>1</c:v>
                </c:pt>
                <c:pt idx="1">
                  <c:v>1.3573379999999999</c:v>
                </c:pt>
                <c:pt idx="2">
                  <c:v>1.070694</c:v>
                </c:pt>
                <c:pt idx="3">
                  <c:v>1.9310639999999999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CD-4C8A-AFED-4ED8B9B56FC8}"/>
            </c:ext>
          </c:extLst>
        </c:ser>
        <c:ser>
          <c:idx val="5"/>
          <c:order val="5"/>
          <c:tx>
            <c:strRef>
              <c:f>'Outcomes of RM formal'!$H$143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formal'!$G$123:$G$126</c:f>
                <c:numCache>
                  <c:formatCode>General</c:formatCode>
                  <c:ptCount val="4"/>
                  <c:pt idx="0">
                    <c:v>3.3007499999999995E-2</c:v>
                  </c:pt>
                  <c:pt idx="1">
                    <c:v>6.9542300000000001E-2</c:v>
                  </c:pt>
                  <c:pt idx="2">
                    <c:v>8.4030500000000036E-2</c:v>
                  </c:pt>
                  <c:pt idx="3">
                    <c:v>0.21349439999999997</c:v>
                  </c:pt>
                </c:numCache>
              </c:numRef>
            </c:plus>
            <c:minus>
              <c:numRef>
                <c:f>'Outcomes of RM formal'!$F$123:$F$126</c:f>
                <c:numCache>
                  <c:formatCode>General</c:formatCode>
                  <c:ptCount val="4"/>
                  <c:pt idx="0">
                    <c:v>2.3177900000000001E-2</c:v>
                  </c:pt>
                  <c:pt idx="1">
                    <c:v>4.6360099999999987E-2</c:v>
                  </c:pt>
                  <c:pt idx="2">
                    <c:v>6.0973799999999995E-2</c:v>
                  </c:pt>
                  <c:pt idx="3">
                    <c:v>0.11041290000000001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RM formal'!$B$144:$B$147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RM formal'!$H$144:$H$147</c:f>
              <c:numCache>
                <c:formatCode>#,##0.00000</c:formatCode>
                <c:ptCount val="4"/>
                <c:pt idx="0">
                  <c:v>7.7830200000000002E-2</c:v>
                </c:pt>
                <c:pt idx="1">
                  <c:v>0.13907149999999999</c:v>
                </c:pt>
                <c:pt idx="2">
                  <c:v>0.22221949999999999</c:v>
                </c:pt>
                <c:pt idx="3">
                  <c:v>0.22867860000000001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CD-4C8A-AFED-4ED8B9B56FC8}"/>
            </c:ext>
          </c:extLst>
        </c:ser>
        <c:ser>
          <c:idx val="6"/>
          <c:order val="6"/>
          <c:tx>
            <c:strRef>
              <c:f>'Outcomes of RM formal'!$I$143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formal'!$G$127:$G$130</c:f>
                <c:numCache>
                  <c:formatCode>General</c:formatCode>
                  <c:ptCount val="4"/>
                  <c:pt idx="0">
                    <c:v>3.6155800000000016E-2</c:v>
                  </c:pt>
                  <c:pt idx="1">
                    <c:v>8.1248699999999979E-2</c:v>
                  </c:pt>
                  <c:pt idx="2">
                    <c:v>7.6797300000000013E-2</c:v>
                  </c:pt>
                  <c:pt idx="3">
                    <c:v>0.25056289999999998</c:v>
                  </c:pt>
                </c:numCache>
              </c:numRef>
            </c:plus>
            <c:minus>
              <c:numRef>
                <c:f>'Outcomes of RM formal'!$F$127:$F$130</c:f>
                <c:numCache>
                  <c:formatCode>General</c:formatCode>
                  <c:ptCount val="4"/>
                  <c:pt idx="0">
                    <c:v>2.6138299999999989E-2</c:v>
                  </c:pt>
                  <c:pt idx="1">
                    <c:v>5.6321299999999991E-2</c:v>
                  </c:pt>
                  <c:pt idx="2">
                    <c:v>5.4849000000000009E-2</c:v>
                  </c:pt>
                  <c:pt idx="3">
                    <c:v>0.14701139999999999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RM formal'!$B$144:$B$147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RM formal'!$I$144:$I$147</c:f>
              <c:numCache>
                <c:formatCode>General</c:formatCode>
                <c:ptCount val="4"/>
                <c:pt idx="0">
                  <c:v>9.4339599999999996E-2</c:v>
                </c:pt>
                <c:pt idx="1">
                  <c:v>0.1835744</c:v>
                </c:pt>
                <c:pt idx="2">
                  <c:v>0.1919169</c:v>
                </c:pt>
                <c:pt idx="3">
                  <c:v>0.35572229999999999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CD-4C8A-AFED-4ED8B9B56FC8}"/>
            </c:ext>
          </c:extLst>
        </c:ser>
        <c:ser>
          <c:idx val="7"/>
          <c:order val="7"/>
          <c:tx>
            <c:strRef>
              <c:f>'Outcomes of RM formal'!$J$143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formal'!$G$131:$G$134</c:f>
                <c:numCache>
                  <c:formatCode>General</c:formatCode>
                  <c:ptCount val="4"/>
                  <c:pt idx="0">
                    <c:v>0.18279400000000012</c:v>
                  </c:pt>
                  <c:pt idx="1">
                    <c:v>0.3197589999999999</c:v>
                  </c:pt>
                  <c:pt idx="2">
                    <c:v>0.37318600000000002</c:v>
                  </c:pt>
                  <c:pt idx="3">
                    <c:v>0.5234310000000002</c:v>
                  </c:pt>
                </c:numCache>
              </c:numRef>
            </c:plus>
            <c:minus>
              <c:numRef>
                <c:f>'Outcomes of RM formal'!$F$131:$F$134</c:f>
                <c:numCache>
                  <c:formatCode>General</c:formatCode>
                  <c:ptCount val="4"/>
                  <c:pt idx="0">
                    <c:v>0.16074299999999986</c:v>
                  </c:pt>
                  <c:pt idx="1">
                    <c:v>0.2755209999999999</c:v>
                  </c:pt>
                  <c:pt idx="2">
                    <c:v>0.32366899999999976</c:v>
                  </c:pt>
                  <c:pt idx="3">
                    <c:v>0.391289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RM formal'!$B$144:$B$147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RM formal'!$J$144:$J$147</c:f>
              <c:numCache>
                <c:formatCode>#,##0</c:formatCode>
                <c:ptCount val="4"/>
                <c:pt idx="0">
                  <c:v>1.3325469999999999</c:v>
                </c:pt>
                <c:pt idx="1">
                  <c:v>1.9915039999999999</c:v>
                </c:pt>
                <c:pt idx="2">
                  <c:v>2.4393639999999999</c:v>
                </c:pt>
                <c:pt idx="3">
                  <c:v>1.549933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CD-4C8A-AFED-4ED8B9B56FC8}"/>
            </c:ext>
          </c:extLst>
        </c:ser>
        <c:ser>
          <c:idx val="8"/>
          <c:order val="8"/>
          <c:tx>
            <c:strRef>
              <c:f>'Outcomes of RM formal'!$K$143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formal'!$G$135:$G$138</c:f>
                <c:numCache>
                  <c:formatCode>General</c:formatCode>
                  <c:ptCount val="4"/>
                  <c:pt idx="0">
                    <c:v>8.7416600000000011E-2</c:v>
                  </c:pt>
                  <c:pt idx="1">
                    <c:v>0.16289049999999994</c:v>
                  </c:pt>
                  <c:pt idx="2">
                    <c:v>0.19734600000000002</c:v>
                  </c:pt>
                  <c:pt idx="3">
                    <c:v>0.41076299999999999</c:v>
                  </c:pt>
                </c:numCache>
              </c:numRef>
            </c:plus>
            <c:minus>
              <c:numRef>
                <c:f>'Outcomes of RM formal'!$F$135:$F$138</c:f>
                <c:numCache>
                  <c:formatCode>General</c:formatCode>
                  <c:ptCount val="4"/>
                  <c:pt idx="0">
                    <c:v>7.3691200000000012E-2</c:v>
                  </c:pt>
                  <c:pt idx="1">
                    <c:v>0.13313220000000003</c:v>
                  </c:pt>
                  <c:pt idx="2">
                    <c:v>0.16549099999999994</c:v>
                  </c:pt>
                  <c:pt idx="3">
                    <c:v>0.29852909999999999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RM formal'!$B$144:$B$147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RM formal'!$K$144:$K$147</c:f>
              <c:numCache>
                <c:formatCode>General</c:formatCode>
                <c:ptCount val="4"/>
                <c:pt idx="0">
                  <c:v>0.46933960000000002</c:v>
                </c:pt>
                <c:pt idx="1">
                  <c:v>0.72873480000000002</c:v>
                </c:pt>
                <c:pt idx="2">
                  <c:v>1.0252399999999999</c:v>
                </c:pt>
                <c:pt idx="3" formatCode="#,##0">
                  <c:v>1.092576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CD-4C8A-AFED-4ED8B9B56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045024"/>
        <c:axId val="494045352"/>
      </c:barChart>
      <c:catAx>
        <c:axId val="49404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45352"/>
        <c:crosses val="autoZero"/>
        <c:auto val="1"/>
        <c:lblAlgn val="ctr"/>
        <c:lblOffset val="100"/>
        <c:noMultiLvlLbl val="0"/>
      </c:catAx>
      <c:valAx>
        <c:axId val="49404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45024"/>
        <c:crosses val="autoZero"/>
        <c:crossBetween val="between"/>
        <c:majorUnit val="0.5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RM formal'!$C$236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formal'!$N$236:$N$239</c:f>
                <c:numCache>
                  <c:formatCode>General</c:formatCode>
                  <c:ptCount val="4"/>
                  <c:pt idx="0">
                    <c:v>6.9603899999999996E-2</c:v>
                  </c:pt>
                  <c:pt idx="1">
                    <c:v>0.17134949999999993</c:v>
                  </c:pt>
                  <c:pt idx="2">
                    <c:v>0.1343154</c:v>
                  </c:pt>
                  <c:pt idx="3">
                    <c:v>0.5055715999999999</c:v>
                  </c:pt>
                </c:numCache>
              </c:numRef>
            </c:plus>
            <c:minus>
              <c:numRef>
                <c:f>'Outcomes of RM formal'!$M$236:$M$239</c:f>
                <c:numCache>
                  <c:formatCode>General</c:formatCode>
                  <c:ptCount val="4"/>
                  <c:pt idx="0">
                    <c:v>5.5681600000000026E-2</c:v>
                  </c:pt>
                  <c:pt idx="1">
                    <c:v>0.13824730000000007</c:v>
                  </c:pt>
                  <c:pt idx="2">
                    <c:v>6.6806600000000008E-2</c:v>
                  </c:pt>
                  <c:pt idx="3">
                    <c:v>0.3172277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formal'!$A$237:$B$240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RM formal'!$C$237:$C$240</c:f>
              <c:numCache>
                <c:formatCode>#,##0.00000</c:formatCode>
                <c:ptCount val="4"/>
                <c:pt idx="0" formatCode="0.000000">
                  <c:v>0.27837840000000003</c:v>
                </c:pt>
                <c:pt idx="1">
                  <c:v>0.71562020000000004</c:v>
                </c:pt>
                <c:pt idx="2" formatCode="General">
                  <c:v>0.13291800000000001</c:v>
                </c:pt>
                <c:pt idx="3" formatCode="General">
                  <c:v>0.85153440000000002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4-4994-968A-7C3865E0B7CC}"/>
            </c:ext>
          </c:extLst>
        </c:ser>
        <c:ser>
          <c:idx val="1"/>
          <c:order val="1"/>
          <c:tx>
            <c:strRef>
              <c:f>'Outcomes of RM formal'!$D$236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formal'!$N$240:$N$243</c:f>
                <c:numCache>
                  <c:formatCode>General</c:formatCode>
                  <c:ptCount val="4"/>
                  <c:pt idx="0">
                    <c:v>9.5428100000000071E-2</c:v>
                  </c:pt>
                  <c:pt idx="1">
                    <c:v>0.19864680000000012</c:v>
                  </c:pt>
                  <c:pt idx="2">
                    <c:v>0.21954030000000002</c:v>
                  </c:pt>
                  <c:pt idx="3">
                    <c:v>0.63745199999999969</c:v>
                  </c:pt>
                </c:numCache>
              </c:numRef>
            </c:plus>
            <c:minus>
              <c:numRef>
                <c:f>'Outcomes of RM formal'!$M$240:$M$243</c:f>
                <c:numCache>
                  <c:formatCode>General</c:formatCode>
                  <c:ptCount val="4"/>
                  <c:pt idx="0">
                    <c:v>7.9482599999999959E-2</c:v>
                  </c:pt>
                  <c:pt idx="1">
                    <c:v>0.16332039999999992</c:v>
                  </c:pt>
                  <c:pt idx="2">
                    <c:v>0.15082040000000002</c:v>
                  </c:pt>
                  <c:pt idx="3">
                    <c:v>0.44545699999999999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formal'!$A$237:$B$240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RM formal'!$D$237:$D$240</c:f>
              <c:numCache>
                <c:formatCode>#,##0.00000</c:formatCode>
                <c:ptCount val="4"/>
                <c:pt idx="0">
                  <c:v>0.47567569999999998</c:v>
                </c:pt>
                <c:pt idx="1">
                  <c:v>0.91837919999999995</c:v>
                </c:pt>
                <c:pt idx="2" formatCode="General">
                  <c:v>0.48182760000000002</c:v>
                </c:pt>
                <c:pt idx="3" formatCode="#,##0">
                  <c:v>1.4789810000000001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4-4994-968A-7C3865E0B7CC}"/>
            </c:ext>
          </c:extLst>
        </c:ser>
        <c:ser>
          <c:idx val="2"/>
          <c:order val="2"/>
          <c:tx>
            <c:strRef>
              <c:f>'Outcomes of RM formal'!$E$236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formal'!$N$244:$N$247</c:f>
                <c:numCache>
                  <c:formatCode>General</c:formatCode>
                  <c:ptCount val="4"/>
                  <c:pt idx="0">
                    <c:v>0.17555699999999996</c:v>
                  </c:pt>
                  <c:pt idx="1">
                    <c:v>0.35895800000000033</c:v>
                  </c:pt>
                  <c:pt idx="2">
                    <c:v>0.32325099999999996</c:v>
                  </c:pt>
                  <c:pt idx="3">
                    <c:v>0.80937400000000004</c:v>
                  </c:pt>
                </c:numCache>
              </c:numRef>
            </c:plus>
            <c:minus>
              <c:numRef>
                <c:f>'Outcomes of RM formal'!$M$244:$M$247</c:f>
                <c:numCache>
                  <c:formatCode>General</c:formatCode>
                  <c:ptCount val="4"/>
                  <c:pt idx="0">
                    <c:v>0.15242400000000011</c:v>
                  </c:pt>
                  <c:pt idx="1">
                    <c:v>0.3079019999999999</c:v>
                  </c:pt>
                  <c:pt idx="2">
                    <c:v>0.24604249999999994</c:v>
                  </c:pt>
                  <c:pt idx="3">
                    <c:v>0.59771899999999989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formal'!$A$237:$B$240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RM formal'!$E$237:$E$240</c:f>
              <c:numCache>
                <c:formatCode>#,##0.00000</c:formatCode>
                <c:ptCount val="4"/>
                <c:pt idx="0">
                  <c:v>1.156757</c:v>
                </c:pt>
                <c:pt idx="1">
                  <c:v>2.1647509999999999</c:v>
                </c:pt>
                <c:pt idx="2" formatCode="General">
                  <c:v>1.030114</c:v>
                </c:pt>
                <c:pt idx="3" formatCode="#,##0">
                  <c:v>2.2856969999999999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54-4994-968A-7C3865E0B7CC}"/>
            </c:ext>
          </c:extLst>
        </c:ser>
        <c:ser>
          <c:idx val="3"/>
          <c:order val="3"/>
          <c:tx>
            <c:strRef>
              <c:f>'Outcomes of RM formal'!$F$236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formal'!$P$236:$P$239</c:f>
                <c:numCache>
                  <c:formatCode>General</c:formatCode>
                  <c:ptCount val="4"/>
                  <c:pt idx="0">
                    <c:v>0.3755679999999999</c:v>
                  </c:pt>
                  <c:pt idx="1">
                    <c:v>0.60805499999999935</c:v>
                  </c:pt>
                  <c:pt idx="2">
                    <c:v>0.60128899999999996</c:v>
                  </c:pt>
                  <c:pt idx="3">
                    <c:v>1.5780440000000002</c:v>
                  </c:pt>
                </c:numCache>
              </c:numRef>
            </c:plus>
            <c:minus>
              <c:numRef>
                <c:f>'Outcomes of RM formal'!$O$236:$O$239</c:f>
                <c:numCache>
                  <c:formatCode>General</c:formatCode>
                  <c:ptCount val="4"/>
                  <c:pt idx="0">
                    <c:v>0.33084500000000006</c:v>
                  </c:pt>
                  <c:pt idx="1">
                    <c:v>0.52957100000000024</c:v>
                  </c:pt>
                  <c:pt idx="2">
                    <c:v>0.49873600000000007</c:v>
                  </c:pt>
                  <c:pt idx="3">
                    <c:v>1.296297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formal'!$A$237:$B$240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RM formal'!$F$237:$F$240</c:f>
              <c:numCache>
                <c:formatCode>#,##0.00000</c:formatCode>
                <c:ptCount val="4"/>
                <c:pt idx="0">
                  <c:v>2.778378</c:v>
                </c:pt>
                <c:pt idx="1">
                  <c:v>4.1028890000000002</c:v>
                </c:pt>
                <c:pt idx="2" formatCode="#,##0">
                  <c:v>2.9241950000000001</c:v>
                </c:pt>
                <c:pt idx="3" formatCode="#,##0">
                  <c:v>7.2604509999999998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54-4994-968A-7C3865E0B7CC}"/>
            </c:ext>
          </c:extLst>
        </c:ser>
        <c:ser>
          <c:idx val="4"/>
          <c:order val="4"/>
          <c:tx>
            <c:strRef>
              <c:f>'Outcomes of RM formal'!$G$236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formal'!$P$240:$P$243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0.231325</c:v>
                  </c:pt>
                  <c:pt idx="2">
                    <c:v>0.87414599999999965</c:v>
                  </c:pt>
                  <c:pt idx="3">
                    <c:v>1.1367560000000001</c:v>
                  </c:pt>
                </c:numCache>
              </c:numRef>
            </c:plus>
            <c:minus>
              <c:numRef>
                <c:f>'Outcomes of RM formal'!$O$240:$O$243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0.19193330000000008</c:v>
                  </c:pt>
                  <c:pt idx="2">
                    <c:v>0.74297199999999997</c:v>
                  </c:pt>
                  <c:pt idx="3">
                    <c:v>0.90491400000000022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formal'!$A$237:$B$240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RM formal'!$G$237:$G$240</c:f>
              <c:numCache>
                <c:formatCode>#,##0.00000</c:formatCode>
                <c:ptCount val="4"/>
                <c:pt idx="0">
                  <c:v>1</c:v>
                </c:pt>
                <c:pt idx="1">
                  <c:v>1.127102</c:v>
                </c:pt>
                <c:pt idx="2" formatCode="#,##0">
                  <c:v>4.9511940000000001</c:v>
                </c:pt>
                <c:pt idx="3" formatCode="#,##0">
                  <c:v>4.4369420000000002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54-4994-968A-7C3865E0B7CC}"/>
            </c:ext>
          </c:extLst>
        </c:ser>
        <c:ser>
          <c:idx val="5"/>
          <c:order val="5"/>
          <c:tx>
            <c:strRef>
              <c:f>'Outcomes of RM formal'!$H$236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formal'!$P$244:$P$247</c:f>
                <c:numCache>
                  <c:formatCode>General</c:formatCode>
                  <c:ptCount val="4"/>
                  <c:pt idx="0">
                    <c:v>4.738719999999999E-2</c:v>
                  </c:pt>
                  <c:pt idx="1">
                    <c:v>9.9807900000000005E-2</c:v>
                  </c:pt>
                  <c:pt idx="2">
                    <c:v>0.12329449999999999</c:v>
                  </c:pt>
                  <c:pt idx="3">
                    <c:v>0.36498010000000003</c:v>
                  </c:pt>
                </c:numCache>
              </c:numRef>
            </c:plus>
            <c:minus>
              <c:numRef>
                <c:f>'Outcomes of RM formal'!$O$244:$O$247</c:f>
                <c:numCache>
                  <c:formatCode>General</c:formatCode>
                  <c:ptCount val="4"/>
                  <c:pt idx="0">
                    <c:v>3.5438200000000017E-2</c:v>
                  </c:pt>
                  <c:pt idx="1">
                    <c:v>7.2750499999999968E-2</c:v>
                  </c:pt>
                  <c:pt idx="2">
                    <c:v>5.5120999999999996E-2</c:v>
                  </c:pt>
                  <c:pt idx="3">
                    <c:v>0.1808659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formal'!$A$237:$B$240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RM formal'!$H$237:$H$240</c:f>
              <c:numCache>
                <c:formatCode>#,##0.00000</c:formatCode>
                <c:ptCount val="4"/>
                <c:pt idx="0">
                  <c:v>0.14054050000000001</c:v>
                </c:pt>
                <c:pt idx="1">
                  <c:v>0.26835759999999997</c:v>
                </c:pt>
                <c:pt idx="2" formatCode="General">
                  <c:v>9.9688499999999999E-2</c:v>
                </c:pt>
                <c:pt idx="3" formatCode="General">
                  <c:v>0.35854079999999999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54-4994-968A-7C3865E0B7CC}"/>
            </c:ext>
          </c:extLst>
        </c:ser>
        <c:ser>
          <c:idx val="6"/>
          <c:order val="6"/>
          <c:tx>
            <c:strRef>
              <c:f>'Outcomes of RM formal'!$I$236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formal'!$R$236:$R$239</c:f>
                <c:numCache>
                  <c:formatCode>General</c:formatCode>
                  <c:ptCount val="4"/>
                  <c:pt idx="0">
                    <c:v>5.3578299999999995E-2</c:v>
                  </c:pt>
                  <c:pt idx="1">
                    <c:v>9.7308000000000006E-2</c:v>
                  </c:pt>
                  <c:pt idx="2">
                    <c:v>0.14967050000000001</c:v>
                  </c:pt>
                  <c:pt idx="3">
                    <c:v>0.36462260000000002</c:v>
                  </c:pt>
                </c:numCache>
              </c:numRef>
            </c:plus>
            <c:minus>
              <c:numRef>
                <c:f>'Outcomes of RM formal'!$Q$236:$Q$239</c:f>
                <c:numCache>
                  <c:formatCode>General</c:formatCode>
                  <c:ptCount val="4"/>
                  <c:pt idx="0">
                    <c:v>4.0597600000000011E-2</c:v>
                  </c:pt>
                  <c:pt idx="1">
                    <c:v>7.0983900000000016E-2</c:v>
                  </c:pt>
                  <c:pt idx="2">
                    <c:v>8.2284700000000016E-2</c:v>
                  </c:pt>
                  <c:pt idx="3">
                    <c:v>0.1807781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formal'!$A$237:$B$240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RM formal'!$I$237:$I$240</c:f>
              <c:numCache>
                <c:formatCode>General</c:formatCode>
                <c:ptCount val="4"/>
                <c:pt idx="0">
                  <c:v>0.16756760000000001</c:v>
                </c:pt>
                <c:pt idx="1">
                  <c:v>0.26239410000000002</c:v>
                </c:pt>
                <c:pt idx="2">
                  <c:v>0.18276220000000001</c:v>
                </c:pt>
                <c:pt idx="3" formatCode="#,##0">
                  <c:v>0.35854079999999999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54-4994-968A-7C3865E0B7CC}"/>
            </c:ext>
          </c:extLst>
        </c:ser>
        <c:ser>
          <c:idx val="7"/>
          <c:order val="7"/>
          <c:tx>
            <c:strRef>
              <c:f>'Outcomes of RM formal'!$J$236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formal'!$R$240:$R$243</c:f>
                <c:numCache>
                  <c:formatCode>General</c:formatCode>
                  <c:ptCount val="4"/>
                  <c:pt idx="0">
                    <c:v>0.30538599999999994</c:v>
                  </c:pt>
                  <c:pt idx="1">
                    <c:v>0.46743500000000004</c:v>
                  </c:pt>
                  <c:pt idx="2">
                    <c:v>0.38080800000000004</c:v>
                  </c:pt>
                  <c:pt idx="3">
                    <c:v>0.57772800000000002</c:v>
                  </c:pt>
                </c:numCache>
              </c:numRef>
            </c:plus>
            <c:minus>
              <c:numRef>
                <c:f>'Outcomes of RM formal'!$Q$240:$Q$243</c:f>
                <c:numCache>
                  <c:formatCode>General</c:formatCode>
                  <c:ptCount val="4"/>
                  <c:pt idx="0">
                    <c:v>0.26902400000000015</c:v>
                  </c:pt>
                  <c:pt idx="1">
                    <c:v>0.40589600000000026</c:v>
                  </c:pt>
                  <c:pt idx="2">
                    <c:v>0.30140400000000001</c:v>
                  </c:pt>
                  <c:pt idx="3">
                    <c:v>0.39103520000000003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formal'!$A$237:$B$240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RM formal'!$J$237:$J$240</c:f>
              <c:numCache>
                <c:formatCode>#,##0</c:formatCode>
                <c:ptCount val="4"/>
                <c:pt idx="0">
                  <c:v>2.2594590000000001</c:v>
                </c:pt>
                <c:pt idx="1">
                  <c:v>3.0831300000000001</c:v>
                </c:pt>
                <c:pt idx="2">
                  <c:v>1.4454830000000001</c:v>
                </c:pt>
                <c:pt idx="3">
                  <c:v>1.210075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54-4994-968A-7C3865E0B7CC}"/>
            </c:ext>
          </c:extLst>
        </c:ser>
        <c:ser>
          <c:idx val="8"/>
          <c:order val="8"/>
          <c:tx>
            <c:strRef>
              <c:f>'Outcomes of RM formal'!$K$236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formal'!$R$244:$R$247</c:f>
                <c:numCache>
                  <c:formatCode>General</c:formatCode>
                  <c:ptCount val="4"/>
                  <c:pt idx="0">
                    <c:v>0.12841839999999993</c:v>
                  </c:pt>
                  <c:pt idx="1">
                    <c:v>0.24163599999999996</c:v>
                  </c:pt>
                  <c:pt idx="2">
                    <c:v>0.30545730000000004</c:v>
                  </c:pt>
                  <c:pt idx="3">
                    <c:v>0.66517700000000013</c:v>
                  </c:pt>
                </c:numCache>
              </c:numRef>
            </c:plus>
            <c:minus>
              <c:numRef>
                <c:f>'Outcomes of RM formal'!$Q$244:$Q$247</c:f>
                <c:numCache>
                  <c:formatCode>General</c:formatCode>
                  <c:ptCount val="4"/>
                  <c:pt idx="0">
                    <c:v>0.10944010000000004</c:v>
                  </c:pt>
                  <c:pt idx="1">
                    <c:v>0.20255299999999998</c:v>
                  </c:pt>
                  <c:pt idx="2">
                    <c:v>0.22996110000000003</c:v>
                  </c:pt>
                  <c:pt idx="3">
                    <c:v>0.47099800000000003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formal'!$A$237:$B$240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RM formal'!$K$237:$K$240</c:f>
              <c:numCache>
                <c:formatCode>#,##0</c:formatCode>
                <c:ptCount val="4"/>
                <c:pt idx="0" formatCode="General">
                  <c:v>0.74054050000000005</c:v>
                </c:pt>
                <c:pt idx="1">
                  <c:v>1.252335</c:v>
                </c:pt>
                <c:pt idx="2" formatCode="General">
                  <c:v>0.93042570000000002</c:v>
                </c:pt>
                <c:pt idx="3">
                  <c:v>1.613434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54-4994-968A-7C3865E0B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117688"/>
        <c:axId val="447118016"/>
      </c:barChart>
      <c:catAx>
        <c:axId val="44711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18016"/>
        <c:crosses val="autoZero"/>
        <c:auto val="1"/>
        <c:lblAlgn val="ctr"/>
        <c:lblOffset val="100"/>
        <c:noMultiLvlLbl val="0"/>
      </c:catAx>
      <c:valAx>
        <c:axId val="447118016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1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RM formal'!$C$323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formal'!$N$321:$N$324</c:f>
                <c:numCache>
                  <c:formatCode>General</c:formatCode>
                  <c:ptCount val="4"/>
                  <c:pt idx="0">
                    <c:v>6.2003399999999986E-2</c:v>
                  </c:pt>
                  <c:pt idx="1">
                    <c:v>0.12811340000000004</c:v>
                  </c:pt>
                  <c:pt idx="2">
                    <c:v>2.9265900000000011E-2</c:v>
                  </c:pt>
                  <c:pt idx="3">
                    <c:v>0.23084500000000002</c:v>
                  </c:pt>
                </c:numCache>
              </c:numRef>
            </c:plus>
            <c:minus>
              <c:numRef>
                <c:f>'Outcomes of RM formal'!$M$321:$M$324</c:f>
                <c:numCache>
                  <c:formatCode>General</c:formatCode>
                  <c:ptCount val="4"/>
                  <c:pt idx="0">
                    <c:v>4.8018100000000008E-2</c:v>
                  </c:pt>
                  <c:pt idx="1">
                    <c:v>0.10338909999999996</c:v>
                  </c:pt>
                  <c:pt idx="2">
                    <c:v>2.0764299999999992E-2</c:v>
                  </c:pt>
                  <c:pt idx="3">
                    <c:v>0.141683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formal'!$A$324:$B$327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RM formal'!$C$324:$C$327</c:f>
              <c:numCache>
                <c:formatCode>#,##0.00000</c:formatCode>
                <c:ptCount val="4"/>
                <c:pt idx="0" formatCode="0.000000">
                  <c:v>0.2128852</c:v>
                </c:pt>
                <c:pt idx="1">
                  <c:v>0.53572909999999996</c:v>
                </c:pt>
                <c:pt idx="2" formatCode="General">
                  <c:v>7.1478799999999995E-2</c:v>
                </c:pt>
                <c:pt idx="3" formatCode="0.00E+00">
                  <c:v>0.36682480000000001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3-466C-A87B-DD114DAA7501}"/>
            </c:ext>
          </c:extLst>
        </c:ser>
        <c:ser>
          <c:idx val="1"/>
          <c:order val="1"/>
          <c:tx>
            <c:strRef>
              <c:f>'Outcomes of RM formal'!$D$323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formal'!$N$325:$N$328</c:f>
                <c:numCache>
                  <c:formatCode>General</c:formatCode>
                  <c:ptCount val="4"/>
                  <c:pt idx="0">
                    <c:v>8.9975600000000044E-2</c:v>
                  </c:pt>
                  <c:pt idx="1">
                    <c:v>0.16099580000000002</c:v>
                  </c:pt>
                  <c:pt idx="2">
                    <c:v>3.6907599999999999E-2</c:v>
                  </c:pt>
                  <c:pt idx="3">
                    <c:v>0.20068600000000003</c:v>
                  </c:pt>
                </c:numCache>
              </c:numRef>
            </c:plus>
            <c:minus>
              <c:numRef>
                <c:f>'Outcomes of RM formal'!$M$325:$M$328</c:f>
                <c:numCache>
                  <c:formatCode>General</c:formatCode>
                  <c:ptCount val="4"/>
                  <c:pt idx="0">
                    <c:v>7.3930099999999999E-2</c:v>
                  </c:pt>
                  <c:pt idx="1">
                    <c:v>0.13329829999999998</c:v>
                  </c:pt>
                  <c:pt idx="2">
                    <c:v>2.7831400000000006E-2</c:v>
                  </c:pt>
                  <c:pt idx="3">
                    <c:v>0.11305979999999999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formal'!$A$324:$B$327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RM formal'!$D$324:$D$327</c:f>
              <c:numCache>
                <c:formatCode>#,##0.00000</c:formatCode>
                <c:ptCount val="4"/>
                <c:pt idx="0">
                  <c:v>0.41456579999999998</c:v>
                </c:pt>
                <c:pt idx="1">
                  <c:v>0.77481480000000003</c:v>
                </c:pt>
                <c:pt idx="2" formatCode="General">
                  <c:v>0.1131747</c:v>
                </c:pt>
                <c:pt idx="3" formatCode="0.00E+00">
                  <c:v>0.25893519999999998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3-466C-A87B-DD114DAA7501}"/>
            </c:ext>
          </c:extLst>
        </c:ser>
        <c:ser>
          <c:idx val="2"/>
          <c:order val="2"/>
          <c:tx>
            <c:strRef>
              <c:f>'Outcomes of RM formal'!$E$323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formal'!$N$329:$N$332</c:f>
                <c:numCache>
                  <c:formatCode>General</c:formatCode>
                  <c:ptCount val="4"/>
                  <c:pt idx="0">
                    <c:v>0.15140819999999999</c:v>
                  </c:pt>
                  <c:pt idx="1">
                    <c:v>0.25098299999999996</c:v>
                  </c:pt>
                  <c:pt idx="2">
                    <c:v>6.8526099999999979E-2</c:v>
                  </c:pt>
                  <c:pt idx="3">
                    <c:v>0.46739900000000012</c:v>
                  </c:pt>
                </c:numCache>
              </c:numRef>
            </c:plus>
            <c:minus>
              <c:numRef>
                <c:f>'Outcomes of RM formal'!$M$329:$M$332</c:f>
                <c:numCache>
                  <c:formatCode>General</c:formatCode>
                  <c:ptCount val="4"/>
                  <c:pt idx="0">
                    <c:v>0.12964520000000002</c:v>
                  </c:pt>
                  <c:pt idx="1">
                    <c:v>0.21475099999999991</c:v>
                  </c:pt>
                  <c:pt idx="2">
                    <c:v>5.6847700000000001E-2</c:v>
                  </c:pt>
                  <c:pt idx="3">
                    <c:v>0.361564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formal'!$A$324:$B$327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RM formal'!$E$324:$E$327</c:f>
              <c:numCache>
                <c:formatCode>#,##0.00000</c:formatCode>
                <c:ptCount val="4"/>
                <c:pt idx="0">
                  <c:v>0.90196080000000001</c:v>
                </c:pt>
                <c:pt idx="1">
                  <c:v>1.487644</c:v>
                </c:pt>
                <c:pt idx="2" formatCode="General">
                  <c:v>0.33356760000000002</c:v>
                </c:pt>
                <c:pt idx="3" formatCode="#,##0">
                  <c:v>1.596767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B3-466C-A87B-DD114DAA7501}"/>
            </c:ext>
          </c:extLst>
        </c:ser>
        <c:ser>
          <c:idx val="3"/>
          <c:order val="3"/>
          <c:tx>
            <c:strRef>
              <c:f>'Outcomes of RM formal'!$F$323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formal'!$P$321:$P$324</c:f>
                <c:numCache>
                  <c:formatCode>General</c:formatCode>
                  <c:ptCount val="4"/>
                  <c:pt idx="0">
                    <c:v>0.31522200000000034</c:v>
                  </c:pt>
                  <c:pt idx="1">
                    <c:v>0.48511900000000008</c:v>
                  </c:pt>
                  <c:pt idx="2">
                    <c:v>0.14050980000000002</c:v>
                  </c:pt>
                  <c:pt idx="3">
                    <c:v>0.56083399999999983</c:v>
                  </c:pt>
                </c:numCache>
              </c:numRef>
            </c:plus>
            <c:minus>
              <c:numRef>
                <c:f>'Outcomes of RM formal'!$O$321:$O$324</c:f>
                <c:numCache>
                  <c:formatCode>General</c:formatCode>
                  <c:ptCount val="4"/>
                  <c:pt idx="0">
                    <c:v>0.27493699999999976</c:v>
                  </c:pt>
                  <c:pt idx="1">
                    <c:v>0.4232809999999998</c:v>
                  </c:pt>
                  <c:pt idx="2">
                    <c:v>0.12081030000000004</c:v>
                  </c:pt>
                  <c:pt idx="3">
                    <c:v>0.44694600000000007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formal'!$A$324:$B$327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RM formal'!$F$324:$F$327</c:f>
              <c:numCache>
                <c:formatCode>#,##0.00000</c:formatCode>
                <c:ptCount val="4"/>
                <c:pt idx="0">
                  <c:v>2.1512609999999999</c:v>
                </c:pt>
                <c:pt idx="1">
                  <c:v>3.3206349999999998</c:v>
                </c:pt>
                <c:pt idx="2" formatCode="General">
                  <c:v>0.86171620000000004</c:v>
                </c:pt>
                <c:pt idx="3" formatCode="#,##0">
                  <c:v>2.200949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B3-466C-A87B-DD114DAA7501}"/>
            </c:ext>
          </c:extLst>
        </c:ser>
        <c:ser>
          <c:idx val="4"/>
          <c:order val="4"/>
          <c:tx>
            <c:strRef>
              <c:f>'Outcomes of RM formal'!$G$323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formal'!$P$325:$P$328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0.18968759999999996</c:v>
                  </c:pt>
                  <c:pt idx="2">
                    <c:v>0.11562930000000005</c:v>
                  </c:pt>
                  <c:pt idx="3">
                    <c:v>0.46440899999999985</c:v>
                  </c:pt>
                </c:numCache>
              </c:numRef>
            </c:plus>
            <c:minus>
              <c:numRef>
                <c:f>'Outcomes of RM formal'!$O$325:$O$328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0.15911789999999992</c:v>
                  </c:pt>
                  <c:pt idx="2">
                    <c:v>9.8329199999999894E-2</c:v>
                  </c:pt>
                  <c:pt idx="3">
                    <c:v>0.35519800000000012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formal'!$A$324:$B$327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RM formal'!$G$324:$G$327</c:f>
              <c:numCache>
                <c:formatCode>#,##0.00000</c:formatCode>
                <c:ptCount val="4"/>
                <c:pt idx="0">
                  <c:v>1</c:v>
                </c:pt>
                <c:pt idx="1">
                  <c:v>0.98733539999999997</c:v>
                </c:pt>
                <c:pt idx="2" formatCode="General">
                  <c:v>0.65720749999999994</c:v>
                </c:pt>
                <c:pt idx="3" formatCode="#,##0">
                  <c:v>1.5104550000000001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B3-466C-A87B-DD114DAA7501}"/>
            </c:ext>
          </c:extLst>
        </c:ser>
        <c:ser>
          <c:idx val="5"/>
          <c:order val="5"/>
          <c:tx>
            <c:strRef>
              <c:f>'Outcomes of RM formal'!$H$323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formal'!$P$329:$P$332</c:f>
                <c:numCache>
                  <c:formatCode>General</c:formatCode>
                  <c:ptCount val="4"/>
                  <c:pt idx="0">
                    <c:v>4.3919299999999994E-2</c:v>
                  </c:pt>
                  <c:pt idx="1">
                    <c:v>7.4347000000000024E-2</c:v>
                  </c:pt>
                  <c:pt idx="2">
                    <c:v>2.1685000000000003E-2</c:v>
                  </c:pt>
                  <c:pt idx="3">
                    <c:v>0.20210080000000002</c:v>
                  </c:pt>
                </c:numCache>
              </c:numRef>
            </c:plus>
            <c:minus>
              <c:numRef>
                <c:f>'Outcomes of RM formal'!$O$329:$O$332</c:f>
                <c:numCache>
                  <c:formatCode>General</c:formatCode>
                  <c:ptCount val="4"/>
                  <c:pt idx="0">
                    <c:v>3.1769800000000001E-2</c:v>
                  </c:pt>
                  <c:pt idx="1">
                    <c:v>5.4776600000000009E-2</c:v>
                  </c:pt>
                  <c:pt idx="2">
                    <c:v>1.3496199999999996E-2</c:v>
                  </c:pt>
                  <c:pt idx="3">
                    <c:v>8.6441299999999999E-2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formal'!$A$324:$B$327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RM formal'!$H$324:$H$327</c:f>
              <c:numCache>
                <c:formatCode>#,##0.00000</c:formatCode>
                <c:ptCount val="4"/>
                <c:pt idx="0">
                  <c:v>0.1148459</c:v>
                </c:pt>
                <c:pt idx="1">
                  <c:v>0.2080931</c:v>
                </c:pt>
                <c:pt idx="2" formatCode="General">
                  <c:v>3.5739399999999998E-2</c:v>
                </c:pt>
                <c:pt idx="3" formatCode="#,##0">
                  <c:v>0.1510455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B3-466C-A87B-DD114DAA7501}"/>
            </c:ext>
          </c:extLst>
        </c:ser>
        <c:ser>
          <c:idx val="6"/>
          <c:order val="6"/>
          <c:tx>
            <c:strRef>
              <c:f>'Outcomes of RM formal'!$I$323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formal'!$R$321:$R$324</c:f>
                <c:numCache>
                  <c:formatCode>General</c:formatCode>
                  <c:ptCount val="4"/>
                  <c:pt idx="0">
                    <c:v>4.9531999999999993E-2</c:v>
                  </c:pt>
                  <c:pt idx="1">
                    <c:v>7.6134500000000022E-2</c:v>
                  </c:pt>
                  <c:pt idx="2">
                    <c:v>2.6143699999999992E-2</c:v>
                  </c:pt>
                  <c:pt idx="3">
                    <c:v>0.13663809999999998</c:v>
                  </c:pt>
                </c:numCache>
              </c:numRef>
            </c:plus>
            <c:minus>
              <c:numRef>
                <c:f>'Outcomes of RM formal'!$Q$321:$Q$324</c:f>
                <c:numCache>
                  <c:formatCode>General</c:formatCode>
                  <c:ptCount val="4"/>
                  <c:pt idx="0">
                    <c:v>3.6591200000000018E-2</c:v>
                  </c:pt>
                  <c:pt idx="1">
                    <c:v>5.6356900000000015E-2</c:v>
                  </c:pt>
                  <c:pt idx="2">
                    <c:v>1.7124400000000005E-2</c:v>
                  </c:pt>
                  <c:pt idx="3">
                    <c:v>4.3924199999999997E-2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formal'!$A$324:$B$327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RM formal'!$I$324:$I$327</c:f>
              <c:numCache>
                <c:formatCode>General</c:formatCode>
                <c:ptCount val="4"/>
                <c:pt idx="0">
                  <c:v>0.14005600000000001</c:v>
                </c:pt>
                <c:pt idx="1">
                  <c:v>0.2169481</c:v>
                </c:pt>
                <c:pt idx="2">
                  <c:v>4.9638000000000002E-2</c:v>
                </c:pt>
                <c:pt idx="3" formatCode="0.00E+00">
                  <c:v>6.4733799999999994E-2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B3-466C-A87B-DD114DAA7501}"/>
            </c:ext>
          </c:extLst>
        </c:ser>
        <c:ser>
          <c:idx val="7"/>
          <c:order val="7"/>
          <c:tx>
            <c:strRef>
              <c:f>'Outcomes of RM formal'!$J$323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formal'!$R$325:$R$328</c:f>
                <c:numCache>
                  <c:formatCode>General</c:formatCode>
                  <c:ptCount val="4"/>
                  <c:pt idx="0">
                    <c:v>0.24056600000000006</c:v>
                  </c:pt>
                  <c:pt idx="1">
                    <c:v>0.32251099999999999</c:v>
                  </c:pt>
                  <c:pt idx="2">
                    <c:v>0.11305209999999999</c:v>
                  </c:pt>
                  <c:pt idx="3">
                    <c:v>0.49576299999999995</c:v>
                  </c:pt>
                </c:numCache>
              </c:numRef>
            </c:plus>
            <c:minus>
              <c:numRef>
                <c:f>'Outcomes of RM formal'!$Q$325:$Q$328</c:f>
                <c:numCache>
                  <c:formatCode>General</c:formatCode>
                  <c:ptCount val="4"/>
                  <c:pt idx="0">
                    <c:v>0.20930399999999993</c:v>
                  </c:pt>
                  <c:pt idx="1">
                    <c:v>0.27891299999999997</c:v>
                  </c:pt>
                  <c:pt idx="2">
                    <c:v>9.6876199999999968E-2</c:v>
                  </c:pt>
                  <c:pt idx="3">
                    <c:v>0.3851500000000001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formal'!$A$324:$B$327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RM formal'!$J$324:$J$327</c:f>
              <c:numCache>
                <c:formatCode>#,##0</c:formatCode>
                <c:ptCount val="4"/>
                <c:pt idx="0">
                  <c:v>1.610644</c:v>
                </c:pt>
                <c:pt idx="1">
                  <c:v>2.063221</c:v>
                </c:pt>
                <c:pt idx="2">
                  <c:v>0.67706270000000002</c:v>
                </c:pt>
                <c:pt idx="3">
                  <c:v>1.726234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B3-466C-A87B-DD114DAA7501}"/>
            </c:ext>
          </c:extLst>
        </c:ser>
        <c:ser>
          <c:idx val="8"/>
          <c:order val="8"/>
          <c:tx>
            <c:strRef>
              <c:f>'Outcomes of RM formal'!$K$323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formal'!$R$329:$R$332</c:f>
                <c:numCache>
                  <c:formatCode>General</c:formatCode>
                  <c:ptCount val="4"/>
                  <c:pt idx="0">
                    <c:v>0.10685139999999993</c:v>
                  </c:pt>
                  <c:pt idx="1">
                    <c:v>0.18577460000000001</c:v>
                  </c:pt>
                  <c:pt idx="2">
                    <c:v>6.0754499999999989E-2</c:v>
                  </c:pt>
                  <c:pt idx="3">
                    <c:v>0.27234879999999995</c:v>
                  </c:pt>
                </c:numCache>
              </c:numRef>
            </c:plus>
            <c:minus>
              <c:numRef>
                <c:f>'Outcomes of RM formal'!$Q$329:$Q$332</c:f>
                <c:numCache>
                  <c:formatCode>General</c:formatCode>
                  <c:ptCount val="4"/>
                  <c:pt idx="0">
                    <c:v>8.9443600000000067E-2</c:v>
                  </c:pt>
                  <c:pt idx="1">
                    <c:v>0.15613169999999998</c:v>
                  </c:pt>
                  <c:pt idx="2">
                    <c:v>4.9595900000000026E-2</c:v>
                  </c:pt>
                  <c:pt idx="3">
                    <c:v>0.18097870000000005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formal'!$A$324:$B$327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RM formal'!$K$324:$K$327</c:f>
              <c:numCache>
                <c:formatCode>#,##0</c:formatCode>
                <c:ptCount val="4"/>
                <c:pt idx="0" formatCode="General">
                  <c:v>0.54901960000000005</c:v>
                </c:pt>
                <c:pt idx="1">
                  <c:v>0.97848040000000003</c:v>
                </c:pt>
                <c:pt idx="2" formatCode="General">
                  <c:v>0.27003090000000002</c:v>
                </c:pt>
                <c:pt idx="3">
                  <c:v>0.53944820000000004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B3-466C-A87B-DD114DAA7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208840"/>
        <c:axId val="450209496"/>
      </c:barChart>
      <c:catAx>
        <c:axId val="45020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09496"/>
        <c:crosses val="autoZero"/>
        <c:auto val="1"/>
        <c:lblAlgn val="ctr"/>
        <c:lblOffset val="100"/>
        <c:noMultiLvlLbl val="0"/>
      </c:catAx>
      <c:valAx>
        <c:axId val="45020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0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RM formal'!$C$434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formal'!$N$434:$N$437</c:f>
                <c:numCache>
                  <c:formatCode>General</c:formatCode>
                  <c:ptCount val="4"/>
                  <c:pt idx="0">
                    <c:v>3.2696600000000006E-2</c:v>
                  </c:pt>
                  <c:pt idx="1">
                    <c:v>7.8384800000000004E-2</c:v>
                  </c:pt>
                  <c:pt idx="2">
                    <c:v>0.56707170000000007</c:v>
                  </c:pt>
                  <c:pt idx="3">
                    <c:v>0.94897000000000009</c:v>
                  </c:pt>
                </c:numCache>
              </c:numRef>
            </c:plus>
            <c:minus>
              <c:numRef>
                <c:f>'Outcomes of RM formal'!$M$434:$M$437</c:f>
                <c:numCache>
                  <c:formatCode>General</c:formatCode>
                  <c:ptCount val="4"/>
                  <c:pt idx="0">
                    <c:v>1.9199600000000001E-2</c:v>
                  </c:pt>
                  <c:pt idx="1">
                    <c:v>2.51218E-2</c:v>
                  </c:pt>
                  <c:pt idx="2">
                    <c:v>0.28480559999999999</c:v>
                  </c:pt>
                  <c:pt idx="3">
                    <c:v>0.64360299999999993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formal'!$A$435:$B$438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RM formal'!$C$435:$C$438</c:f>
              <c:numCache>
                <c:formatCode>#,##0.00000</c:formatCode>
                <c:ptCount val="4"/>
                <c:pt idx="0" formatCode="0.000000">
                  <c:v>4.65116E-2</c:v>
                </c:pt>
                <c:pt idx="1">
                  <c:v>3.6970700000000002E-2</c:v>
                </c:pt>
                <c:pt idx="2" formatCode="#,##0">
                  <c:v>0.5721733</c:v>
                </c:pt>
                <c:pt idx="3" formatCode="#,##0">
                  <c:v>2.0000879999999999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D-43A2-B827-7AA7B8F97065}"/>
            </c:ext>
          </c:extLst>
        </c:ser>
        <c:ser>
          <c:idx val="1"/>
          <c:order val="1"/>
          <c:tx>
            <c:strRef>
              <c:f>'Outcomes of RM formal'!$D$434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formal'!$N$438:$N$441</c:f>
                <c:numCache>
                  <c:formatCode>General</c:formatCode>
                  <c:ptCount val="4"/>
                  <c:pt idx="0">
                    <c:v>4.9136800000000008E-2</c:v>
                  </c:pt>
                  <c:pt idx="1">
                    <c:v>0.1153102</c:v>
                  </c:pt>
                  <c:pt idx="2">
                    <c:v>0.65937279999999987</c:v>
                  </c:pt>
                  <c:pt idx="3">
                    <c:v>0.55933149999999998</c:v>
                  </c:pt>
                </c:numCache>
              </c:numRef>
            </c:plus>
            <c:minus>
              <c:numRef>
                <c:f>'Outcomes of RM formal'!$M$438:$M$441</c:f>
                <c:numCache>
                  <c:formatCode>General</c:formatCode>
                  <c:ptCount val="4"/>
                  <c:pt idx="0">
                    <c:v>3.4540699999999994E-2</c:v>
                  </c:pt>
                  <c:pt idx="1">
                    <c:v>6.4790500000000015E-2</c:v>
                  </c:pt>
                  <c:pt idx="2">
                    <c:v>0.35872340000000008</c:v>
                  </c:pt>
                  <c:pt idx="3">
                    <c:v>0.29517869999999996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formal'!$A$435:$B$438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RM formal'!$D$435:$D$438</c:f>
              <c:numCache>
                <c:formatCode>#,##0.00000</c:formatCode>
                <c:ptCount val="4"/>
                <c:pt idx="0">
                  <c:v>0.1162791</c:v>
                </c:pt>
                <c:pt idx="1">
                  <c:v>0.14788280000000001</c:v>
                </c:pt>
                <c:pt idx="2" formatCode="General">
                  <c:v>0.78673820000000005</c:v>
                </c:pt>
                <c:pt idx="3" formatCode="#,##0">
                  <c:v>0.62502749999999996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D-43A2-B827-7AA7B8F97065}"/>
            </c:ext>
          </c:extLst>
        </c:ser>
        <c:ser>
          <c:idx val="2"/>
          <c:order val="2"/>
          <c:tx>
            <c:strRef>
              <c:f>'Outcomes of RM formal'!$E$434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formal'!$N$442:$N$445</c:f>
                <c:numCache>
                  <c:formatCode>General</c:formatCode>
                  <c:ptCount val="4"/>
                  <c:pt idx="0">
                    <c:v>0.14559430000000007</c:v>
                  </c:pt>
                  <c:pt idx="1">
                    <c:v>0.43124600000000024</c:v>
                  </c:pt>
                  <c:pt idx="2">
                    <c:v>0.50553610000000004</c:v>
                  </c:pt>
                  <c:pt idx="3">
                    <c:v>0.59420220000000001</c:v>
                  </c:pt>
                </c:numCache>
              </c:numRef>
            </c:plus>
            <c:minus>
              <c:numRef>
                <c:f>'Outcomes of RM formal'!$M$442:$M$445</c:f>
                <c:numCache>
                  <c:formatCode>General</c:formatCode>
                  <c:ptCount val="4"/>
                  <c:pt idx="0">
                    <c:v>0.12203469999999994</c:v>
                  </c:pt>
                  <c:pt idx="1">
                    <c:v>0.35054299999999983</c:v>
                  </c:pt>
                  <c:pt idx="2">
                    <c:v>0.23210500000000001</c:v>
                  </c:pt>
                  <c:pt idx="3">
                    <c:v>0.34321280000000004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formal'!$A$435:$B$438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RM formal'!$E$435:$E$438</c:f>
              <c:numCache>
                <c:formatCode>#,##0.00000</c:formatCode>
                <c:ptCount val="4"/>
                <c:pt idx="0">
                  <c:v>0.75415279999999996</c:v>
                </c:pt>
                <c:pt idx="1">
                  <c:v>1.8731819999999999</c:v>
                </c:pt>
                <c:pt idx="2" formatCode="General">
                  <c:v>0.42912990000000001</c:v>
                </c:pt>
                <c:pt idx="3" formatCode="General">
                  <c:v>0.81253580000000003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7D-43A2-B827-7AA7B8F97065}"/>
            </c:ext>
          </c:extLst>
        </c:ser>
        <c:ser>
          <c:idx val="3"/>
          <c:order val="3"/>
          <c:tx>
            <c:strRef>
              <c:f>'Outcomes of RM formal'!$F$434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formal'!$P$434:$P$437</c:f>
                <c:numCache>
                  <c:formatCode>General</c:formatCode>
                  <c:ptCount val="4"/>
                  <c:pt idx="0">
                    <c:v>0.27690599999999987</c:v>
                  </c:pt>
                  <c:pt idx="1">
                    <c:v>0.59643599999999974</c:v>
                  </c:pt>
                  <c:pt idx="2">
                    <c:v>0.56374539999999995</c:v>
                  </c:pt>
                  <c:pt idx="3">
                    <c:v>1.077915</c:v>
                  </c:pt>
                </c:numCache>
              </c:numRef>
            </c:plus>
            <c:minus>
              <c:numRef>
                <c:f>'Outcomes of RM formal'!$O$434:$O$437</c:f>
                <c:numCache>
                  <c:formatCode>General</c:formatCode>
                  <c:ptCount val="4"/>
                  <c:pt idx="0">
                    <c:v>0.23686099999999999</c:v>
                  </c:pt>
                  <c:pt idx="1">
                    <c:v>0.49348900000000029</c:v>
                  </c:pt>
                  <c:pt idx="2">
                    <c:v>0.31525579999999997</c:v>
                  </c:pt>
                  <c:pt idx="3">
                    <c:v>0.74740799999999985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formal'!$A$435:$B$438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RM formal'!$F$435:$F$438</c:f>
              <c:numCache>
                <c:formatCode>#,##0.00000</c:formatCode>
                <c:ptCount val="4"/>
                <c:pt idx="0">
                  <c:v>1.6378740000000001</c:v>
                </c:pt>
                <c:pt idx="1">
                  <c:v>2.8590680000000002</c:v>
                </c:pt>
                <c:pt idx="2" formatCode="General">
                  <c:v>0.71521659999999998</c:v>
                </c:pt>
                <c:pt idx="3" formatCode="#,##0">
                  <c:v>2.4376069999999999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7D-43A2-B827-7AA7B8F97065}"/>
            </c:ext>
          </c:extLst>
        </c:ser>
        <c:ser>
          <c:idx val="4"/>
          <c:order val="4"/>
          <c:tx>
            <c:strRef>
              <c:f>'Outcomes of RM formal'!$G$434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formal'!$P$438:$P$441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0.26117960000000007</c:v>
                  </c:pt>
                  <c:pt idx="2">
                    <c:v>1.1128119999999999</c:v>
                  </c:pt>
                  <c:pt idx="3">
                    <c:v>0.68759400000000004</c:v>
                  </c:pt>
                </c:numCache>
              </c:numRef>
            </c:plus>
            <c:minus>
              <c:numRef>
                <c:f>'Outcomes of RM formal'!$O$438:$O$441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0.1976966</c:v>
                  </c:pt>
                  <c:pt idx="2">
                    <c:v>0.69619200000000014</c:v>
                  </c:pt>
                  <c:pt idx="3">
                    <c:v>0.40744769999999997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formal'!$A$435:$B$438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RM formal'!$G$435:$G$438</c:f>
              <c:numCache>
                <c:formatCode>#,##0.00000</c:formatCode>
                <c:ptCount val="4"/>
                <c:pt idx="0">
                  <c:v>1</c:v>
                </c:pt>
                <c:pt idx="1">
                  <c:v>0.81335539999999995</c:v>
                </c:pt>
                <c:pt idx="2" formatCode="#,##0">
                  <c:v>1.8595630000000001</c:v>
                </c:pt>
                <c:pt idx="3" formatCode="#,##0">
                  <c:v>1.0000439999999999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7D-43A2-B827-7AA7B8F97065}"/>
            </c:ext>
          </c:extLst>
        </c:ser>
        <c:ser>
          <c:idx val="5"/>
          <c:order val="5"/>
          <c:tx>
            <c:strRef>
              <c:f>'Outcomes of RM formal'!$H$434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formal'!$P$442:$P$445</c:f>
                <c:numCache>
                  <c:formatCode>General</c:formatCode>
                  <c:ptCount val="4"/>
                  <c:pt idx="0">
                    <c:v>3.3102699999999999E-2</c:v>
                  </c:pt>
                  <c:pt idx="1">
                    <c:v>9.1793399999999983E-2</c:v>
                  </c:pt>
                  <c:pt idx="2">
                    <c:v>0.45738590000000001</c:v>
                  </c:pt>
                  <c:pt idx="3">
                    <c:v>0.49055860000000001</c:v>
                  </c:pt>
                </c:numCache>
              </c:numRef>
            </c:plus>
            <c:minus>
              <c:numRef>
                <c:f>'Outcomes of RM formal'!$O$442:$O$445</c:f>
                <c:numCache>
                  <c:formatCode>General</c:formatCode>
                  <c:ptCount val="4"/>
                  <c:pt idx="0">
                    <c:v>1.9338899999999999E-2</c:v>
                  </c:pt>
                  <c:pt idx="1">
                    <c:v>4.0953000000000003E-2</c:v>
                  </c:pt>
                  <c:pt idx="2">
                    <c:v>0.14605090000000001</c:v>
                  </c:pt>
                  <c:pt idx="3">
                    <c:v>0.23126169999999999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formal'!$A$435:$B$438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RM formal'!$H$435:$H$438</c:f>
              <c:numCache>
                <c:formatCode>#,##0.00000</c:formatCode>
                <c:ptCount val="4"/>
                <c:pt idx="0">
                  <c:v>4.65116E-2</c:v>
                </c:pt>
                <c:pt idx="1">
                  <c:v>7.3941400000000004E-2</c:v>
                </c:pt>
                <c:pt idx="2" formatCode="General">
                  <c:v>0.21456500000000001</c:v>
                </c:pt>
                <c:pt idx="3" formatCode="General">
                  <c:v>0.4375193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7D-43A2-B827-7AA7B8F97065}"/>
            </c:ext>
          </c:extLst>
        </c:ser>
        <c:ser>
          <c:idx val="6"/>
          <c:order val="6"/>
          <c:tx>
            <c:strRef>
              <c:f>'Outcomes of RM formal'!$I$434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formal'!$R$434:$R$437</c:f>
                <c:numCache>
                  <c:formatCode>General</c:formatCode>
                  <c:ptCount val="4"/>
                  <c:pt idx="0">
                    <c:v>4.3111799999999992E-2</c:v>
                  </c:pt>
                  <c:pt idx="1">
                    <c:v>0.1001475</c:v>
                  </c:pt>
                  <c:pt idx="2">
                    <c:v>0.45852389999999998</c:v>
                  </c:pt>
                  <c:pt idx="3">
                    <c:v>0.46988799999999997</c:v>
                  </c:pt>
                </c:numCache>
              </c:numRef>
            </c:plus>
            <c:minus>
              <c:numRef>
                <c:f>'Outcomes of RM formal'!$Q$434:$Q$437</c:f>
                <c:numCache>
                  <c:formatCode>General</c:formatCode>
                  <c:ptCount val="4"/>
                  <c:pt idx="0">
                    <c:v>2.7982000000000007E-2</c:v>
                  </c:pt>
                  <c:pt idx="1">
                    <c:v>4.9680899999999993E-2</c:v>
                  </c:pt>
                  <c:pt idx="2">
                    <c:v>0.14616670000000001</c:v>
                  </c:pt>
                  <c:pt idx="3">
                    <c:v>0.20856289999999997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formal'!$A$435:$B$438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RM formal'!$I$435:$I$438</c:f>
              <c:numCache>
                <c:formatCode>General</c:formatCode>
                <c:ptCount val="4"/>
                <c:pt idx="0">
                  <c:v>7.9734200000000005E-2</c:v>
                </c:pt>
                <c:pt idx="1">
                  <c:v>9.8588499999999996E-2</c:v>
                </c:pt>
                <c:pt idx="2">
                  <c:v>0.21456500000000001</c:v>
                </c:pt>
                <c:pt idx="3" formatCode="#,##0">
                  <c:v>0.37501649999999997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7D-43A2-B827-7AA7B8F97065}"/>
            </c:ext>
          </c:extLst>
        </c:ser>
        <c:ser>
          <c:idx val="7"/>
          <c:order val="7"/>
          <c:tx>
            <c:strRef>
              <c:f>'Outcomes of RM formal'!$J$434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formal'!$R$438:$R$441</c:f>
                <c:numCache>
                  <c:formatCode>General</c:formatCode>
                  <c:ptCount val="4"/>
                  <c:pt idx="0">
                    <c:v>0.22867400000000004</c:v>
                  </c:pt>
                  <c:pt idx="1">
                    <c:v>0.49731199999999998</c:v>
                  </c:pt>
                  <c:pt idx="2">
                    <c:v>0.88138400000000017</c:v>
                  </c:pt>
                  <c:pt idx="3">
                    <c:v>0.58553300000000008</c:v>
                  </c:pt>
                </c:numCache>
              </c:numRef>
            </c:plus>
            <c:minus>
              <c:numRef>
                <c:f>'Outcomes of RM formal'!$Q$438:$Q$441</c:f>
                <c:numCache>
                  <c:formatCode>General</c:formatCode>
                  <c:ptCount val="4"/>
                  <c:pt idx="0">
                    <c:v>0.19517299999999982</c:v>
                  </c:pt>
                  <c:pt idx="1">
                    <c:v>0.41056599999999976</c:v>
                  </c:pt>
                  <c:pt idx="2">
                    <c:v>0.5346263</c:v>
                  </c:pt>
                  <c:pt idx="3">
                    <c:v>0.32882629999999996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formal'!$A$435:$B$438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RM formal'!$J$435:$J$438</c:f>
              <c:numCache>
                <c:formatCode>#,##0</c:formatCode>
                <c:ptCount val="4"/>
                <c:pt idx="0">
                  <c:v>1.3322259999999999</c:v>
                </c:pt>
                <c:pt idx="1">
                  <c:v>2.3538009999999998</c:v>
                </c:pt>
                <c:pt idx="2">
                  <c:v>1.358911</c:v>
                </c:pt>
                <c:pt idx="3">
                  <c:v>0.75003299999999995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7D-43A2-B827-7AA7B8F97065}"/>
            </c:ext>
          </c:extLst>
        </c:ser>
        <c:ser>
          <c:idx val="8"/>
          <c:order val="8"/>
          <c:tx>
            <c:strRef>
              <c:f>'Outcomes of RM formal'!$K$434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formal'!$R$442:$R$445</c:f>
                <c:numCache>
                  <c:formatCode>General</c:formatCode>
                  <c:ptCount val="4"/>
                  <c:pt idx="0">
                    <c:v>0.11856870000000008</c:v>
                  </c:pt>
                  <c:pt idx="1">
                    <c:v>0.3009980000000001</c:v>
                  </c:pt>
                  <c:pt idx="2">
                    <c:v>0.43485600000000002</c:v>
                  </c:pt>
                  <c:pt idx="3">
                    <c:v>0.52443200000000001</c:v>
                  </c:pt>
                </c:numCache>
              </c:numRef>
            </c:plus>
            <c:minus>
              <c:numRef>
                <c:f>'Outcomes of RM formal'!$Q$442:$Q$445</c:f>
                <c:numCache>
                  <c:formatCode>General</c:formatCode>
                  <c:ptCount val="4"/>
                  <c:pt idx="0">
                    <c:v>9.7587799999999947E-2</c:v>
                  </c:pt>
                  <c:pt idx="1">
                    <c:v>0.2356050999999999</c:v>
                  </c:pt>
                  <c:pt idx="2">
                    <c:v>0.14367400000000002</c:v>
                  </c:pt>
                  <c:pt idx="3">
                    <c:v>0.25596799999999997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formal'!$A$435:$B$438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RM formal'!$K$435:$K$438</c:f>
              <c:numCache>
                <c:formatCode>#,##0</c:formatCode>
                <c:ptCount val="4"/>
                <c:pt idx="0" formatCode="General">
                  <c:v>0.55149499999999996</c:v>
                </c:pt>
                <c:pt idx="1">
                  <c:v>1.0844739999999999</c:v>
                </c:pt>
                <c:pt idx="2" formatCode="0.00E+00">
                  <c:v>0.21456500000000001</c:v>
                </c:pt>
                <c:pt idx="3" formatCode="General">
                  <c:v>0.50002199999999997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7D-43A2-B827-7AA7B8F97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376648"/>
        <c:axId val="740380584"/>
      </c:barChart>
      <c:catAx>
        <c:axId val="74037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80584"/>
        <c:crosses val="autoZero"/>
        <c:auto val="1"/>
        <c:lblAlgn val="ctr"/>
        <c:lblOffset val="100"/>
        <c:noMultiLvlLbl val="0"/>
      </c:catAx>
      <c:valAx>
        <c:axId val="74038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7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RM formal'!$N$143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formal'!$Q$103:$Q$106</c:f>
                <c:numCache>
                  <c:formatCode>General</c:formatCode>
                  <c:ptCount val="4"/>
                  <c:pt idx="0">
                    <c:v>0.12107140000000001</c:v>
                  </c:pt>
                  <c:pt idx="1">
                    <c:v>0.30403450000000004</c:v>
                  </c:pt>
                  <c:pt idx="2">
                    <c:v>0.59421089999999999</c:v>
                  </c:pt>
                  <c:pt idx="3">
                    <c:v>3.2000000000000011E-7</c:v>
                  </c:pt>
                </c:numCache>
              </c:numRef>
            </c:plus>
            <c:minus>
              <c:numRef>
                <c:f>'Outcomes of RM formal'!$P$103:$P$106</c:f>
                <c:numCache>
                  <c:formatCode>General</c:formatCode>
                  <c:ptCount val="4"/>
                  <c:pt idx="0">
                    <c:v>5.9309599999999997E-2</c:v>
                  </c:pt>
                  <c:pt idx="1">
                    <c:v>9.5794499999999977E-2</c:v>
                  </c:pt>
                  <c:pt idx="2">
                    <c:v>0.27327389999999996</c:v>
                  </c:pt>
                  <c:pt idx="3">
                    <c:v>2.2899999999999995E-7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RM formal'!$M$144:$M$147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RM formal'!$N$144:$N$147</c:f>
              <c:numCache>
                <c:formatCode>#,##0.00000</c:formatCode>
                <c:ptCount val="4"/>
                <c:pt idx="0" formatCode="0.000000">
                  <c:v>0.1162641</c:v>
                </c:pt>
                <c:pt idx="1">
                  <c:v>0.13986199999999999</c:v>
                </c:pt>
                <c:pt idx="2">
                  <c:v>0.5059631</c:v>
                </c:pt>
                <c:pt idx="3">
                  <c:v>7.9999999999999996E-7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F-4F50-A1E6-FA5248B2183C}"/>
            </c:ext>
          </c:extLst>
        </c:ser>
        <c:ser>
          <c:idx val="1"/>
          <c:order val="1"/>
          <c:tx>
            <c:strRef>
              <c:f>'Outcomes of RM formal'!$O$143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formal'!$Q$107:$Q$110</c:f>
                <c:numCache>
                  <c:formatCode>General</c:formatCode>
                  <c:ptCount val="4"/>
                  <c:pt idx="0">
                    <c:v>0.14887880000000001</c:v>
                  </c:pt>
                  <c:pt idx="1">
                    <c:v>0.49073060000000013</c:v>
                  </c:pt>
                  <c:pt idx="2">
                    <c:v>0.59818989999999994</c:v>
                  </c:pt>
                  <c:pt idx="3">
                    <c:v>2.5580270000000001</c:v>
                  </c:pt>
                </c:numCache>
              </c:numRef>
            </c:plus>
            <c:minus>
              <c:numRef>
                <c:f>'Outcomes of RM formal'!$P$107:$P$110</c:f>
                <c:numCache>
                  <c:formatCode>General</c:formatCode>
                  <c:ptCount val="4"/>
                  <c:pt idx="0">
                    <c:v>9.2490299999999998E-2</c:v>
                  </c:pt>
                  <c:pt idx="1">
                    <c:v>0.27116199999999996</c:v>
                  </c:pt>
                  <c:pt idx="2">
                    <c:v>0.27411229999999998</c:v>
                  </c:pt>
                  <c:pt idx="3">
                    <c:v>1.1073011000000001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RM formal'!$M$144:$M$147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RM formal'!$O$144:$O$147</c:f>
              <c:numCache>
                <c:formatCode>#,##0.00000</c:formatCode>
                <c:ptCount val="4"/>
                <c:pt idx="0">
                  <c:v>0.24419640000000001</c:v>
                </c:pt>
                <c:pt idx="1">
                  <c:v>0.60604139999999995</c:v>
                </c:pt>
                <c:pt idx="2">
                  <c:v>0.5059631</c:v>
                </c:pt>
                <c:pt idx="3">
                  <c:v>1.9524760000000001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F-4F50-A1E6-FA5248B2183C}"/>
            </c:ext>
          </c:extLst>
        </c:ser>
        <c:ser>
          <c:idx val="2"/>
          <c:order val="2"/>
          <c:tx>
            <c:strRef>
              <c:f>'Outcomes of RM formal'!$P$143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formal'!$Q$111:$Q$114</c:f>
                <c:numCache>
                  <c:formatCode>General</c:formatCode>
                  <c:ptCount val="4"/>
                  <c:pt idx="0">
                    <c:v>0.25246150000000001</c:v>
                  </c:pt>
                  <c:pt idx="1">
                    <c:v>0.81590800000000008</c:v>
                  </c:pt>
                  <c:pt idx="2">
                    <c:v>1.0959830000000002</c:v>
                  </c:pt>
                  <c:pt idx="3">
                    <c:v>2.4508920000000001</c:v>
                  </c:pt>
                </c:numCache>
              </c:numRef>
            </c:plus>
            <c:minus>
              <c:numRef>
                <c:f>'Outcomes of RM formal'!$P$111:$P$114</c:f>
                <c:numCache>
                  <c:formatCode>General</c:formatCode>
                  <c:ptCount val="4"/>
                  <c:pt idx="0">
                    <c:v>0.17809790000000003</c:v>
                  </c:pt>
                  <c:pt idx="1">
                    <c:v>0.54900900000000008</c:v>
                  </c:pt>
                  <c:pt idx="2">
                    <c:v>0.69227300000000014</c:v>
                  </c:pt>
                  <c:pt idx="3">
                    <c:v>0.97788529999999996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RM formal'!$M$144:$M$147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RM formal'!$P$144:$P$147</c:f>
              <c:numCache>
                <c:formatCode>#,##0.00000</c:formatCode>
                <c:ptCount val="4"/>
                <c:pt idx="0">
                  <c:v>0.60463460000000002</c:v>
                </c:pt>
                <c:pt idx="1">
                  <c:v>1.678323</c:v>
                </c:pt>
                <c:pt idx="2">
                  <c:v>1.8793610000000001</c:v>
                </c:pt>
                <c:pt idx="3">
                  <c:v>1.6270739999999999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BF-4F50-A1E6-FA5248B2183C}"/>
            </c:ext>
          </c:extLst>
        </c:ser>
        <c:ser>
          <c:idx val="3"/>
          <c:order val="3"/>
          <c:tx>
            <c:strRef>
              <c:f>'Outcomes of RM formal'!$Q$143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formal'!$Q$115:$Q$118</c:f>
                <c:numCache>
                  <c:formatCode>General</c:formatCode>
                  <c:ptCount val="4"/>
                  <c:pt idx="0">
                    <c:v>0.99635100000000021</c:v>
                  </c:pt>
                  <c:pt idx="1">
                    <c:v>2.4485780000000004</c:v>
                  </c:pt>
                  <c:pt idx="2">
                    <c:v>5.0635900000000014</c:v>
                  </c:pt>
                  <c:pt idx="3">
                    <c:v>7.1166799999999988</c:v>
                  </c:pt>
                </c:numCache>
              </c:numRef>
            </c:plus>
            <c:minus>
              <c:numRef>
                <c:f>'Outcomes of RM formal'!$P$115:$P$118</c:f>
                <c:numCache>
                  <c:formatCode>General</c:formatCode>
                  <c:ptCount val="4"/>
                  <c:pt idx="0">
                    <c:v>0.77556499999999984</c:v>
                  </c:pt>
                  <c:pt idx="1">
                    <c:v>1.8600450000000004</c:v>
                  </c:pt>
                  <c:pt idx="2">
                    <c:v>3.8406500000000001</c:v>
                  </c:pt>
                  <c:pt idx="3">
                    <c:v>5.0652600000000021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RM formal'!$M$144:$M$147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RM formal'!$Q$144:$Q$147</c:f>
              <c:numCache>
                <c:formatCode>#,##0.00000</c:formatCode>
                <c:ptCount val="4"/>
                <c:pt idx="0">
                  <c:v>3.4999199999999999</c:v>
                </c:pt>
                <c:pt idx="1">
                  <c:v>7.7386720000000002</c:v>
                </c:pt>
                <c:pt idx="2">
                  <c:v>15.9023</c:v>
                </c:pt>
                <c:pt idx="3">
                  <c:v>17.572130000000001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BF-4F50-A1E6-FA5248B2183C}"/>
            </c:ext>
          </c:extLst>
        </c:ser>
        <c:ser>
          <c:idx val="4"/>
          <c:order val="4"/>
          <c:tx>
            <c:strRef>
              <c:f>'Outcomes of RM formal'!$R$143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formal'!$Q$119:$Q$122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0.88306699999999982</c:v>
                  </c:pt>
                  <c:pt idx="2">
                    <c:v>1.2264440000000003</c:v>
                  </c:pt>
                  <c:pt idx="3">
                    <c:v>3.6578049999999989</c:v>
                  </c:pt>
                </c:numCache>
              </c:numRef>
            </c:plus>
            <c:minus>
              <c:numRef>
                <c:f>'Outcomes of RM formal'!$P$119:$P$122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0.60859299999999994</c:v>
                  </c:pt>
                  <c:pt idx="2">
                    <c:v>0.80147599999999986</c:v>
                  </c:pt>
                  <c:pt idx="3">
                    <c:v>2.0908970000000004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RM formal'!$M$144:$M$147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RM formal'!$R$144:$R$147</c:f>
              <c:numCache>
                <c:formatCode>#,##0.00000</c:formatCode>
                <c:ptCount val="4"/>
                <c:pt idx="0">
                  <c:v>1</c:v>
                </c:pt>
                <c:pt idx="1">
                  <c:v>1.958032</c:v>
                </c:pt>
                <c:pt idx="2">
                  <c:v>2.3130359999999999</c:v>
                </c:pt>
                <c:pt idx="3">
                  <c:v>4.8810130000000003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BF-4F50-A1E6-FA5248B2183C}"/>
            </c:ext>
          </c:extLst>
        </c:ser>
        <c:ser>
          <c:idx val="5"/>
          <c:order val="5"/>
          <c:tx>
            <c:strRef>
              <c:f>'Outcomes of RM formal'!$S$143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formal'!$Q$123:$Q$126</c:f>
                <c:numCache>
                  <c:formatCode>General</c:formatCode>
                  <c:ptCount val="4"/>
                  <c:pt idx="0">
                    <c:v>9.3421900000000002E-2</c:v>
                  </c:pt>
                  <c:pt idx="1">
                    <c:v>0.38263239999999998</c:v>
                  </c:pt>
                  <c:pt idx="2">
                    <c:v>0.59507090000000007</c:v>
                  </c:pt>
                  <c:pt idx="3">
                    <c:v>2.0411487999999998</c:v>
                  </c:pt>
                </c:numCache>
              </c:numRef>
            </c:plus>
            <c:minus>
              <c:numRef>
                <c:f>'Outcomes of RM formal'!$P$123:$P$126</c:f>
                <c:numCache>
                  <c:formatCode>General</c:formatCode>
                  <c:ptCount val="4"/>
                  <c:pt idx="0">
                    <c:v>4.3486599999999993E-2</c:v>
                  </c:pt>
                  <c:pt idx="1">
                    <c:v>0.17612400000000003</c:v>
                  </c:pt>
                  <c:pt idx="2">
                    <c:v>0.27345549999999996</c:v>
                  </c:pt>
                  <c:pt idx="3">
                    <c:v>0.28066369999999996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RM formal'!$M$144:$M$147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RM formal'!$S$144:$S$147</c:f>
              <c:numCache>
                <c:formatCode>#,##0.00000</c:formatCode>
                <c:ptCount val="4"/>
                <c:pt idx="0">
                  <c:v>8.1357399999999996E-2</c:v>
                </c:pt>
                <c:pt idx="1">
                  <c:v>0.32633420000000002</c:v>
                </c:pt>
                <c:pt idx="2">
                  <c:v>0.5059631</c:v>
                </c:pt>
                <c:pt idx="3">
                  <c:v>0.32540819999999998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BF-4F50-A1E6-FA5248B2183C}"/>
            </c:ext>
          </c:extLst>
        </c:ser>
        <c:ser>
          <c:idx val="6"/>
          <c:order val="6"/>
          <c:tx>
            <c:strRef>
              <c:f>'Outcomes of RM formal'!$T$143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formal'!$Q$127:$Q$130</c:f>
                <c:numCache>
                  <c:formatCode>General</c:formatCode>
                  <c:ptCount val="4"/>
                  <c:pt idx="0">
                    <c:v>0.10812619999999999</c:v>
                  </c:pt>
                  <c:pt idx="1">
                    <c:v>0.41523970000000004</c:v>
                  </c:pt>
                  <c:pt idx="2">
                    <c:v>0.59658389999999994</c:v>
                  </c:pt>
                  <c:pt idx="3">
                    <c:v>1.9944629000000003</c:v>
                  </c:pt>
                </c:numCache>
              </c:numRef>
            </c:plus>
            <c:minus>
              <c:numRef>
                <c:f>'Outcomes of RM formal'!$P$127:$P$130</c:f>
                <c:numCache>
                  <c:formatCode>General</c:formatCode>
                  <c:ptCount val="4"/>
                  <c:pt idx="0">
                    <c:v>5.6023799999999999E-2</c:v>
                  </c:pt>
                  <c:pt idx="1">
                    <c:v>0.2086954</c:v>
                  </c:pt>
                  <c:pt idx="2">
                    <c:v>0.27377470000000004</c:v>
                  </c:pt>
                  <c:pt idx="3">
                    <c:v>0.49069170000000001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RM formal'!$M$144:$M$147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RM formal'!$T$144:$T$147</c:f>
              <c:numCache>
                <c:formatCode>General</c:formatCode>
                <c:ptCount val="4"/>
                <c:pt idx="0">
                  <c:v>0.1162641</c:v>
                </c:pt>
                <c:pt idx="1">
                  <c:v>0.4195644</c:v>
                </c:pt>
                <c:pt idx="2">
                  <c:v>0.5059631</c:v>
                </c:pt>
                <c:pt idx="3">
                  <c:v>0.6508081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BF-4F50-A1E6-FA5248B2183C}"/>
            </c:ext>
          </c:extLst>
        </c:ser>
        <c:ser>
          <c:idx val="7"/>
          <c:order val="7"/>
          <c:tx>
            <c:strRef>
              <c:f>'Outcomes of RM formal'!$U$143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formal'!$Q$131:$Q$134</c:f>
                <c:numCache>
                  <c:formatCode>General</c:formatCode>
                  <c:ptCount val="4"/>
                  <c:pt idx="0">
                    <c:v>0.57023999999999986</c:v>
                  </c:pt>
                  <c:pt idx="1">
                    <c:v>1.3589739999999999</c:v>
                  </c:pt>
                  <c:pt idx="2">
                    <c:v>1.6456870000000001</c:v>
                  </c:pt>
                  <c:pt idx="3">
                    <c:v>2.8112750000000002</c:v>
                  </c:pt>
                </c:numCache>
              </c:numRef>
            </c:plus>
            <c:minus>
              <c:numRef>
                <c:f>'Outcomes of RM formal'!$P$131:$P$134</c:f>
                <c:numCache>
                  <c:formatCode>General</c:formatCode>
                  <c:ptCount val="4"/>
                  <c:pt idx="0">
                    <c:v>0.43517200000000011</c:v>
                  </c:pt>
                  <c:pt idx="1">
                    <c:v>0.98222699999999996</c:v>
                  </c:pt>
                  <c:pt idx="2">
                    <c:v>1.1377570000000001</c:v>
                  </c:pt>
                  <c:pt idx="3">
                    <c:v>1.351637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RM formal'!$M$144:$M$147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RM formal'!$U$144:$U$147</c:f>
              <c:numCache>
                <c:formatCode>#,##0</c:formatCode>
                <c:ptCount val="4"/>
                <c:pt idx="0">
                  <c:v>1.8372200000000001</c:v>
                </c:pt>
                <c:pt idx="1">
                  <c:v>3.543005</c:v>
                </c:pt>
                <c:pt idx="2">
                  <c:v>3.6863220000000001</c:v>
                </c:pt>
                <c:pt idx="3">
                  <c:v>2.603262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BF-4F50-A1E6-FA5248B2183C}"/>
            </c:ext>
          </c:extLst>
        </c:ser>
        <c:ser>
          <c:idx val="8"/>
          <c:order val="8"/>
          <c:tx>
            <c:strRef>
              <c:f>'Outcomes of RM formal'!$V$143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formal'!$Q$135:$Q$138</c:f>
                <c:numCache>
                  <c:formatCode>General</c:formatCode>
                  <c:ptCount val="4"/>
                  <c:pt idx="0">
                    <c:v>0.28325729999999993</c:v>
                  </c:pt>
                  <c:pt idx="1">
                    <c:v>0.85688500000000012</c:v>
                  </c:pt>
                  <c:pt idx="2">
                    <c:v>1.0012120000000002</c:v>
                  </c:pt>
                  <c:pt idx="3">
                    <c:v>3.4444530000000002</c:v>
                  </c:pt>
                </c:numCache>
              </c:numRef>
            </c:plus>
            <c:minus>
              <c:numRef>
                <c:f>'Outcomes of RM formal'!$P$135:$P$138</c:f>
                <c:numCache>
                  <c:formatCode>General</c:formatCode>
                  <c:ptCount val="4"/>
                  <c:pt idx="0">
                    <c:v>0.20335599999999998</c:v>
                  </c:pt>
                  <c:pt idx="1">
                    <c:v>0.57753699999999997</c:v>
                  </c:pt>
                  <c:pt idx="2">
                    <c:v>0.62488799999999989</c:v>
                  </c:pt>
                  <c:pt idx="3">
                    <c:v>1.8985560000000001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RM formal'!$M$144:$M$147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RM formal'!$V$144:$V$147</c:f>
              <c:numCache>
                <c:formatCode>General</c:formatCode>
                <c:ptCount val="4"/>
                <c:pt idx="0">
                  <c:v>0.72091669999999997</c:v>
                </c:pt>
                <c:pt idx="1">
                  <c:v>1.77156</c:v>
                </c:pt>
                <c:pt idx="2">
                  <c:v>1.6625179999999999</c:v>
                </c:pt>
                <c:pt idx="3" formatCode="#,##0">
                  <c:v>4.230219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BF-4F50-A1E6-FA5248B21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045024"/>
        <c:axId val="494045352"/>
      </c:barChart>
      <c:catAx>
        <c:axId val="49404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45352"/>
        <c:crosses val="autoZero"/>
        <c:auto val="1"/>
        <c:lblAlgn val="ctr"/>
        <c:lblOffset val="100"/>
        <c:noMultiLvlLbl val="0"/>
      </c:catAx>
      <c:valAx>
        <c:axId val="49404535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450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NRM formal'!$B$48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of NRM 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NRM formal'!$B$49:$B$52</c:f>
              <c:numCache>
                <c:formatCode>#,##0.00000</c:formatCode>
                <c:ptCount val="4"/>
                <c:pt idx="0" formatCode="0.000000">
                  <c:v>0.1244378</c:v>
                </c:pt>
                <c:pt idx="1">
                  <c:v>0.28592400000000001</c:v>
                </c:pt>
                <c:pt idx="2">
                  <c:v>0.61357600000000001</c:v>
                </c:pt>
                <c:pt idx="3">
                  <c:v>0.41058519999999998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E-47A4-99B0-887F03B6E821}"/>
            </c:ext>
          </c:extLst>
        </c:ser>
        <c:ser>
          <c:idx val="1"/>
          <c:order val="1"/>
          <c:tx>
            <c:strRef>
              <c:f>'Outcomes of NRM formal'!$C$48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of NRM 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NRM formal'!$C$49:$C$52</c:f>
              <c:numCache>
                <c:formatCode>#,##0.00000</c:formatCode>
                <c:ptCount val="4"/>
                <c:pt idx="0">
                  <c:v>0.20839579999999999</c:v>
                </c:pt>
                <c:pt idx="1">
                  <c:v>0.81583649999999996</c:v>
                </c:pt>
                <c:pt idx="2">
                  <c:v>0.81595980000000001</c:v>
                </c:pt>
                <c:pt idx="3">
                  <c:v>1.058047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3E-47A4-99B0-887F03B6E821}"/>
            </c:ext>
          </c:extLst>
        </c:ser>
        <c:ser>
          <c:idx val="2"/>
          <c:order val="2"/>
          <c:tx>
            <c:strRef>
              <c:f>'Outcomes of NRM formal'!$D$48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of NRM 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NRM formal'!$D$49:$D$52</c:f>
              <c:numCache>
                <c:formatCode>#,##0.00000</c:formatCode>
                <c:ptCount val="4"/>
                <c:pt idx="0">
                  <c:v>0.3703148</c:v>
                </c:pt>
                <c:pt idx="1">
                  <c:v>0.77771330000000005</c:v>
                </c:pt>
                <c:pt idx="2">
                  <c:v>1.06653</c:v>
                </c:pt>
                <c:pt idx="3">
                  <c:v>0.99487959999999998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3E-47A4-99B0-887F03B6E821}"/>
            </c:ext>
          </c:extLst>
        </c:ser>
        <c:ser>
          <c:idx val="3"/>
          <c:order val="3"/>
          <c:tx>
            <c:strRef>
              <c:f>'Outcomes of NRM formal'!$E$48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of NRM 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NRM formal'!$E$49:$E$52</c:f>
              <c:numCache>
                <c:formatCode>#,##0.00000</c:formatCode>
                <c:ptCount val="4"/>
                <c:pt idx="0">
                  <c:v>0.97151419999999999</c:v>
                </c:pt>
                <c:pt idx="1">
                  <c:v>2.5771280000000001</c:v>
                </c:pt>
                <c:pt idx="2">
                  <c:v>2.9907819999999998</c:v>
                </c:pt>
                <c:pt idx="3">
                  <c:v>3.805809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3E-47A4-99B0-887F03B6E821}"/>
            </c:ext>
          </c:extLst>
        </c:ser>
        <c:ser>
          <c:idx val="4"/>
          <c:order val="4"/>
          <c:tx>
            <c:strRef>
              <c:f>'Outcomes of NRM formal'!$F$48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'Outcomes of NRM 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NRM formal'!$F$49:$F$52</c:f>
              <c:numCache>
                <c:formatCode>#,##0.00000</c:formatCode>
                <c:ptCount val="4"/>
                <c:pt idx="0">
                  <c:v>1</c:v>
                </c:pt>
                <c:pt idx="1">
                  <c:v>1.799415</c:v>
                </c:pt>
                <c:pt idx="2">
                  <c:v>1.4455979999999999</c:v>
                </c:pt>
                <c:pt idx="3">
                  <c:v>3.1583480000000002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3E-47A4-99B0-887F03B6E821}"/>
            </c:ext>
          </c:extLst>
        </c:ser>
        <c:ser>
          <c:idx val="5"/>
          <c:order val="5"/>
          <c:tx>
            <c:strRef>
              <c:f>'Outcomes of NRM formal'!$G$48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'Outcomes of NRM 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NRM formal'!$G$49:$G$52</c:f>
              <c:numCache>
                <c:formatCode>#,##0.00000</c:formatCode>
                <c:ptCount val="4"/>
                <c:pt idx="0">
                  <c:v>4.0479800000000003E-2</c:v>
                </c:pt>
                <c:pt idx="1">
                  <c:v>0.10674500000000001</c:v>
                </c:pt>
                <c:pt idx="2">
                  <c:v>9.3160800000000002E-2</c:v>
                </c:pt>
                <c:pt idx="3">
                  <c:v>0.20529259999999999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3E-47A4-99B0-887F03B6E821}"/>
            </c:ext>
          </c:extLst>
        </c:ser>
        <c:ser>
          <c:idx val="6"/>
          <c:order val="6"/>
          <c:tx>
            <c:strRef>
              <c:f>'Outcomes of NRM formal'!$H$48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of NRM 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NRM formal'!$H$49:$H$52</c:f>
              <c:numCache>
                <c:formatCode>#,##0.000000</c:formatCode>
                <c:ptCount val="4"/>
                <c:pt idx="0">
                  <c:v>6.5966999999999998E-2</c:v>
                </c:pt>
                <c:pt idx="1">
                  <c:v>0.1944283</c:v>
                </c:pt>
                <c:pt idx="2">
                  <c:v>0.2023837</c:v>
                </c:pt>
                <c:pt idx="3">
                  <c:v>0.50533570000000005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7-464F-BD76-872F238AA95A}"/>
            </c:ext>
          </c:extLst>
        </c:ser>
        <c:ser>
          <c:idx val="7"/>
          <c:order val="7"/>
          <c:tx>
            <c:strRef>
              <c:f>'Outcomes of NRM formal'!$I$48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of NRM 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NRM formal'!$I$49:$I$52</c:f>
              <c:numCache>
                <c:formatCode>#,##0.000000</c:formatCode>
                <c:ptCount val="4"/>
                <c:pt idx="0">
                  <c:v>0.2038981</c:v>
                </c:pt>
                <c:pt idx="1">
                  <c:v>0.46510299999999999</c:v>
                </c:pt>
                <c:pt idx="2">
                  <c:v>0.63285069999999999</c:v>
                </c:pt>
                <c:pt idx="3">
                  <c:v>0.42637700000000001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7-464F-BD76-872F238AA95A}"/>
            </c:ext>
          </c:extLst>
        </c:ser>
        <c:ser>
          <c:idx val="8"/>
          <c:order val="8"/>
          <c:tx>
            <c:strRef>
              <c:f>'Outcomes of NRM formal'!$J$48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of NRM 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NRM formal'!$J$49:$J$52</c:f>
              <c:numCache>
                <c:formatCode>#,##0</c:formatCode>
                <c:ptCount val="4"/>
                <c:pt idx="0">
                  <c:v>0.64467770000000002</c:v>
                </c:pt>
                <c:pt idx="1">
                  <c:v>1.566864</c:v>
                </c:pt>
                <c:pt idx="2">
                  <c:v>2.2294330000000002</c:v>
                </c:pt>
                <c:pt idx="3">
                  <c:v>1.9581759999999999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37-464F-BD76-872F238AA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644488"/>
        <c:axId val="438646784"/>
      </c:barChart>
      <c:catAx>
        <c:axId val="43864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46784"/>
        <c:crosses val="autoZero"/>
        <c:auto val="1"/>
        <c:lblAlgn val="ctr"/>
        <c:lblOffset val="100"/>
        <c:noMultiLvlLbl val="0"/>
      </c:catAx>
      <c:valAx>
        <c:axId val="4386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4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NRM formal'!$B$142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formal'!$G$102:$G$105</c:f>
                <c:numCache>
                  <c:formatCode>General</c:formatCode>
                  <c:ptCount val="4"/>
                  <c:pt idx="0">
                    <c:v>3.2166099999999989E-2</c:v>
                  </c:pt>
                  <c:pt idx="1">
                    <c:v>5.6638500000000008E-2</c:v>
                  </c:pt>
                  <c:pt idx="2">
                    <c:v>8.0216300000000018E-2</c:v>
                  </c:pt>
                  <c:pt idx="3">
                    <c:v>0.11716559999999998</c:v>
                  </c:pt>
                </c:numCache>
              </c:numRef>
            </c:plus>
            <c:minus>
              <c:numRef>
                <c:f>'Outcomes of NRM formal'!$F$102:$F$105</c:f>
                <c:numCache>
                  <c:formatCode>General</c:formatCode>
                  <c:ptCount val="4"/>
                  <c:pt idx="0">
                    <c:v>2.5559300000000007E-2</c:v>
                  </c:pt>
                  <c:pt idx="1">
                    <c:v>4.4545500000000016E-2</c:v>
                  </c:pt>
                  <c:pt idx="2">
                    <c:v>6.7542099999999994E-2</c:v>
                  </c:pt>
                  <c:pt idx="3">
                    <c:v>7.8937499999999994E-2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NRM 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NRM formal'!$B$143:$B$146</c:f>
              <c:numCache>
                <c:formatCode>#,##0.00000</c:formatCode>
                <c:ptCount val="4"/>
                <c:pt idx="0" formatCode="0.000000">
                  <c:v>0.1244378</c:v>
                </c:pt>
                <c:pt idx="1">
                  <c:v>0.20863390000000001</c:v>
                </c:pt>
                <c:pt idx="2">
                  <c:v>0.42748419999999998</c:v>
                </c:pt>
                <c:pt idx="3">
                  <c:v>0.24193629999999999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4-47C1-9479-B277BE28E957}"/>
            </c:ext>
          </c:extLst>
        </c:ser>
        <c:ser>
          <c:idx val="1"/>
          <c:order val="1"/>
          <c:tx>
            <c:strRef>
              <c:f>'Outcomes of NRM formal'!$C$142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formal'!$G$106:$G$109</c:f>
                <c:numCache>
                  <c:formatCode>General</c:formatCode>
                  <c:ptCount val="4"/>
                  <c:pt idx="0">
                    <c:v>4.2340899999999987E-2</c:v>
                  </c:pt>
                  <c:pt idx="1">
                    <c:v>0.10435039999999995</c:v>
                  </c:pt>
                  <c:pt idx="2">
                    <c:v>9.5103999999999966E-2</c:v>
                  </c:pt>
                  <c:pt idx="3">
                    <c:v>0.1861604</c:v>
                  </c:pt>
                </c:numCache>
              </c:numRef>
            </c:plus>
            <c:minus>
              <c:numRef>
                <c:f>'Outcomes of NRM formal'!$F$106:$F$109</c:f>
                <c:numCache>
                  <c:formatCode>General</c:formatCode>
                  <c:ptCount val="4"/>
                  <c:pt idx="0">
                    <c:v>3.5191E-2</c:v>
                  </c:pt>
                  <c:pt idx="1">
                    <c:v>8.8786900000000002E-2</c:v>
                  </c:pt>
                  <c:pt idx="2">
                    <c:v>8.1473999999999991E-2</c:v>
                  </c:pt>
                  <c:pt idx="3">
                    <c:v>0.14335510000000007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NRM 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NRM formal'!$C$143:$C$146</c:f>
              <c:numCache>
                <c:formatCode>#,##0.00000</c:formatCode>
                <c:ptCount val="4"/>
                <c:pt idx="0">
                  <c:v>0.20839579999999999</c:v>
                </c:pt>
                <c:pt idx="1">
                  <c:v>0.5953022</c:v>
                </c:pt>
                <c:pt idx="2">
                  <c:v>0.56848690000000002</c:v>
                </c:pt>
                <c:pt idx="3">
                  <c:v>0.62345130000000004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14-47C1-9479-B277BE28E957}"/>
            </c:ext>
          </c:extLst>
        </c:ser>
        <c:ser>
          <c:idx val="2"/>
          <c:order val="2"/>
          <c:tx>
            <c:strRef>
              <c:f>'Outcomes of NRM formal'!$D$142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formal'!$G$110:$G$113</c:f>
                <c:numCache>
                  <c:formatCode>General</c:formatCode>
                  <c:ptCount val="4"/>
                  <c:pt idx="0">
                    <c:v>5.9256900000000001E-2</c:v>
                  </c:pt>
                  <c:pt idx="1">
                    <c:v>0.10150999999999999</c:v>
                  </c:pt>
                  <c:pt idx="2">
                    <c:v>0.11473460000000002</c:v>
                  </c:pt>
                  <c:pt idx="3">
                    <c:v>0.17701210000000001</c:v>
                  </c:pt>
                </c:numCache>
              </c:numRef>
            </c:plus>
            <c:minus>
              <c:numRef>
                <c:f>'Outcomes of NRM formal'!$F$110:$F$113</c:f>
                <c:numCache>
                  <c:formatCode>General</c:formatCode>
                  <c:ptCount val="4"/>
                  <c:pt idx="0">
                    <c:v>5.1082699999999981E-2</c:v>
                  </c:pt>
                  <c:pt idx="1">
                    <c:v>8.6107300000000053E-2</c:v>
                  </c:pt>
                  <c:pt idx="2">
                    <c:v>9.9388299999999985E-2</c:v>
                  </c:pt>
                  <c:pt idx="3">
                    <c:v>0.1359592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NRM 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NRM formal'!$D$143:$D$146</c:f>
              <c:numCache>
                <c:formatCode>#,##0.00000</c:formatCode>
                <c:ptCount val="4"/>
                <c:pt idx="0">
                  <c:v>0.3703148</c:v>
                </c:pt>
                <c:pt idx="1">
                  <c:v>0.56748430000000005</c:v>
                </c:pt>
                <c:pt idx="2">
                  <c:v>0.74306159999999999</c:v>
                </c:pt>
                <c:pt idx="3">
                  <c:v>0.58623029999999998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14-47C1-9479-B277BE28E957}"/>
            </c:ext>
          </c:extLst>
        </c:ser>
        <c:ser>
          <c:idx val="3"/>
          <c:order val="3"/>
          <c:tx>
            <c:strRef>
              <c:f>'Outcomes of NRM formal'!$E$142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formal'!$G$114:$G$117</c:f>
                <c:numCache>
                  <c:formatCode>General</c:formatCode>
                  <c:ptCount val="4"/>
                  <c:pt idx="0">
                    <c:v>0.1176408000000001</c:v>
                  </c:pt>
                  <c:pt idx="1">
                    <c:v>0.2363369999999998</c:v>
                  </c:pt>
                  <c:pt idx="2">
                    <c:v>0.25166000000000022</c:v>
                  </c:pt>
                  <c:pt idx="3">
                    <c:v>0.41334000000000026</c:v>
                  </c:pt>
                </c:numCache>
              </c:numRef>
            </c:plus>
            <c:minus>
              <c:numRef>
                <c:f>'Outcomes of NRM formal'!$F$114:$F$117</c:f>
                <c:numCache>
                  <c:formatCode>General</c:formatCode>
                  <c:ptCount val="4"/>
                  <c:pt idx="0">
                    <c:v>0.10493430000000004</c:v>
                  </c:pt>
                  <c:pt idx="1">
                    <c:v>0.20995000000000008</c:v>
                  </c:pt>
                  <c:pt idx="2">
                    <c:v>0.22454099999999988</c:v>
                  </c:pt>
                  <c:pt idx="3">
                    <c:v>0.34901199999999988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NRM 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NRM formal'!$E$143:$E$146</c:f>
              <c:numCache>
                <c:formatCode>#,##0.00000</c:formatCode>
                <c:ptCount val="4"/>
                <c:pt idx="0">
                  <c:v>0.97151419999999999</c:v>
                </c:pt>
                <c:pt idx="1">
                  <c:v>1.880487</c:v>
                </c:pt>
                <c:pt idx="2">
                  <c:v>2.0837059999999998</c:v>
                </c:pt>
                <c:pt idx="3">
                  <c:v>2.2425639999999998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14-47C1-9479-B277BE28E957}"/>
            </c:ext>
          </c:extLst>
        </c:ser>
        <c:ser>
          <c:idx val="4"/>
          <c:order val="4"/>
          <c:tx>
            <c:strRef>
              <c:f>'Outcomes of NRM formal'!$F$142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formal'!$G$118:$G$121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0.17519000000000018</c:v>
                  </c:pt>
                  <c:pt idx="2">
                    <c:v>0.14235300000000017</c:v>
                  </c:pt>
                  <c:pt idx="3">
                    <c:v>0.35711899999999996</c:v>
                  </c:pt>
                </c:numCache>
              </c:numRef>
            </c:plus>
            <c:minus>
              <c:numRef>
                <c:f>'Outcomes of NRM formal'!$F$118:$F$121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0.15456599999999998</c:v>
                  </c:pt>
                  <c:pt idx="2">
                    <c:v>0.12472439999999985</c:v>
                  </c:pt>
                  <c:pt idx="3">
                    <c:v>0.29962500000000003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NRM 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NRM formal'!$F$143:$F$146</c:f>
              <c:numCache>
                <c:formatCode>#,##0.00000</c:formatCode>
                <c:ptCount val="4"/>
                <c:pt idx="0">
                  <c:v>1</c:v>
                </c:pt>
                <c:pt idx="1">
                  <c:v>1.3130029999999999</c:v>
                </c:pt>
                <c:pt idx="2">
                  <c:v>1.0071619999999999</c:v>
                </c:pt>
                <c:pt idx="3">
                  <c:v>1.861049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14-47C1-9479-B277BE28E957}"/>
            </c:ext>
          </c:extLst>
        </c:ser>
        <c:ser>
          <c:idx val="5"/>
          <c:order val="5"/>
          <c:tx>
            <c:strRef>
              <c:f>'Outcomes of NRM formal'!$G$142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formal'!$G$122:$G$125</c:f>
                <c:numCache>
                  <c:formatCode>General</c:formatCode>
                  <c:ptCount val="4"/>
                  <c:pt idx="0">
                    <c:v>1.9059399999999997E-2</c:v>
                  </c:pt>
                  <c:pt idx="1">
                    <c:v>3.5969100000000004E-2</c:v>
                  </c:pt>
                  <c:pt idx="2">
                    <c:v>3.0679600000000001E-2</c:v>
                  </c:pt>
                  <c:pt idx="3">
                    <c:v>8.889749999999999E-2</c:v>
                  </c:pt>
                </c:numCache>
              </c:numRef>
            </c:plus>
            <c:minus>
              <c:numRef>
                <c:f>'Outcomes of NRM formal'!$F$122:$F$125</c:f>
                <c:numCache>
                  <c:formatCode>General</c:formatCode>
                  <c:ptCount val="4"/>
                  <c:pt idx="0">
                    <c:v>1.2958200000000003E-2</c:v>
                  </c:pt>
                  <c:pt idx="1">
                    <c:v>2.4606099999999999E-2</c:v>
                  </c:pt>
                  <c:pt idx="2">
                    <c:v>2.0832500000000004E-2</c:v>
                  </c:pt>
                  <c:pt idx="3">
                    <c:v>5.1241200000000001E-2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NRM 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NRM formal'!$G$143:$G$146</c:f>
              <c:numCache>
                <c:formatCode>#,##0.00000</c:formatCode>
                <c:ptCount val="4"/>
                <c:pt idx="0">
                  <c:v>4.0479800000000003E-2</c:v>
                </c:pt>
                <c:pt idx="1">
                  <c:v>7.7890000000000001E-2</c:v>
                </c:pt>
                <c:pt idx="2">
                  <c:v>6.4906000000000005E-2</c:v>
                </c:pt>
                <c:pt idx="3">
                  <c:v>0.1209682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14-47C1-9479-B277BE28E957}"/>
            </c:ext>
          </c:extLst>
        </c:ser>
        <c:ser>
          <c:idx val="6"/>
          <c:order val="6"/>
          <c:tx>
            <c:strRef>
              <c:f>'Outcomes of NRM formal'!$H$142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formal'!$G$126:$G$129</c:f>
                <c:numCache>
                  <c:formatCode>General</c:formatCode>
                  <c:ptCount val="4"/>
                  <c:pt idx="0">
                    <c:v>2.3575399999999996E-2</c:v>
                  </c:pt>
                  <c:pt idx="1">
                    <c:v>4.8310199999999998E-2</c:v>
                  </c:pt>
                  <c:pt idx="2">
                    <c:v>4.2472099999999985E-2</c:v>
                  </c:pt>
                  <c:pt idx="3">
                    <c:v>0.13290969999999996</c:v>
                  </c:pt>
                </c:numCache>
              </c:numRef>
            </c:plus>
            <c:minus>
              <c:numRef>
                <c:f>'Outcomes of NRM formal'!$F$126:$F$129</c:f>
                <c:numCache>
                  <c:formatCode>General</c:formatCode>
                  <c:ptCount val="4"/>
                  <c:pt idx="0">
                    <c:v>1.7368299999999996E-2</c:v>
                  </c:pt>
                  <c:pt idx="1">
                    <c:v>3.6038399999999998E-2</c:v>
                  </c:pt>
                  <c:pt idx="2">
                    <c:v>3.2640400000000014E-2</c:v>
                  </c:pt>
                  <c:pt idx="3">
                    <c:v>9.189300000000003E-2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NRM 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NRM formal'!$H$143:$H$146</c:f>
              <c:numCache>
                <c:formatCode>#,##0.000000</c:formatCode>
                <c:ptCount val="4"/>
                <c:pt idx="0">
                  <c:v>6.5966999999999998E-2</c:v>
                </c:pt>
                <c:pt idx="1">
                  <c:v>0.1418711</c:v>
                </c:pt>
                <c:pt idx="2">
                  <c:v>0.14100270000000001</c:v>
                </c:pt>
                <c:pt idx="3">
                  <c:v>0.29776780000000003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14-47C1-9479-B277BE28E957}"/>
            </c:ext>
          </c:extLst>
        </c:ser>
        <c:ser>
          <c:idx val="7"/>
          <c:order val="7"/>
          <c:tx>
            <c:strRef>
              <c:f>'Outcomes of NRM formal'!$I$142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formal'!$G$130:$G$133</c:f>
                <c:numCache>
                  <c:formatCode>General</c:formatCode>
                  <c:ptCount val="4"/>
                  <c:pt idx="0">
                    <c:v>4.1718300000000014E-2</c:v>
                  </c:pt>
                  <c:pt idx="1">
                    <c:v>7.5786099999999967E-2</c:v>
                  </c:pt>
                  <c:pt idx="2">
                    <c:v>8.0986100000000005E-2</c:v>
                  </c:pt>
                  <c:pt idx="3">
                    <c:v>0.11869940000000001</c:v>
                  </c:pt>
                </c:numCache>
              </c:numRef>
            </c:plus>
            <c:minus>
              <c:numRef>
                <c:f>'Outcomes of NRM formal'!$F$130:$F$133</c:f>
                <c:numCache>
                  <c:formatCode>General</c:formatCode>
                  <c:ptCount val="4"/>
                  <c:pt idx="0">
                    <c:v>3.4632400000000008E-2</c:v>
                  </c:pt>
                  <c:pt idx="1">
                    <c:v>6.1951699999999998E-2</c:v>
                  </c:pt>
                  <c:pt idx="2">
                    <c:v>6.841910000000001E-2</c:v>
                  </c:pt>
                  <c:pt idx="3">
                    <c:v>8.0613500000000005E-2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NRM 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NRM formal'!$I$143:$I$146</c:f>
              <c:numCache>
                <c:formatCode>#,##0.000000</c:formatCode>
                <c:ptCount val="4"/>
                <c:pt idx="0">
                  <c:v>0.2038981</c:v>
                </c:pt>
                <c:pt idx="1">
                  <c:v>0.33937790000000001</c:v>
                </c:pt>
                <c:pt idx="2">
                  <c:v>0.4409131</c:v>
                </c:pt>
                <c:pt idx="3">
                  <c:v>0.25124160000000001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14-47C1-9479-B277BE28E957}"/>
            </c:ext>
          </c:extLst>
        </c:ser>
        <c:ser>
          <c:idx val="8"/>
          <c:order val="8"/>
          <c:tx>
            <c:strRef>
              <c:f>'Outcomes of NRM formal'!$J$142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formal'!$G$134:$G$137</c:f>
                <c:numCache>
                  <c:formatCode>General</c:formatCode>
                  <c:ptCount val="4"/>
                  <c:pt idx="0">
                    <c:v>8.6079600000000034E-2</c:v>
                  </c:pt>
                  <c:pt idx="1">
                    <c:v>0.15821600000000013</c:v>
                  </c:pt>
                  <c:pt idx="2">
                    <c:v>0.19858500000000001</c:v>
                  </c:pt>
                  <c:pt idx="3">
                    <c:v>0.25783100000000014</c:v>
                  </c:pt>
                </c:numCache>
              </c:numRef>
            </c:plus>
            <c:minus>
              <c:numRef>
                <c:f>'Outcomes of NRM formal'!$F$134:$F$137</c:f>
                <c:numCache>
                  <c:formatCode>General</c:formatCode>
                  <c:ptCount val="4"/>
                  <c:pt idx="0">
                    <c:v>7.593990000000006E-2</c:v>
                  </c:pt>
                  <c:pt idx="1">
                    <c:v>0.13898299999999986</c:v>
                  </c:pt>
                  <c:pt idx="2">
                    <c:v>0.17607299999999992</c:v>
                  </c:pt>
                  <c:pt idx="3">
                    <c:v>0.2104280999999999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NRM 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NRM formal'!$J$143:$J$146</c:f>
              <c:numCache>
                <c:formatCode>#,##0</c:formatCode>
                <c:ptCount val="4"/>
                <c:pt idx="0" formatCode="General">
                  <c:v>0.64467770000000002</c:v>
                </c:pt>
                <c:pt idx="1">
                  <c:v>1.1433139999999999</c:v>
                </c:pt>
                <c:pt idx="2">
                  <c:v>1.553267</c:v>
                </c:pt>
                <c:pt idx="3">
                  <c:v>1.1445449999999999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14-47C1-9479-B277BE28E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502136"/>
        <c:axId val="571500824"/>
      </c:barChart>
      <c:catAx>
        <c:axId val="57150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00824"/>
        <c:crosses val="autoZero"/>
        <c:auto val="1"/>
        <c:lblAlgn val="ctr"/>
        <c:lblOffset val="100"/>
        <c:noMultiLvlLbl val="0"/>
      </c:catAx>
      <c:valAx>
        <c:axId val="57150082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0213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NRC formal'!$B$143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formal'!$G$104:$G$107</c:f>
                <c:numCache>
                  <c:formatCode>General</c:formatCode>
                  <c:ptCount val="4"/>
                  <c:pt idx="0">
                    <c:v>0.12971820000000001</c:v>
                  </c:pt>
                  <c:pt idx="1">
                    <c:v>0.34464799999999984</c:v>
                  </c:pt>
                  <c:pt idx="2">
                    <c:v>0.48396499999999998</c:v>
                  </c:pt>
                  <c:pt idx="3">
                    <c:v>0.40312090000000012</c:v>
                  </c:pt>
                </c:numCache>
              </c:numRef>
            </c:plus>
            <c:minus>
              <c:numRef>
                <c:f>'Outcomes of NRC formal'!$F$104:$F$107</c:f>
                <c:numCache>
                  <c:formatCode>General</c:formatCode>
                  <c:ptCount val="4"/>
                  <c:pt idx="0">
                    <c:v>0.10506930000000003</c:v>
                  </c:pt>
                  <c:pt idx="1">
                    <c:v>0.27995199999999998</c:v>
                  </c:pt>
                  <c:pt idx="2">
                    <c:v>0</c:v>
                  </c:pt>
                  <c:pt idx="3">
                    <c:v>0.26795789999999997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NRC formal'!$A$144:$A$147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NRC formal'!$B$144:$B$147</c:f>
              <c:numCache>
                <c:formatCode>#,##0.00000</c:formatCode>
                <c:ptCount val="4"/>
                <c:pt idx="0" formatCode="0.000000">
                  <c:v>0.55294120000000002</c:v>
                </c:pt>
                <c:pt idx="1">
                  <c:v>1.4913700000000001</c:v>
                </c:pt>
                <c:pt idx="2">
                  <c:v>2.365545</c:v>
                </c:pt>
                <c:pt idx="3">
                  <c:v>0.79917709999999997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7-4F2F-98CF-7FDE5ECEDA29}"/>
            </c:ext>
          </c:extLst>
        </c:ser>
        <c:ser>
          <c:idx val="1"/>
          <c:order val="1"/>
          <c:tx>
            <c:strRef>
              <c:f>'Outcomes of NRC formal'!$C$143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formal'!$G$108:$G$111</c:f>
                <c:numCache>
                  <c:formatCode>General</c:formatCode>
                  <c:ptCount val="4"/>
                  <c:pt idx="0">
                    <c:v>5.4449400000000009E-2</c:v>
                  </c:pt>
                  <c:pt idx="1">
                    <c:v>0.13506260000000003</c:v>
                  </c:pt>
                  <c:pt idx="2">
                    <c:v>0.18511230000000001</c:v>
                  </c:pt>
                  <c:pt idx="3">
                    <c:v>0.23854849999999997</c:v>
                  </c:pt>
                </c:numCache>
              </c:numRef>
            </c:plus>
            <c:minus>
              <c:numRef>
                <c:f>'Outcomes of NRC formal'!$F$108:$F$111</c:f>
                <c:numCache>
                  <c:formatCode>General</c:formatCode>
                  <c:ptCount val="4"/>
                  <c:pt idx="0">
                    <c:v>3.72223E-2</c:v>
                  </c:pt>
                  <c:pt idx="1">
                    <c:v>9.5047899999999991E-2</c:v>
                  </c:pt>
                  <c:pt idx="2">
                    <c:v>0.1453913</c:v>
                  </c:pt>
                  <c:pt idx="3">
                    <c:v>0.12159620000000002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NRC formal'!$A$144:$A$147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NRC formal'!$C$144:$C$147</c:f>
              <c:numCache>
                <c:formatCode>#,##0.00000</c:formatCode>
                <c:ptCount val="4"/>
                <c:pt idx="0">
                  <c:v>0.1176471</c:v>
                </c:pt>
                <c:pt idx="1">
                  <c:v>0.32081799999999999</c:v>
                </c:pt>
                <c:pt idx="2">
                  <c:v>0.67756830000000001</c:v>
                </c:pt>
                <c:pt idx="3">
                  <c:v>0.2480205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7-4F2F-98CF-7FDE5ECEDA29}"/>
            </c:ext>
          </c:extLst>
        </c:ser>
        <c:ser>
          <c:idx val="2"/>
          <c:order val="2"/>
          <c:tx>
            <c:strRef>
              <c:f>'Outcomes of NRC formal'!$D$143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formal'!$G$112:$G$115</c:f>
                <c:numCache>
                  <c:formatCode>General</c:formatCode>
                  <c:ptCount val="4"/>
                  <c:pt idx="0">
                    <c:v>7.2476500000000027E-2</c:v>
                  </c:pt>
                  <c:pt idx="1">
                    <c:v>0.16256359999999997</c:v>
                  </c:pt>
                  <c:pt idx="2">
                    <c:v>0.2030592</c:v>
                  </c:pt>
                  <c:pt idx="3">
                    <c:v>0.29863809999999996</c:v>
                  </c:pt>
                </c:numCache>
              </c:numRef>
            </c:plus>
            <c:minus>
              <c:numRef>
                <c:f>'Outcomes of NRC formal'!$F$112:$F$115</c:f>
                <c:numCache>
                  <c:formatCode>General</c:formatCode>
                  <c:ptCount val="4"/>
                  <c:pt idx="0">
                    <c:v>5.3996299999999997E-2</c:v>
                  </c:pt>
                  <c:pt idx="1">
                    <c:v>0.11948389999999998</c:v>
                  </c:pt>
                  <c:pt idx="2">
                    <c:v>0.16080030000000001</c:v>
                  </c:pt>
                  <c:pt idx="3">
                    <c:v>0.17804710000000001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NRC formal'!$A$144:$A$147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NRC formal'!$D$144:$D$147</c:f>
              <c:numCache>
                <c:formatCode>#,##0.00000</c:formatCode>
                <c:ptCount val="4"/>
                <c:pt idx="0">
                  <c:v>0.2117647</c:v>
                </c:pt>
                <c:pt idx="1">
                  <c:v>0.45087939999999999</c:v>
                </c:pt>
                <c:pt idx="2">
                  <c:v>0.77266559999999995</c:v>
                </c:pt>
                <c:pt idx="3">
                  <c:v>0.44092530000000002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F7-4F2F-98CF-7FDE5ECEDA29}"/>
            </c:ext>
          </c:extLst>
        </c:ser>
        <c:ser>
          <c:idx val="3"/>
          <c:order val="3"/>
          <c:tx>
            <c:strRef>
              <c:f>'Outcomes of NRC formal'!$E$143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formal'!$G$116:$G$119</c:f>
                <c:numCache>
                  <c:formatCode>General</c:formatCode>
                  <c:ptCount val="4"/>
                  <c:pt idx="0">
                    <c:v>0.15342500000000003</c:v>
                  </c:pt>
                  <c:pt idx="1">
                    <c:v>0.43138199999999993</c:v>
                  </c:pt>
                  <c:pt idx="2">
                    <c:v>0.40719699999999981</c:v>
                  </c:pt>
                  <c:pt idx="3">
                    <c:v>0.9884299999999997</c:v>
                  </c:pt>
                </c:numCache>
              </c:numRef>
            </c:plus>
            <c:minus>
              <c:numRef>
                <c:f>'Outcomes of NRC formal'!$F$116:$F$119</c:f>
                <c:numCache>
                  <c:formatCode>General</c:formatCode>
                  <c:ptCount val="4"/>
                  <c:pt idx="0">
                    <c:v>0.12539200000000006</c:v>
                  </c:pt>
                  <c:pt idx="1">
                    <c:v>0.35326899999999983</c:v>
                  </c:pt>
                  <c:pt idx="2">
                    <c:v>0.33594199999999996</c:v>
                  </c:pt>
                  <c:pt idx="3">
                    <c:v>0.77075199999999988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NRC formal'!$A$144:$A$147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NRC formal'!$E$144:$E$147</c:f>
              <c:numCache>
                <c:formatCode>#,##0.00000</c:formatCode>
                <c:ptCount val="4"/>
                <c:pt idx="0">
                  <c:v>0.68627450000000001</c:v>
                </c:pt>
                <c:pt idx="1">
                  <c:v>1.9509209999999999</c:v>
                </c:pt>
                <c:pt idx="2">
                  <c:v>1.9197770000000001</c:v>
                </c:pt>
                <c:pt idx="3">
                  <c:v>3.499844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F7-4F2F-98CF-7FDE5ECEDA29}"/>
            </c:ext>
          </c:extLst>
        </c:ser>
        <c:ser>
          <c:idx val="4"/>
          <c:order val="4"/>
          <c:tx>
            <c:strRef>
              <c:f>'Outcomes of NRC formal'!$F$143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formal'!$G$120:$G$123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0.30523499999999992</c:v>
                  </c:pt>
                  <c:pt idx="2">
                    <c:v>0.30465900000000001</c:v>
                  </c:pt>
                  <c:pt idx="3">
                    <c:v>0.79626699999999984</c:v>
                  </c:pt>
                </c:numCache>
              </c:numRef>
            </c:plus>
            <c:minus>
              <c:numRef>
                <c:f>'Outcomes of NRC formal'!$F$120:$F$123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0.24493700000000007</c:v>
                  </c:pt>
                  <c:pt idx="2">
                    <c:v>0.2475099999999999</c:v>
                  </c:pt>
                  <c:pt idx="3">
                    <c:v>0.6059540000000001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NRC formal'!$A$144:$A$147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NRC formal'!$F$144:$F$147</c:f>
              <c:numCache>
                <c:formatCode>#,##0.00000</c:formatCode>
                <c:ptCount val="4"/>
                <c:pt idx="0">
                  <c:v>1</c:v>
                </c:pt>
                <c:pt idx="1">
                  <c:v>1.2399180000000001</c:v>
                </c:pt>
                <c:pt idx="2">
                  <c:v>1.319475</c:v>
                </c:pt>
                <c:pt idx="3">
                  <c:v>2.53532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F7-4F2F-98CF-7FDE5ECEDA29}"/>
            </c:ext>
          </c:extLst>
        </c:ser>
        <c:ser>
          <c:idx val="5"/>
          <c:order val="5"/>
          <c:tx>
            <c:strRef>
              <c:f>'Outcomes of NRC formal'!$G$143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formal'!$G$124:$G$127</c:f>
                <c:numCache>
                  <c:formatCode>General</c:formatCode>
                  <c:ptCount val="4"/>
                  <c:pt idx="0">
                    <c:v>0.14093060000000002</c:v>
                  </c:pt>
                  <c:pt idx="1">
                    <c:v>0.29825799999999991</c:v>
                  </c:pt>
                  <c:pt idx="2">
                    <c:v>0.26485899999999996</c:v>
                  </c:pt>
                  <c:pt idx="3">
                    <c:v>0.48652399999999996</c:v>
                  </c:pt>
                </c:numCache>
              </c:numRef>
            </c:plus>
            <c:minus>
              <c:numRef>
                <c:f>'Outcomes of NRC formal'!$F$124:$F$127</c:f>
                <c:numCache>
                  <c:formatCode>General</c:formatCode>
                  <c:ptCount val="4"/>
                  <c:pt idx="0">
                    <c:v>0.11597389999999996</c:v>
                  </c:pt>
                  <c:pt idx="1">
                    <c:v>0.2384001</c:v>
                  </c:pt>
                  <c:pt idx="2">
                    <c:v>0.21366790000000013</c:v>
                  </c:pt>
                  <c:pt idx="3">
                    <c:v>0.3400837000000001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NRC formal'!$A$144:$A$147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NRC formal'!$G$144:$G$147</c:f>
              <c:numCache>
                <c:formatCode>#,##0.00000</c:formatCode>
                <c:ptCount val="4"/>
                <c:pt idx="0">
                  <c:v>0.65490199999999998</c:v>
                </c:pt>
                <c:pt idx="1">
                  <c:v>1.187894</c:v>
                </c:pt>
                <c:pt idx="2">
                  <c:v>1.1055060000000001</c:v>
                </c:pt>
                <c:pt idx="3">
                  <c:v>1.1298710000000001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F7-4F2F-98CF-7FDE5ECEDA29}"/>
            </c:ext>
          </c:extLst>
        </c:ser>
        <c:ser>
          <c:idx val="6"/>
          <c:order val="6"/>
          <c:tx>
            <c:strRef>
              <c:f>'Outcomes of NRC formal'!$H$143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formal'!$G$128:$G$131</c:f>
                <c:numCache>
                  <c:formatCode>General</c:formatCode>
                  <c:ptCount val="4"/>
                  <c:pt idx="0">
                    <c:v>4.8258099999999998E-2</c:v>
                  </c:pt>
                  <c:pt idx="1">
                    <c:v>0.11884370000000002</c:v>
                  </c:pt>
                  <c:pt idx="2">
                    <c:v>0.11128440000000001</c:v>
                  </c:pt>
                  <c:pt idx="3">
                    <c:v>0.23762740000000002</c:v>
                  </c:pt>
                </c:numCache>
              </c:numRef>
            </c:plus>
            <c:minus>
              <c:numRef>
                <c:f>'Outcomes of NRC formal'!$F$128:$F$131</c:f>
                <c:numCache>
                  <c:formatCode>General</c:formatCode>
                  <c:ptCount val="4"/>
                  <c:pt idx="0">
                    <c:v>3.1437800000000002E-2</c:v>
                  </c:pt>
                  <c:pt idx="1">
                    <c:v>7.97871E-2</c:v>
                  </c:pt>
                  <c:pt idx="2">
                    <c:v>8.0965399999999965E-2</c:v>
                  </c:pt>
                  <c:pt idx="3">
                    <c:v>0.1213564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NRC formal'!$A$144:$A$147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NRC formal'!$H$144:$H$147</c:f>
              <c:numCache>
                <c:formatCode>#,##0.000000</c:formatCode>
                <c:ptCount val="4"/>
                <c:pt idx="0">
                  <c:v>9.0196100000000001E-2</c:v>
                </c:pt>
                <c:pt idx="1">
                  <c:v>0.2427812</c:v>
                </c:pt>
                <c:pt idx="2">
                  <c:v>0.29717909999999997</c:v>
                </c:pt>
                <c:pt idx="3">
                  <c:v>0.2480205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F7-4F2F-98CF-7FDE5ECEDA29}"/>
            </c:ext>
          </c:extLst>
        </c:ser>
        <c:ser>
          <c:idx val="7"/>
          <c:order val="7"/>
          <c:tx>
            <c:strRef>
              <c:f>'Outcomes of NRC formal'!$I$143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formal'!$G$132:$G$135</c:f>
                <c:numCache>
                  <c:formatCode>General</c:formatCode>
                  <c:ptCount val="4"/>
                  <c:pt idx="0">
                    <c:v>4.5215100000000008E-2</c:v>
                  </c:pt>
                  <c:pt idx="1">
                    <c:v>0.1133748</c:v>
                  </c:pt>
                  <c:pt idx="2">
                    <c:v>9.1481899999999977E-2</c:v>
                  </c:pt>
                  <c:pt idx="3">
                    <c:v>0.24683099999999997</c:v>
                  </c:pt>
                </c:numCache>
              </c:numRef>
            </c:plus>
            <c:minus>
              <c:numRef>
                <c:f>'Outcomes of NRC formal'!$F$132:$F$135</c:f>
                <c:numCache>
                  <c:formatCode>General</c:formatCode>
                  <c:ptCount val="4"/>
                  <c:pt idx="0">
                    <c:v>2.8680899999999995E-2</c:v>
                  </c:pt>
                  <c:pt idx="1">
                    <c:v>6.40844E-2</c:v>
                  </c:pt>
                  <c:pt idx="2">
                    <c:v>6.2384700000000015E-2</c:v>
                  </c:pt>
                  <c:pt idx="3">
                    <c:v>0.13020689999999999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NRC formal'!$A$144:$A$147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NRC formal'!$I$144:$I$147</c:f>
              <c:numCache>
                <c:formatCode>#,##0.000000</c:formatCode>
                <c:ptCount val="4"/>
                <c:pt idx="0">
                  <c:v>7.8431399999999998E-2</c:v>
                </c:pt>
                <c:pt idx="1">
                  <c:v>0.1474029</c:v>
                </c:pt>
                <c:pt idx="2">
                  <c:v>0.19613820000000001</c:v>
                </c:pt>
                <c:pt idx="3">
                  <c:v>0.2755783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F7-4F2F-98CF-7FDE5ECEDA29}"/>
            </c:ext>
          </c:extLst>
        </c:ser>
        <c:ser>
          <c:idx val="8"/>
          <c:order val="8"/>
          <c:tx>
            <c:strRef>
              <c:f>'Outcomes of NRC formal'!$J$143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formal'!$G$136:$G$139</c:f>
                <c:numCache>
                  <c:formatCode>General</c:formatCode>
                  <c:ptCount val="4"/>
                  <c:pt idx="0">
                    <c:v>6.2564300000000017E-2</c:v>
                  </c:pt>
                  <c:pt idx="1">
                    <c:v>0.14427089999999998</c:v>
                  </c:pt>
                  <c:pt idx="2">
                    <c:v>0.14150659999999998</c:v>
                  </c:pt>
                  <c:pt idx="3">
                    <c:v>0.28427059999999993</c:v>
                  </c:pt>
                </c:numCache>
              </c:numRef>
            </c:plus>
            <c:minus>
              <c:numRef>
                <c:f>'Outcomes of NRC formal'!$F$136:$F$139</c:f>
                <c:numCache>
                  <c:formatCode>General</c:formatCode>
                  <c:ptCount val="4"/>
                  <c:pt idx="0">
                    <c:v>4.472559999999999E-2</c:v>
                  </c:pt>
                  <c:pt idx="1">
                    <c:v>0.10262379999999999</c:v>
                  </c:pt>
                  <c:pt idx="2">
                    <c:v>0.1074099</c:v>
                  </c:pt>
                  <c:pt idx="3">
                    <c:v>0.14670020000000003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NRC formal'!$A$144:$A$147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NRC formal'!$J$144:$J$147</c:f>
              <c:numCache>
                <c:formatCode>#,##0</c:formatCode>
                <c:ptCount val="4"/>
                <c:pt idx="0" formatCode="General">
                  <c:v>0.15686269999999999</c:v>
                </c:pt>
                <c:pt idx="1">
                  <c:v>0.35550110000000001</c:v>
                </c:pt>
                <c:pt idx="2">
                  <c:v>0.44576860000000001</c:v>
                </c:pt>
                <c:pt idx="3">
                  <c:v>0.30313610000000002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F7-4F2F-98CF-7FDE5ECED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940352"/>
        <c:axId val="495940680"/>
      </c:barChart>
      <c:catAx>
        <c:axId val="4959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40680"/>
        <c:crosses val="autoZero"/>
        <c:auto val="1"/>
        <c:lblAlgn val="ctr"/>
        <c:lblOffset val="100"/>
        <c:noMultiLvlLbl val="0"/>
      </c:catAx>
      <c:valAx>
        <c:axId val="49594068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4035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NRM formal'!$C$235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formal'!$O$234:$O$237</c:f>
                <c:numCache>
                  <c:formatCode>General</c:formatCode>
                  <c:ptCount val="4"/>
                  <c:pt idx="0">
                    <c:v>6.6868300000000019E-2</c:v>
                  </c:pt>
                  <c:pt idx="1">
                    <c:v>0.11574429999999997</c:v>
                  </c:pt>
                  <c:pt idx="2">
                    <c:v>9.535699999999997E-2</c:v>
                  </c:pt>
                  <c:pt idx="3">
                    <c:v>0.24036229999999992</c:v>
                  </c:pt>
                </c:numCache>
              </c:numRef>
            </c:plus>
            <c:minus>
              <c:numRef>
                <c:f>'Outcomes of NRM formal'!$N$234:$N$237</c:f>
                <c:numCache>
                  <c:formatCode>General</c:formatCode>
                  <c:ptCount val="4"/>
                  <c:pt idx="0">
                    <c:v>5.235780000000001E-2</c:v>
                  </c:pt>
                  <c:pt idx="1">
                    <c:v>9.1238700000000006E-2</c:v>
                  </c:pt>
                  <c:pt idx="2">
                    <c:v>7.4364700000000006E-2</c:v>
                  </c:pt>
                  <c:pt idx="3">
                    <c:v>0.19325579999999998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formal'!$A$236:$B$239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NRM formal'!$C$236:$C$239</c:f>
              <c:numCache>
                <c:formatCode>#,##0.00000</c:formatCode>
                <c:ptCount val="4"/>
                <c:pt idx="0" formatCode="0.000000">
                  <c:v>0.2412791</c:v>
                </c:pt>
                <c:pt idx="1">
                  <c:v>0.43093540000000002</c:v>
                </c:pt>
                <c:pt idx="2">
                  <c:v>0.33779940000000003</c:v>
                </c:pt>
                <c:pt idx="3" formatCode="General">
                  <c:v>0.98609170000000002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D-467B-88EA-50612FC57736}"/>
            </c:ext>
          </c:extLst>
        </c:ser>
        <c:ser>
          <c:idx val="1"/>
          <c:order val="1"/>
          <c:tx>
            <c:strRef>
              <c:f>'Outcomes of NRM formal'!$D$235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formal'!$O$238:$O$241</c:f>
                <c:numCache>
                  <c:formatCode>General</c:formatCode>
                  <c:ptCount val="4"/>
                  <c:pt idx="0">
                    <c:v>0.12731480000000006</c:v>
                  </c:pt>
                  <c:pt idx="1">
                    <c:v>0.18255910000000009</c:v>
                  </c:pt>
                  <c:pt idx="2">
                    <c:v>0.13480500000000006</c:v>
                  </c:pt>
                  <c:pt idx="3">
                    <c:v>0.24600400000000011</c:v>
                  </c:pt>
                </c:numCache>
              </c:numRef>
            </c:plus>
            <c:minus>
              <c:numRef>
                <c:f>'Outcomes of NRM formal'!$N$238:$N$241</c:f>
                <c:numCache>
                  <c:formatCode>General</c:formatCode>
                  <c:ptCount val="4"/>
                  <c:pt idx="0">
                    <c:v>0.10672389999999998</c:v>
                  </c:pt>
                  <c:pt idx="1">
                    <c:v>0.15079149999999997</c:v>
                  </c:pt>
                  <c:pt idx="2">
                    <c:v>0.10892969999999996</c:v>
                  </c:pt>
                  <c:pt idx="3">
                    <c:v>0.20011799999999991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formal'!$A$236:$B$239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NRM formal'!$D$236:$D$239</c:f>
              <c:numCache>
                <c:formatCode>#,##0.00000</c:formatCode>
                <c:ptCount val="4"/>
                <c:pt idx="0">
                  <c:v>0.65988369999999996</c:v>
                </c:pt>
                <c:pt idx="1">
                  <c:v>0.86655490000000002</c:v>
                </c:pt>
                <c:pt idx="2">
                  <c:v>0.56750299999999998</c:v>
                </c:pt>
                <c:pt idx="3" formatCode="#,##0">
                  <c:v>1.0728679999999999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D-467B-88EA-50612FC57736}"/>
            </c:ext>
          </c:extLst>
        </c:ser>
        <c:ser>
          <c:idx val="2"/>
          <c:order val="2"/>
          <c:tx>
            <c:strRef>
              <c:f>'Outcomes of NRM formal'!$E$235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formal'!$O$242:$O$245</c:f>
                <c:numCache>
                  <c:formatCode>General</c:formatCode>
                  <c:ptCount val="4"/>
                  <c:pt idx="0">
                    <c:v>0.19144500000000009</c:v>
                  </c:pt>
                  <c:pt idx="1">
                    <c:v>0.29251000000000005</c:v>
                  </c:pt>
                  <c:pt idx="2">
                    <c:v>8.4525200000000023E-2</c:v>
                  </c:pt>
                  <c:pt idx="3">
                    <c:v>0.12823020000000002</c:v>
                  </c:pt>
                </c:numCache>
              </c:numRef>
            </c:plus>
            <c:minus>
              <c:numRef>
                <c:f>'Outcomes of NRM formal'!$N$242:$N$245</c:f>
                <c:numCache>
                  <c:formatCode>General</c:formatCode>
                  <c:ptCount val="4"/>
                  <c:pt idx="0">
                    <c:v>0.16402779999999995</c:v>
                  </c:pt>
                  <c:pt idx="1">
                    <c:v>0.24843499999999996</c:v>
                  </c:pt>
                  <c:pt idx="2">
                    <c:v>6.358910000000001E-2</c:v>
                  </c:pt>
                  <c:pt idx="3">
                    <c:v>9.3053999999999998E-2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formal'!$A$236:$B$239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NRM formal'!$E$236:$E$239</c:f>
              <c:numCache>
                <c:formatCode>#,##0.00000</c:formatCode>
                <c:ptCount val="4"/>
                <c:pt idx="0">
                  <c:v>1.145349</c:v>
                </c:pt>
                <c:pt idx="1">
                  <c:v>1.6487959999999999</c:v>
                </c:pt>
                <c:pt idx="2">
                  <c:v>0.2567276</c:v>
                </c:pt>
                <c:pt idx="3" formatCode="General">
                  <c:v>0.33921560000000001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6D-467B-88EA-50612FC57736}"/>
            </c:ext>
          </c:extLst>
        </c:ser>
        <c:ser>
          <c:idx val="3"/>
          <c:order val="3"/>
          <c:tx>
            <c:strRef>
              <c:f>'Outcomes of NRM formal'!$F$235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formal'!$Q$234:$Q$237</c:f>
                <c:numCache>
                  <c:formatCode>General</c:formatCode>
                  <c:ptCount val="4"/>
                  <c:pt idx="0">
                    <c:v>0.3558650000000001</c:v>
                  </c:pt>
                  <c:pt idx="1">
                    <c:v>0.53148300000000015</c:v>
                  </c:pt>
                  <c:pt idx="2">
                    <c:v>0.37084299999999981</c:v>
                  </c:pt>
                  <c:pt idx="3">
                    <c:v>0.60785900000000037</c:v>
                  </c:pt>
                </c:numCache>
              </c:numRef>
            </c:plus>
            <c:minus>
              <c:numRef>
                <c:f>'Outcomes of NRM formal'!$P$234:$P$237</c:f>
                <c:numCache>
                  <c:formatCode>General</c:formatCode>
                  <c:ptCount val="4"/>
                  <c:pt idx="0">
                    <c:v>0.30944200000000022</c:v>
                  </c:pt>
                  <c:pt idx="1">
                    <c:v>0.45930099999999996</c:v>
                  </c:pt>
                  <c:pt idx="2">
                    <c:v>0.31912000000000007</c:v>
                  </c:pt>
                  <c:pt idx="3">
                    <c:v>0.51899099999999976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formal'!$A$236:$B$239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NRM formal'!$F$236:$F$239</c:f>
              <c:numCache>
                <c:formatCode>#,##0.00000</c:formatCode>
                <c:ptCount val="4"/>
                <c:pt idx="0">
                  <c:v>2.372093</c:v>
                </c:pt>
                <c:pt idx="1">
                  <c:v>3.3819059999999999</c:v>
                </c:pt>
                <c:pt idx="2" formatCode="#,##0">
                  <c:v>2.2880280000000002</c:v>
                </c:pt>
                <c:pt idx="3" formatCode="#,##0">
                  <c:v>3.5499299999999998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6D-467B-88EA-50612FC57736}"/>
            </c:ext>
          </c:extLst>
        </c:ser>
        <c:ser>
          <c:idx val="4"/>
          <c:order val="4"/>
          <c:tx>
            <c:strRef>
              <c:f>'Outcomes of NRM formal'!$G$235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formal'!$Q$238:$Q$241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0.20539599999999991</c:v>
                  </c:pt>
                  <c:pt idx="2">
                    <c:v>0.52784000000000031</c:v>
                  </c:pt>
                  <c:pt idx="3">
                    <c:v>0.58913599999999988</c:v>
                  </c:pt>
                </c:numCache>
              </c:numRef>
            </c:plus>
            <c:minus>
              <c:numRef>
                <c:f>'Outcomes of NRM formal'!$P$238:$P$241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0.1701937</c:v>
                  </c:pt>
                  <c:pt idx="2">
                    <c:v>0.46002600000000005</c:v>
                  </c:pt>
                  <c:pt idx="3">
                    <c:v>0.50331799999999971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formal'!$A$236:$B$239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NRM formal'!$G$236:$G$239</c:f>
              <c:numCache>
                <c:formatCode>#,##0.00000</c:formatCode>
                <c:ptCount val="4"/>
                <c:pt idx="0">
                  <c:v>1</c:v>
                </c:pt>
                <c:pt idx="1">
                  <c:v>0.99302500000000005</c:v>
                </c:pt>
                <c:pt idx="2" formatCode="#,##0">
                  <c:v>3.5806740000000001</c:v>
                </c:pt>
                <c:pt idx="3" formatCode="#,##0">
                  <c:v>3.4552649999999998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6D-467B-88EA-50612FC57736}"/>
            </c:ext>
          </c:extLst>
        </c:ser>
        <c:ser>
          <c:idx val="5"/>
          <c:order val="5"/>
          <c:tx>
            <c:strRef>
              <c:f>'Outcomes of NRM formal'!$H$235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formal'!$Q$242:$Q$245</c:f>
                <c:numCache>
                  <c:formatCode>General</c:formatCode>
                  <c:ptCount val="4"/>
                  <c:pt idx="0">
                    <c:v>4.4100900000000012E-2</c:v>
                  </c:pt>
                  <c:pt idx="1">
                    <c:v>6.4676099999999986E-2</c:v>
                  </c:pt>
                  <c:pt idx="2">
                    <c:v>4.8268000000000005E-2</c:v>
                  </c:pt>
                  <c:pt idx="3">
                    <c:v>7.8567600000000015E-2</c:v>
                  </c:pt>
                </c:numCache>
              </c:numRef>
            </c:plus>
            <c:minus>
              <c:numRef>
                <c:f>'Outcomes of NRM formal'!$P$242:$P$245</c:f>
                <c:numCache>
                  <c:formatCode>General</c:formatCode>
                  <c:ptCount val="4"/>
                  <c:pt idx="0">
                    <c:v>3.151799999999999E-2</c:v>
                  </c:pt>
                  <c:pt idx="1">
                    <c:v>4.3315900000000004E-2</c:v>
                  </c:pt>
                  <c:pt idx="2">
                    <c:v>2.9605099999999995E-2</c:v>
                  </c:pt>
                  <c:pt idx="3">
                    <c:v>4.5908699999999997E-2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formal'!$A$236:$B$239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NRM formal'!$H$236:$H$239</c:f>
              <c:numCache>
                <c:formatCode>#,##0.00000</c:formatCode>
                <c:ptCount val="4"/>
                <c:pt idx="0">
                  <c:v>0.1104651</c:v>
                </c:pt>
                <c:pt idx="1">
                  <c:v>0.1311543</c:v>
                </c:pt>
                <c:pt idx="2">
                  <c:v>7.6567899999999994E-2</c:v>
                </c:pt>
                <c:pt idx="3" formatCode="General">
                  <c:v>0.11044229999999999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6D-467B-88EA-50612FC57736}"/>
            </c:ext>
          </c:extLst>
        </c:ser>
        <c:ser>
          <c:idx val="6"/>
          <c:order val="6"/>
          <c:tx>
            <c:strRef>
              <c:f>'Outcomes of NRM formal'!$I$235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formal'!$S$234:$S$237</c:f>
                <c:numCache>
                  <c:formatCode>General</c:formatCode>
                  <c:ptCount val="4"/>
                  <c:pt idx="0">
                    <c:v>5.4900900000000002E-2</c:v>
                  </c:pt>
                  <c:pt idx="1">
                    <c:v>9.3882699999999986E-2</c:v>
                  </c:pt>
                  <c:pt idx="2">
                    <c:v>6.9000100000000009E-2</c:v>
                  </c:pt>
                  <c:pt idx="3">
                    <c:v>0.11863780000000002</c:v>
                  </c:pt>
                </c:numCache>
              </c:numRef>
            </c:plus>
            <c:minus>
              <c:numRef>
                <c:f>'Outcomes of NRM formal'!$R$234:$R$237</c:f>
                <c:numCache>
                  <c:formatCode>General</c:formatCode>
                  <c:ptCount val="4"/>
                  <c:pt idx="0">
                    <c:v>4.1237599999999999E-2</c:v>
                  </c:pt>
                  <c:pt idx="1">
                    <c:v>7.0076800000000022E-2</c:v>
                  </c:pt>
                  <c:pt idx="2">
                    <c:v>4.9175099999999985E-2</c:v>
                  </c:pt>
                  <c:pt idx="3">
                    <c:v>8.3680499999999991E-2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formal'!$A$236:$B$239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NRM formal'!$I$236:$I$239</c:f>
              <c:numCache>
                <c:formatCode>#,##0.000000</c:formatCode>
                <c:ptCount val="4"/>
                <c:pt idx="0">
                  <c:v>0.1656977</c:v>
                </c:pt>
                <c:pt idx="1">
                  <c:v>0.27636070000000001</c:v>
                </c:pt>
                <c:pt idx="2">
                  <c:v>0.17115169999999999</c:v>
                </c:pt>
                <c:pt idx="3" formatCode="General">
                  <c:v>0.28399439999999998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6D-467B-88EA-50612FC57736}"/>
            </c:ext>
          </c:extLst>
        </c:ser>
        <c:ser>
          <c:idx val="7"/>
          <c:order val="7"/>
          <c:tx>
            <c:strRef>
              <c:f>'Outcomes of NRM formal'!$J$235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formal'!$S$238:$S$241</c:f>
                <c:numCache>
                  <c:formatCode>General</c:formatCode>
                  <c:ptCount val="4"/>
                  <c:pt idx="0">
                    <c:v>0.12890190000000001</c:v>
                  </c:pt>
                  <c:pt idx="1">
                    <c:v>0.18881000000000014</c:v>
                  </c:pt>
                  <c:pt idx="2">
                    <c:v>6.1863599999999991E-2</c:v>
                  </c:pt>
                  <c:pt idx="3">
                    <c:v>0.10034319999999997</c:v>
                  </c:pt>
                </c:numCache>
              </c:numRef>
            </c:plus>
            <c:minus>
              <c:numRef>
                <c:f>'Outcomes of NRM formal'!$R$238:$R$241</c:f>
                <c:numCache>
                  <c:formatCode>General</c:formatCode>
                  <c:ptCount val="4"/>
                  <c:pt idx="0">
                    <c:v>0.10791429999999991</c:v>
                  </c:pt>
                  <c:pt idx="1">
                    <c:v>0.15700720000000001</c:v>
                  </c:pt>
                  <c:pt idx="2">
                    <c:v>4.2435100000000017E-2</c:v>
                  </c:pt>
                  <c:pt idx="3">
                    <c:v>6.6505600000000026E-2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formal'!$A$236:$B$239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NRM formal'!$J$236:$J$239</c:f>
              <c:numCache>
                <c:formatCode>#,##0.000000</c:formatCode>
                <c:ptCount val="4"/>
                <c:pt idx="0">
                  <c:v>0.66279069999999995</c:v>
                </c:pt>
                <c:pt idx="1">
                  <c:v>0.93213199999999996</c:v>
                </c:pt>
                <c:pt idx="2">
                  <c:v>0.13511980000000001</c:v>
                </c:pt>
                <c:pt idx="3" formatCode="0.00E+00">
                  <c:v>0.19721830000000001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6D-467B-88EA-50612FC57736}"/>
            </c:ext>
          </c:extLst>
        </c:ser>
        <c:ser>
          <c:idx val="8"/>
          <c:order val="8"/>
          <c:tx>
            <c:strRef>
              <c:f>'Outcomes of NRM formal'!$K$235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formal'!$S$242:$S$245</c:f>
                <c:numCache>
                  <c:formatCode>General</c:formatCode>
                  <c:ptCount val="4"/>
                  <c:pt idx="0">
                    <c:v>0.2374639999999999</c:v>
                  </c:pt>
                  <c:pt idx="1">
                    <c:v>0.41419400000000017</c:v>
                  </c:pt>
                  <c:pt idx="2">
                    <c:v>0.25543899999999997</c:v>
                  </c:pt>
                  <c:pt idx="3">
                    <c:v>0.40984800000000021</c:v>
                  </c:pt>
                </c:numCache>
              </c:numRef>
            </c:plus>
            <c:minus>
              <c:numRef>
                <c:f>'Outcomes of NRM formal'!$R$242:$R$245</c:f>
                <c:numCache>
                  <c:formatCode>General</c:formatCode>
                  <c:ptCount val="4"/>
                  <c:pt idx="0">
                    <c:v>0.205063</c:v>
                  </c:pt>
                  <c:pt idx="1">
                    <c:v>0.35600399999999999</c:v>
                  </c:pt>
                  <c:pt idx="2">
                    <c:v>0.21738599999999986</c:v>
                  </c:pt>
                  <c:pt idx="3">
                    <c:v>0.34492099999999981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formal'!$A$236:$B$239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NRM formal'!$K$236:$K$239</c:f>
              <c:numCache>
                <c:formatCode>#,##0</c:formatCode>
                <c:ptCount val="4"/>
                <c:pt idx="0">
                  <c:v>1.502907</c:v>
                </c:pt>
                <c:pt idx="1">
                  <c:v>2.534087</c:v>
                </c:pt>
                <c:pt idx="2">
                  <c:v>1.459293</c:v>
                </c:pt>
                <c:pt idx="3">
                  <c:v>2.1772909999999999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6D-467B-88EA-50612FC57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835832"/>
        <c:axId val="518834848"/>
      </c:barChart>
      <c:catAx>
        <c:axId val="51883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34848"/>
        <c:crosses val="autoZero"/>
        <c:auto val="1"/>
        <c:lblAlgn val="ctr"/>
        <c:lblOffset val="100"/>
        <c:noMultiLvlLbl val="0"/>
      </c:catAx>
      <c:valAx>
        <c:axId val="51883484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3583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NRM formal'!$C$322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formal'!$O$322:$O$325</c:f>
                <c:numCache>
                  <c:formatCode>General</c:formatCode>
                  <c:ptCount val="4"/>
                  <c:pt idx="0">
                    <c:v>3.389399999999998E-2</c:v>
                  </c:pt>
                  <c:pt idx="1">
                    <c:v>6.1974400000000041E-2</c:v>
                  </c:pt>
                  <c:pt idx="2">
                    <c:v>2.079940000000001E-2</c:v>
                  </c:pt>
                  <c:pt idx="3">
                    <c:v>0.10894810000000005</c:v>
                  </c:pt>
                </c:numCache>
              </c:numRef>
            </c:plus>
            <c:minus>
              <c:numRef>
                <c:f>'Outcomes of NRM formal'!$N$322:$N$325</c:f>
                <c:numCache>
                  <c:formatCode>General</c:formatCode>
                  <c:ptCount val="4"/>
                  <c:pt idx="0">
                    <c:v>2.7181700000000017E-2</c:v>
                  </c:pt>
                  <c:pt idx="1">
                    <c:v>5.2277899999999988E-2</c:v>
                  </c:pt>
                  <c:pt idx="2">
                    <c:v>1.6121899999999995E-2</c:v>
                  </c:pt>
                  <c:pt idx="3">
                    <c:v>7.643999999999998E-2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formal'!$A$323:$B$326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NRM formal'!$C$323:$C$326</c:f>
              <c:numCache>
                <c:formatCode>#,##0.00000</c:formatCode>
                <c:ptCount val="4"/>
                <c:pt idx="0" formatCode="0.000000">
                  <c:v>0.13725490000000001</c:v>
                </c:pt>
                <c:pt idx="1">
                  <c:v>0.33413389999999998</c:v>
                </c:pt>
                <c:pt idx="2">
                  <c:v>7.1690199999999996E-2</c:v>
                </c:pt>
                <c:pt idx="3" formatCode="0.00E+00">
                  <c:v>0.25618249999999998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4-430A-B9D6-879BF03AD850}"/>
            </c:ext>
          </c:extLst>
        </c:ser>
        <c:ser>
          <c:idx val="1"/>
          <c:order val="1"/>
          <c:tx>
            <c:strRef>
              <c:f>'Outcomes of NRM formal'!$D$322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formal'!$O$326:$O$329</c:f>
                <c:numCache>
                  <c:formatCode>General</c:formatCode>
                  <c:ptCount val="4"/>
                  <c:pt idx="0">
                    <c:v>6.1603500000000033E-2</c:v>
                  </c:pt>
                  <c:pt idx="1">
                    <c:v>8.1219000000000041E-2</c:v>
                  </c:pt>
                  <c:pt idx="2">
                    <c:v>2.6900199999999985E-2</c:v>
                  </c:pt>
                  <c:pt idx="3">
                    <c:v>0.11153930000000001</c:v>
                  </c:pt>
                </c:numCache>
              </c:numRef>
            </c:plus>
            <c:minus>
              <c:numRef>
                <c:f>'Outcomes of NRM formal'!$N$326:$N$329</c:f>
                <c:numCache>
                  <c:formatCode>General</c:formatCode>
                  <c:ptCount val="4"/>
                  <c:pt idx="0">
                    <c:v>5.2982099999999976E-2</c:v>
                  </c:pt>
                  <c:pt idx="1">
                    <c:v>7.0217099999999977E-2</c:v>
                  </c:pt>
                  <c:pt idx="2">
                    <c:v>2.1709199999999998E-2</c:v>
                  </c:pt>
                  <c:pt idx="3">
                    <c:v>7.9118399999999978E-2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formal'!$A$323:$B$326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NRM formal'!$D$323:$D$326</c:f>
              <c:numCache>
                <c:formatCode>#,##0.00000</c:formatCode>
                <c:ptCount val="4"/>
                <c:pt idx="0">
                  <c:v>0.37858219999999998</c:v>
                </c:pt>
                <c:pt idx="1">
                  <c:v>0.51835909999999996</c:v>
                </c:pt>
                <c:pt idx="2">
                  <c:v>0.1124985</c:v>
                </c:pt>
                <c:pt idx="3" formatCode="0.00E+00">
                  <c:v>0.27219399999999999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4-430A-B9D6-879BF03AD850}"/>
            </c:ext>
          </c:extLst>
        </c:ser>
        <c:ser>
          <c:idx val="2"/>
          <c:order val="2"/>
          <c:tx>
            <c:strRef>
              <c:f>'Outcomes of NRM formal'!$E$322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formal'!$O$330:$O$333</c:f>
                <c:numCache>
                  <c:formatCode>General</c:formatCode>
                  <c:ptCount val="4"/>
                  <c:pt idx="0">
                    <c:v>7.0539399999999974E-2</c:v>
                  </c:pt>
                  <c:pt idx="1">
                    <c:v>9.2392599999999936E-2</c:v>
                  </c:pt>
                  <c:pt idx="2">
                    <c:v>3.2175499999999996E-2</c:v>
                  </c:pt>
                  <c:pt idx="3">
                    <c:v>0.14180229999999994</c:v>
                  </c:pt>
                </c:numCache>
              </c:numRef>
            </c:plus>
            <c:minus>
              <c:numRef>
                <c:f>'Outcomes of NRM formal'!$N$330:$N$333</c:f>
                <c:numCache>
                  <c:formatCode>General</c:formatCode>
                  <c:ptCount val="4"/>
                  <c:pt idx="0">
                    <c:v>6.1266500000000002E-2</c:v>
                  </c:pt>
                  <c:pt idx="1">
                    <c:v>8.0371000000000081E-2</c:v>
                  </c:pt>
                  <c:pt idx="2">
                    <c:v>2.6755200000000007E-2</c:v>
                  </c:pt>
                  <c:pt idx="3">
                    <c:v>0.10677780000000003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formal'!$A$323:$B$326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NRM formal'!$E$323:$E$326</c:f>
              <c:numCache>
                <c:formatCode>#,##0.00000</c:formatCode>
                <c:ptCount val="4"/>
                <c:pt idx="0">
                  <c:v>0.46606330000000001</c:v>
                </c:pt>
                <c:pt idx="1">
                  <c:v>0.61769620000000003</c:v>
                </c:pt>
                <c:pt idx="2">
                  <c:v>0.1588214</c:v>
                </c:pt>
                <c:pt idx="3" formatCode="General">
                  <c:v>0.43230800000000003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E4-430A-B9D6-879BF03AD850}"/>
            </c:ext>
          </c:extLst>
        </c:ser>
        <c:ser>
          <c:idx val="3"/>
          <c:order val="3"/>
          <c:tx>
            <c:strRef>
              <c:f>'Outcomes of NRM formal'!$F$322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formal'!$Q$322:$Q$325</c:f>
                <c:numCache>
                  <c:formatCode>General</c:formatCode>
                  <c:ptCount val="4"/>
                  <c:pt idx="0">
                    <c:v>0.15959800000000013</c:v>
                  </c:pt>
                  <c:pt idx="1">
                    <c:v>0.21464700000000025</c:v>
                  </c:pt>
                  <c:pt idx="2">
                    <c:v>6.6382900000000022E-2</c:v>
                  </c:pt>
                  <c:pt idx="3">
                    <c:v>0.22010400000000008</c:v>
                  </c:pt>
                </c:numCache>
              </c:numRef>
            </c:plus>
            <c:minus>
              <c:numRef>
                <c:f>'Outcomes of NRM formal'!$P$322:$P$325</c:f>
                <c:numCache>
                  <c:formatCode>General</c:formatCode>
                  <c:ptCount val="4"/>
                  <c:pt idx="0">
                    <c:v>0.14310299999999998</c:v>
                  </c:pt>
                  <c:pt idx="1">
                    <c:v>0.19278399999999984</c:v>
                  </c:pt>
                  <c:pt idx="2">
                    <c:v>5.7812500000000044E-2</c:v>
                  </c:pt>
                  <c:pt idx="3">
                    <c:v>0.18042059999999993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formal'!$A$323:$B$326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NRM formal'!$F$323:$F$326</c:f>
              <c:numCache>
                <c:formatCode>#,##0.00000</c:formatCode>
                <c:ptCount val="4"/>
                <c:pt idx="0">
                  <c:v>1.3846149999999999</c:v>
                </c:pt>
                <c:pt idx="1">
                  <c:v>1.8928229999999999</c:v>
                </c:pt>
                <c:pt idx="2">
                  <c:v>0.44778810000000002</c:v>
                </c:pt>
                <c:pt idx="3" formatCode="General">
                  <c:v>1.000713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E4-430A-B9D6-879BF03AD850}"/>
            </c:ext>
          </c:extLst>
        </c:ser>
        <c:ser>
          <c:idx val="4"/>
          <c:order val="4"/>
          <c:tx>
            <c:strRef>
              <c:f>'Outcomes of NRM formal'!$G$322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formal'!$Q$326:$Q$329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0.12442179999999992</c:v>
                  </c:pt>
                  <c:pt idx="2">
                    <c:v>7.0251700000000028E-2</c:v>
                  </c:pt>
                  <c:pt idx="3">
                    <c:v>0.21829410000000005</c:v>
                  </c:pt>
                </c:numCache>
              </c:numRef>
            </c:plus>
            <c:minus>
              <c:numRef>
                <c:f>'Outcomes of NRM formal'!$P$326:$P$329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0.11006150000000003</c:v>
                  </c:pt>
                  <c:pt idx="2">
                    <c:v>6.2051699999999987E-2</c:v>
                  </c:pt>
                  <c:pt idx="3">
                    <c:v>0.17841739999999995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formal'!$A$323:$B$326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NRM formal'!$G$323:$G$326</c:f>
              <c:numCache>
                <c:formatCode>#,##0.00000</c:formatCode>
                <c:ptCount val="4"/>
                <c:pt idx="0">
                  <c:v>1</c:v>
                </c:pt>
                <c:pt idx="1">
                  <c:v>0.95363620000000004</c:v>
                </c:pt>
                <c:pt idx="2">
                  <c:v>0.53161049999999999</c:v>
                </c:pt>
                <c:pt idx="3" formatCode="General">
                  <c:v>0.97669589999999995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E4-430A-B9D6-879BF03AD850}"/>
            </c:ext>
          </c:extLst>
        </c:ser>
        <c:ser>
          <c:idx val="5"/>
          <c:order val="5"/>
          <c:tx>
            <c:strRef>
              <c:f>'Outcomes of NRM formal'!$H$322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formal'!$Q$330:$Q$333</c:f>
                <c:numCache>
                  <c:formatCode>General</c:formatCode>
                  <c:ptCount val="4"/>
                  <c:pt idx="0">
                    <c:v>2.1681599999999995E-2</c:v>
                  </c:pt>
                  <c:pt idx="1">
                    <c:v>2.7778600000000001E-2</c:v>
                  </c:pt>
                  <c:pt idx="2">
                    <c:v>1.2173199999999999E-2</c:v>
                  </c:pt>
                  <c:pt idx="3">
                    <c:v>5.0443299999999996E-2</c:v>
                  </c:pt>
                </c:numCache>
              </c:numRef>
            </c:plus>
            <c:minus>
              <c:numRef>
                <c:f>'Outcomes of NRM formal'!$P$330:$P$333</c:f>
                <c:numCache>
                  <c:formatCode>General</c:formatCode>
                  <c:ptCount val="4"/>
                  <c:pt idx="0">
                    <c:v>1.5494500000000001E-2</c:v>
                  </c:pt>
                  <c:pt idx="1">
                    <c:v>1.9922000000000002E-2</c:v>
                  </c:pt>
                  <c:pt idx="2">
                    <c:v>7.7001000000000014E-3</c:v>
                  </c:pt>
                  <c:pt idx="3">
                    <c:v>1.6270400000000001E-2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formal'!$A$323:$B$326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NRM formal'!$H$323:$H$326</c:f>
              <c:numCache>
                <c:formatCode>#,##0.00000</c:formatCode>
                <c:ptCount val="4"/>
                <c:pt idx="0">
                  <c:v>5.4298600000000002E-2</c:v>
                </c:pt>
                <c:pt idx="1">
                  <c:v>7.0439000000000002E-2</c:v>
                </c:pt>
                <c:pt idx="2">
                  <c:v>2.0955600000000001E-2</c:v>
                </c:pt>
                <c:pt idx="3" formatCode="0.00E+00">
                  <c:v>2.40171E-2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E4-430A-B9D6-879BF03AD850}"/>
            </c:ext>
          </c:extLst>
        </c:ser>
        <c:ser>
          <c:idx val="6"/>
          <c:order val="6"/>
          <c:tx>
            <c:strRef>
              <c:f>'Outcomes of NRM formal'!$I$322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formal'!$S$322:$S$325</c:f>
                <c:numCache>
                  <c:formatCode>General</c:formatCode>
                  <c:ptCount val="4"/>
                  <c:pt idx="0">
                    <c:v>2.9846400000000009E-2</c:v>
                  </c:pt>
                  <c:pt idx="1">
                    <c:v>4.0743200000000007E-2</c:v>
                  </c:pt>
                  <c:pt idx="2">
                    <c:v>1.4241199999999999E-2</c:v>
                  </c:pt>
                  <c:pt idx="3">
                    <c:v>7.4365600000000004E-2</c:v>
                  </c:pt>
                </c:numCache>
              </c:numRef>
            </c:plus>
            <c:minus>
              <c:numRef>
                <c:f>'Outcomes of NRM formal'!$R$322:$R$325</c:f>
                <c:numCache>
                  <c:formatCode>General</c:formatCode>
                  <c:ptCount val="4"/>
                  <c:pt idx="0">
                    <c:v>2.3194499999999993E-2</c:v>
                  </c:pt>
                  <c:pt idx="1">
                    <c:v>3.2198099999999993E-2</c:v>
                  </c:pt>
                  <c:pt idx="2">
                    <c:v>9.7465000000000017E-3</c:v>
                  </c:pt>
                  <c:pt idx="3">
                    <c:v>4.1917700000000002E-2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formal'!$A$323:$B$326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NRM formal'!$I$323:$I$326</c:f>
              <c:numCache>
                <c:formatCode>#,##0.000000</c:formatCode>
                <c:ptCount val="4"/>
                <c:pt idx="0">
                  <c:v>0.1040724</c:v>
                </c:pt>
                <c:pt idx="1">
                  <c:v>0.15352099999999999</c:v>
                </c:pt>
                <c:pt idx="2">
                  <c:v>3.08819E-2</c:v>
                </c:pt>
                <c:pt idx="3" formatCode="General">
                  <c:v>9.6068500000000001E-2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E4-430A-B9D6-879BF03AD850}"/>
            </c:ext>
          </c:extLst>
        </c:ser>
        <c:ser>
          <c:idx val="7"/>
          <c:order val="7"/>
          <c:tx>
            <c:strRef>
              <c:f>'Outcomes of NRM formal'!$J$322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formal'!$S$326:$S$329</c:f>
                <c:numCache>
                  <c:formatCode>General</c:formatCode>
                  <c:ptCount val="4"/>
                  <c:pt idx="0">
                    <c:v>5.1216800000000007E-2</c:v>
                  </c:pt>
                  <c:pt idx="1">
                    <c:v>6.467280000000003E-2</c:v>
                  </c:pt>
                  <c:pt idx="2">
                    <c:v>2.3002800000000004E-2</c:v>
                  </c:pt>
                  <c:pt idx="3">
                    <c:v>0.10200819999999999</c:v>
                  </c:pt>
                </c:numCache>
              </c:numRef>
            </c:plus>
            <c:minus>
              <c:numRef>
                <c:f>'Outcomes of NRM formal'!$R$326:$R$329</c:f>
                <c:numCache>
                  <c:formatCode>General</c:formatCode>
                  <c:ptCount val="4"/>
                  <c:pt idx="0">
                    <c:v>4.3200699999999981E-2</c:v>
                  </c:pt>
                  <c:pt idx="1">
                    <c:v>5.4852099999999959E-2</c:v>
                  </c:pt>
                  <c:pt idx="2">
                    <c:v>1.7998E-2</c:v>
                  </c:pt>
                  <c:pt idx="3">
                    <c:v>6.930260000000002E-2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formal'!$A$323:$B$326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NRM formal'!$J$323:$J$326</c:f>
              <c:numCache>
                <c:formatCode>#,##0.000000</c:formatCode>
                <c:ptCount val="4"/>
                <c:pt idx="0">
                  <c:v>0.27601809999999999</c:v>
                </c:pt>
                <c:pt idx="1">
                  <c:v>0.36122579999999999</c:v>
                </c:pt>
                <c:pt idx="2">
                  <c:v>8.2719500000000001E-2</c:v>
                </c:pt>
                <c:pt idx="3" formatCode="0.00E+00">
                  <c:v>0.21615400000000001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E4-430A-B9D6-879BF03AD850}"/>
            </c:ext>
          </c:extLst>
        </c:ser>
        <c:ser>
          <c:idx val="8"/>
          <c:order val="8"/>
          <c:tx>
            <c:strRef>
              <c:f>'Outcomes of NRM formal'!$K$322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formal'!$S$330:$S$333</c:f>
                <c:numCache>
                  <c:formatCode>General</c:formatCode>
                  <c:ptCount val="4"/>
                  <c:pt idx="0">
                    <c:v>9.523080000000006E-2</c:v>
                  </c:pt>
                  <c:pt idx="1">
                    <c:v>0.14988200000000007</c:v>
                  </c:pt>
                  <c:pt idx="2">
                    <c:v>5.6484199999999984E-2</c:v>
                  </c:pt>
                  <c:pt idx="3">
                    <c:v>0.23975799999999992</c:v>
                  </c:pt>
                </c:numCache>
              </c:numRef>
            </c:plus>
            <c:minus>
              <c:numRef>
                <c:f>'Outcomes of NRM formal'!$R$330:$R$333</c:f>
                <c:numCache>
                  <c:formatCode>General</c:formatCode>
                  <c:ptCount val="4"/>
                  <c:pt idx="0">
                    <c:v>8.4160499999999971E-2</c:v>
                  </c:pt>
                  <c:pt idx="1">
                    <c:v>0.13340799999999997</c:v>
                  </c:pt>
                  <c:pt idx="2">
                    <c:v>4.9500500000000003E-2</c:v>
                  </c:pt>
                  <c:pt idx="3">
                    <c:v>0.19799880000000014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formal'!$A$323:$B$326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NRM formal'!$K$323:$K$326</c:f>
              <c:numCache>
                <c:formatCode>#,##0</c:formatCode>
                <c:ptCount val="4"/>
                <c:pt idx="0" formatCode="General">
                  <c:v>0.72398189999999996</c:v>
                </c:pt>
                <c:pt idx="1">
                  <c:v>1.213719</c:v>
                </c:pt>
                <c:pt idx="2" formatCode="General">
                  <c:v>0.4003622</c:v>
                </c:pt>
                <c:pt idx="3" formatCode="General">
                  <c:v>1.1368100000000001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E4-430A-B9D6-879BF03AD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373416"/>
        <c:axId val="511372432"/>
      </c:barChart>
      <c:catAx>
        <c:axId val="51137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72432"/>
        <c:crosses val="autoZero"/>
        <c:auto val="1"/>
        <c:lblAlgn val="ctr"/>
        <c:lblOffset val="100"/>
        <c:noMultiLvlLbl val="0"/>
      </c:catAx>
      <c:valAx>
        <c:axId val="5113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7341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NRM formal'!$C$431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formal'!$O$431:$O$434</c:f>
                <c:numCache>
                  <c:formatCode>General</c:formatCode>
                  <c:ptCount val="4"/>
                  <c:pt idx="0">
                    <c:v>1.5796500000000002E-2</c:v>
                  </c:pt>
                  <c:pt idx="1">
                    <c:v>4.3315499999999993E-2</c:v>
                  </c:pt>
                  <c:pt idx="2">
                    <c:v>0.39847909999999997</c:v>
                  </c:pt>
                  <c:pt idx="3">
                    <c:v>0.47569900000000009</c:v>
                  </c:pt>
                </c:numCache>
              </c:numRef>
            </c:plus>
            <c:minus>
              <c:numRef>
                <c:f>'Outcomes of NRM formal'!$N$431:$N$434</c:f>
                <c:numCache>
                  <c:formatCode>General</c:formatCode>
                  <c:ptCount val="4"/>
                  <c:pt idx="0">
                    <c:v>8.1616000000000015E-3</c:v>
                  </c:pt>
                  <c:pt idx="1">
                    <c:v>2.44394E-2</c:v>
                  </c:pt>
                  <c:pt idx="2">
                    <c:v>0.23069680000000004</c:v>
                  </c:pt>
                  <c:pt idx="3">
                    <c:v>0.33000629999999986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formal'!$A$432:$B$435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NRM formal'!$C$432:$C$435</c:f>
              <c:numCache>
                <c:formatCode>#,##0.00000</c:formatCode>
                <c:ptCount val="4"/>
                <c:pt idx="0" formatCode="0.000000">
                  <c:v>1.6886000000000002E-2</c:v>
                </c:pt>
                <c:pt idx="1">
                  <c:v>5.6081800000000001E-2</c:v>
                </c:pt>
                <c:pt idx="2">
                  <c:v>0.54789960000000004</c:v>
                </c:pt>
                <c:pt idx="3" formatCode="#,##0">
                  <c:v>1.0774999999999999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E-411F-BAB0-889B804E2D43}"/>
            </c:ext>
          </c:extLst>
        </c:ser>
        <c:ser>
          <c:idx val="1"/>
          <c:order val="1"/>
          <c:tx>
            <c:strRef>
              <c:f>'Outcomes of NRM formal'!$D$431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formal'!$O$435:$O$438</c:f>
                <c:numCache>
                  <c:formatCode>General</c:formatCode>
                  <c:ptCount val="4"/>
                  <c:pt idx="0">
                    <c:v>3.3013399999999998E-2</c:v>
                  </c:pt>
                  <c:pt idx="1">
                    <c:v>6.4101999999999992E-2</c:v>
                  </c:pt>
                  <c:pt idx="2">
                    <c:v>0.4020205</c:v>
                  </c:pt>
                  <c:pt idx="3">
                    <c:v>0.43932649999999995</c:v>
                  </c:pt>
                </c:numCache>
              </c:numRef>
            </c:plus>
            <c:minus>
              <c:numRef>
                <c:f>'Outcomes of NRM formal'!$N$435:$N$438</c:f>
                <c:numCache>
                  <c:formatCode>General</c:formatCode>
                  <c:ptCount val="4"/>
                  <c:pt idx="0">
                    <c:v>2.4899699999999997E-2</c:v>
                  </c:pt>
                  <c:pt idx="1">
                    <c:v>4.4869600000000009E-2</c:v>
                  </c:pt>
                  <c:pt idx="2">
                    <c:v>0.2232885</c:v>
                  </c:pt>
                  <c:pt idx="3">
                    <c:v>0.28351949999999992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formal'!$A$432:$B$435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NRM formal'!$D$432:$D$435</c:f>
              <c:numCache>
                <c:formatCode>#,##0.00000</c:formatCode>
                <c:ptCount val="4"/>
                <c:pt idx="0">
                  <c:v>0.1013133</c:v>
                </c:pt>
                <c:pt idx="1">
                  <c:v>0.1495515</c:v>
                </c:pt>
                <c:pt idx="2">
                  <c:v>0.5022413</c:v>
                </c:pt>
                <c:pt idx="3" formatCode="#,##0">
                  <c:v>0.79943549999999997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E-411F-BAB0-889B804E2D43}"/>
            </c:ext>
          </c:extLst>
        </c:ser>
        <c:ser>
          <c:idx val="2"/>
          <c:order val="2"/>
          <c:tx>
            <c:strRef>
              <c:f>'Outcomes of NRM formal'!$E$431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formal'!$O$439:$O$442</c:f>
                <c:numCache>
                  <c:formatCode>General</c:formatCode>
                  <c:ptCount val="4"/>
                  <c:pt idx="0">
                    <c:v>6.6877599999999982E-2</c:v>
                  </c:pt>
                  <c:pt idx="1">
                    <c:v>0.13991699999999996</c:v>
                  </c:pt>
                  <c:pt idx="2">
                    <c:v>0.27639029999999998</c:v>
                  </c:pt>
                  <c:pt idx="3">
                    <c:v>0.22870010000000002</c:v>
                  </c:pt>
                </c:numCache>
              </c:numRef>
            </c:plus>
            <c:minus>
              <c:numRef>
                <c:f>'Outcomes of NRM formal'!$N$439:$N$442</c:f>
                <c:numCache>
                  <c:formatCode>General</c:formatCode>
                  <c:ptCount val="4"/>
                  <c:pt idx="0">
                    <c:v>5.6218400000000002E-2</c:v>
                  </c:pt>
                  <c:pt idx="1">
                    <c:v>0.11482459999999994</c:v>
                  </c:pt>
                  <c:pt idx="2">
                    <c:v>6.8639000000000006E-2</c:v>
                  </c:pt>
                  <c:pt idx="3">
                    <c:v>8.6466999999999988E-2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formal'!$A$432:$B$435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NRM formal'!$E$432:$E$435</c:f>
              <c:numCache>
                <c:formatCode>#,##0.00000</c:formatCode>
                <c:ptCount val="4"/>
                <c:pt idx="0">
                  <c:v>0.35272049999999999</c:v>
                </c:pt>
                <c:pt idx="1">
                  <c:v>0.64026749999999999</c:v>
                </c:pt>
                <c:pt idx="2">
                  <c:v>9.1316599999999998E-2</c:v>
                </c:pt>
                <c:pt idx="3" formatCode="General">
                  <c:v>0.1390323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E-411F-BAB0-889B804E2D43}"/>
            </c:ext>
          </c:extLst>
        </c:ser>
        <c:ser>
          <c:idx val="3"/>
          <c:order val="3"/>
          <c:tx>
            <c:strRef>
              <c:f>'Outcomes of NRM formal'!$F$431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formal'!$Q$431:$Q$434</c:f>
                <c:numCache>
                  <c:formatCode>General</c:formatCode>
                  <c:ptCount val="4"/>
                  <c:pt idx="0">
                    <c:v>0.14883999999999986</c:v>
                  </c:pt>
                  <c:pt idx="1">
                    <c:v>0.27202999999999999</c:v>
                  </c:pt>
                  <c:pt idx="2">
                    <c:v>0.64413470000000006</c:v>
                  </c:pt>
                  <c:pt idx="3">
                    <c:v>0.70274199999999998</c:v>
                  </c:pt>
                </c:numCache>
              </c:numRef>
            </c:plus>
            <c:minus>
              <c:numRef>
                <c:f>'Outcomes of NRM formal'!$P$431:$P$434</c:f>
                <c:numCache>
                  <c:formatCode>General</c:formatCode>
                  <c:ptCount val="4"/>
                  <c:pt idx="0">
                    <c:v>0.13028360000000005</c:v>
                  </c:pt>
                  <c:pt idx="1">
                    <c:v>0.23470499999999994</c:v>
                  </c:pt>
                  <c:pt idx="2">
                    <c:v>0.3852949</c:v>
                  </c:pt>
                  <c:pt idx="3">
                    <c:v>0.49747599999999981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formal'!$A$432:$B$435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NRM formal'!$F$432:$F$435</c:f>
              <c:numCache>
                <c:formatCode>#,##0.00000</c:formatCode>
                <c:ptCount val="4"/>
                <c:pt idx="0">
                  <c:v>1.0450280000000001</c:v>
                </c:pt>
                <c:pt idx="1">
                  <c:v>1.710496</c:v>
                </c:pt>
                <c:pt idx="2" formatCode="#,##0">
                  <c:v>0.95882429999999996</c:v>
                </c:pt>
                <c:pt idx="3" formatCode="#,##0">
                  <c:v>1.7031449999999999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9E-411F-BAB0-889B804E2D43}"/>
            </c:ext>
          </c:extLst>
        </c:ser>
        <c:ser>
          <c:idx val="4"/>
          <c:order val="4"/>
          <c:tx>
            <c:strRef>
              <c:f>'Outcomes of NRM formal'!$G$431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formal'!$Q$435:$Q$438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0.1731997999999999</c:v>
                  </c:pt>
                  <c:pt idx="2">
                    <c:v>0.76050499999999999</c:v>
                  </c:pt>
                  <c:pt idx="3">
                    <c:v>0.66145300000000007</c:v>
                  </c:pt>
                </c:numCache>
              </c:numRef>
            </c:plus>
            <c:minus>
              <c:numRef>
                <c:f>'Outcomes of NRM formal'!$P$435:$P$438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0.14467940000000001</c:v>
                  </c:pt>
                  <c:pt idx="2">
                    <c:v>0.52442300000000008</c:v>
                  </c:pt>
                  <c:pt idx="3">
                    <c:v>0.47910300000000006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formal'!$A$432:$B$435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NRM formal'!$G$432:$G$435</c:f>
              <c:numCache>
                <c:formatCode>#,##0.00000</c:formatCode>
                <c:ptCount val="4"/>
                <c:pt idx="0">
                  <c:v>1</c:v>
                </c:pt>
                <c:pt idx="1">
                  <c:v>0.87861520000000004</c:v>
                </c:pt>
                <c:pt idx="2" formatCode="#,##0">
                  <c:v>1.689357</c:v>
                </c:pt>
                <c:pt idx="3" formatCode="#,##0">
                  <c:v>1.737903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9E-411F-BAB0-889B804E2D43}"/>
            </c:ext>
          </c:extLst>
        </c:ser>
        <c:ser>
          <c:idx val="5"/>
          <c:order val="5"/>
          <c:tx>
            <c:strRef>
              <c:f>'Outcomes of NRM formal'!$H$431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formal'!$Q$439:$Q$442</c:f>
                <c:numCache>
                  <c:formatCode>General</c:formatCode>
                  <c:ptCount val="4"/>
                  <c:pt idx="0">
                    <c:v>1.63676E-2</c:v>
                  </c:pt>
                  <c:pt idx="1">
                    <c:v>3.3067299999999994E-2</c:v>
                  </c:pt>
                  <c:pt idx="2">
                    <c:v>0.39004790000000006</c:v>
                  </c:pt>
                  <c:pt idx="3">
                    <c:v>0.32471239999999996</c:v>
                  </c:pt>
                </c:numCache>
              </c:numRef>
            </c:plus>
            <c:minus>
              <c:numRef>
                <c:f>'Outcomes of NRM formal'!$P$439:$P$442</c:f>
                <c:numCache>
                  <c:formatCode>General</c:formatCode>
                  <c:ptCount val="4"/>
                  <c:pt idx="0">
                    <c:v>8.7416000000000021E-3</c:v>
                  </c:pt>
                  <c:pt idx="1">
                    <c:v>1.36919E-2</c:v>
                  </c:pt>
                  <c:pt idx="2">
                    <c:v>0.20010709999999998</c:v>
                  </c:pt>
                  <c:pt idx="3">
                    <c:v>0.1497917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formal'!$A$432:$B$435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NRM formal'!$H$432:$H$435</c:f>
              <c:numCache>
                <c:formatCode>#,##0.00000</c:formatCode>
                <c:ptCount val="4"/>
                <c:pt idx="0">
                  <c:v>1.8761900000000001E-2</c:v>
                </c:pt>
                <c:pt idx="1">
                  <c:v>2.33674E-2</c:v>
                </c:pt>
                <c:pt idx="2">
                  <c:v>0.41092469999999998</c:v>
                </c:pt>
                <c:pt idx="3" formatCode="General">
                  <c:v>0.27806449999999999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9E-411F-BAB0-889B804E2D43}"/>
            </c:ext>
          </c:extLst>
        </c:ser>
        <c:ser>
          <c:idx val="6"/>
          <c:order val="6"/>
          <c:tx>
            <c:strRef>
              <c:f>'Outcomes of NRM formal'!$I$431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formal'!$S$431:$S$434</c:f>
                <c:numCache>
                  <c:formatCode>General</c:formatCode>
                  <c:ptCount val="4"/>
                  <c:pt idx="0">
                    <c:v>2.3664899999999996E-2</c:v>
                  </c:pt>
                  <c:pt idx="1">
                    <c:v>5.0035200000000002E-2</c:v>
                  </c:pt>
                  <c:pt idx="2">
                    <c:v>0.29180650000000002</c:v>
                  </c:pt>
                  <c:pt idx="3">
                    <c:v>0.27239340000000001</c:v>
                  </c:pt>
                </c:numCache>
              </c:numRef>
            </c:plus>
            <c:minus>
              <c:numRef>
                <c:f>'Outcomes of NRM formal'!$R$431:$R$434</c:f>
                <c:numCache>
                  <c:formatCode>General</c:formatCode>
                  <c:ptCount val="4"/>
                  <c:pt idx="0">
                    <c:v>1.59346E-2</c:v>
                  </c:pt>
                  <c:pt idx="1">
                    <c:v>3.0700599999999995E-2</c:v>
                  </c:pt>
                  <c:pt idx="2">
                    <c:v>0.1123295</c:v>
                  </c:pt>
                  <c:pt idx="3">
                    <c:v>0.12851490000000002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formal'!$A$432:$B$435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NRM formal'!$I$432:$I$435</c:f>
              <c:numCache>
                <c:formatCode>#,##0.000000</c:formatCode>
                <c:ptCount val="4"/>
                <c:pt idx="0">
                  <c:v>4.8780499999999997E-2</c:v>
                </c:pt>
                <c:pt idx="1">
                  <c:v>7.9449199999999998E-2</c:v>
                </c:pt>
                <c:pt idx="2" formatCode="0.00E+00">
                  <c:v>0.1826332</c:v>
                </c:pt>
                <c:pt idx="3" formatCode="General">
                  <c:v>0.24330650000000001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9E-411F-BAB0-889B804E2D43}"/>
            </c:ext>
          </c:extLst>
        </c:ser>
        <c:ser>
          <c:idx val="7"/>
          <c:order val="7"/>
          <c:tx>
            <c:strRef>
              <c:f>'Outcomes of NRM formal'!$J$431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formal'!$S$435:$S$438</c:f>
                <c:numCache>
                  <c:formatCode>General</c:formatCode>
                  <c:ptCount val="4"/>
                  <c:pt idx="0">
                    <c:v>5.3727300000000006E-2</c:v>
                  </c:pt>
                  <c:pt idx="1">
                    <c:v>0.11346590000000001</c:v>
                  </c:pt>
                  <c:pt idx="2">
                    <c:v>0.28199470000000004</c:v>
                  </c:pt>
                  <c:pt idx="3">
                    <c:v>0.22695779999999999</c:v>
                  </c:pt>
                </c:numCache>
              </c:numRef>
            </c:plus>
            <c:minus>
              <c:numRef>
                <c:f>'Outcomes of NRM formal'!$R$435:$R$438</c:f>
                <c:numCache>
                  <c:formatCode>General</c:formatCode>
                  <c:ptCount val="4"/>
                  <c:pt idx="0">
                    <c:v>4.3904799999999994E-2</c:v>
                  </c:pt>
                  <c:pt idx="1">
                    <c:v>9.0370400000000017E-2</c:v>
                  </c:pt>
                  <c:pt idx="2">
                    <c:v>3.9295799999999999E-2</c:v>
                  </c:pt>
                  <c:pt idx="3">
                    <c:v>8.6216700000000007E-2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formal'!$A$432:$B$435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NRM formal'!$J$432:$J$435</c:f>
              <c:numCache>
                <c:formatCode>#,##0.000000</c:formatCode>
                <c:ptCount val="4"/>
                <c:pt idx="0">
                  <c:v>0.24015010000000001</c:v>
                </c:pt>
                <c:pt idx="1">
                  <c:v>0.44398110000000002</c:v>
                </c:pt>
                <c:pt idx="2" formatCode="0.00E+00">
                  <c:v>4.5658299999999999E-2</c:v>
                </c:pt>
                <c:pt idx="3" formatCode="0.00E+00">
                  <c:v>0.1390323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9E-411F-BAB0-889B804E2D43}"/>
            </c:ext>
          </c:extLst>
        </c:ser>
        <c:ser>
          <c:idx val="8"/>
          <c:order val="8"/>
          <c:tx>
            <c:strRef>
              <c:f>'Outcomes of NRM formal'!$K$431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formal'!$S$439:$S$442</c:f>
                <c:numCache>
                  <c:formatCode>General</c:formatCode>
                  <c:ptCount val="4"/>
                  <c:pt idx="0">
                    <c:v>0.1059869</c:v>
                  </c:pt>
                  <c:pt idx="1">
                    <c:v>0.22796399999999983</c:v>
                  </c:pt>
                  <c:pt idx="2">
                    <c:v>0.41921030000000004</c:v>
                  </c:pt>
                  <c:pt idx="3">
                    <c:v>0.39353549999999993</c:v>
                  </c:pt>
                </c:numCache>
              </c:numRef>
            </c:plus>
            <c:minus>
              <c:numRef>
                <c:f>'Outcomes of NRM formal'!$R$439:$R$442</c:f>
                <c:numCache>
                  <c:formatCode>General</c:formatCode>
                  <c:ptCount val="4"/>
                  <c:pt idx="0">
                    <c:v>9.2111000000000054E-2</c:v>
                  </c:pt>
                  <c:pt idx="1">
                    <c:v>0.19523800000000002</c:v>
                  </c:pt>
                  <c:pt idx="2">
                    <c:v>0.28263260000000001</c:v>
                  </c:pt>
                  <c:pt idx="3">
                    <c:v>0.25982059999999996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formal'!$A$432:$B$435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NRM formal'!$K$432:$K$435</c:f>
              <c:numCache>
                <c:formatCode>#,##0</c:formatCode>
                <c:ptCount val="4"/>
                <c:pt idx="0" formatCode="General">
                  <c:v>0.70356470000000004</c:v>
                </c:pt>
                <c:pt idx="1">
                  <c:v>1.3599840000000001</c:v>
                </c:pt>
                <c:pt idx="2" formatCode="General">
                  <c:v>0.86750769999999999</c:v>
                </c:pt>
                <c:pt idx="3" formatCode="General">
                  <c:v>0.76467750000000001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9E-411F-BAB0-889B804E2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351144"/>
        <c:axId val="629345896"/>
      </c:barChart>
      <c:catAx>
        <c:axId val="62935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5896"/>
        <c:crosses val="autoZero"/>
        <c:auto val="1"/>
        <c:lblAlgn val="ctr"/>
        <c:lblOffset val="100"/>
        <c:noMultiLvlLbl val="0"/>
      </c:catAx>
      <c:valAx>
        <c:axId val="629345896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5114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NRC informal'!$B$48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of NRC informal'!$A$49:$A$52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NRC informal'!$B$49:$B$52</c:f>
              <c:numCache>
                <c:formatCode>#,##0.00000</c:formatCode>
                <c:ptCount val="4"/>
                <c:pt idx="0" formatCode="0.000000">
                  <c:v>1.548386</c:v>
                </c:pt>
                <c:pt idx="1">
                  <c:v>3.6325799999999999</c:v>
                </c:pt>
                <c:pt idx="2">
                  <c:v>4.3353400000000004</c:v>
                </c:pt>
                <c:pt idx="3">
                  <c:v>4.5775550000000003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5-429F-8469-BA0A19D2E66E}"/>
            </c:ext>
          </c:extLst>
        </c:ser>
        <c:ser>
          <c:idx val="1"/>
          <c:order val="1"/>
          <c:tx>
            <c:strRef>
              <c:f>'Outcomes of NRC informal'!$C$48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of NRC informal'!$A$49:$A$52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NRC informal'!$C$49:$C$52</c:f>
              <c:numCache>
                <c:formatCode>#,##0.00000</c:formatCode>
                <c:ptCount val="4"/>
                <c:pt idx="0">
                  <c:v>0.29032249999999998</c:v>
                </c:pt>
                <c:pt idx="1">
                  <c:v>0.80943379999999998</c:v>
                </c:pt>
                <c:pt idx="2">
                  <c:v>1.2817529999999999</c:v>
                </c:pt>
                <c:pt idx="3">
                  <c:v>1.544235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5-429F-8469-BA0A19D2E66E}"/>
            </c:ext>
          </c:extLst>
        </c:ser>
        <c:ser>
          <c:idx val="2"/>
          <c:order val="2"/>
          <c:tx>
            <c:strRef>
              <c:f>'Outcomes of NRC informal'!$D$48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of NRC informal'!$A$49:$A$52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NRC informal'!$D$49:$D$52</c:f>
              <c:numCache>
                <c:formatCode>#,##0.00000</c:formatCode>
                <c:ptCount val="4"/>
                <c:pt idx="0">
                  <c:v>0.1182796</c:v>
                </c:pt>
                <c:pt idx="1">
                  <c:v>0.41458800000000001</c:v>
                </c:pt>
                <c:pt idx="2">
                  <c:v>0.51521419999999996</c:v>
                </c:pt>
                <c:pt idx="3">
                  <c:v>0.4412102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D5-429F-8469-BA0A19D2E66E}"/>
            </c:ext>
          </c:extLst>
        </c:ser>
        <c:ser>
          <c:idx val="3"/>
          <c:order val="3"/>
          <c:tx>
            <c:strRef>
              <c:f>'Outcomes of NRC informal'!$E$48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of NRC informal'!$A$49:$A$52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NRC informal'!$E$49:$E$52</c:f>
              <c:numCache>
                <c:formatCode>#,##0.00000</c:formatCode>
                <c:ptCount val="4"/>
                <c:pt idx="0">
                  <c:v>0.17204710000000001</c:v>
                </c:pt>
                <c:pt idx="1">
                  <c:v>0.39484570000000002</c:v>
                </c:pt>
                <c:pt idx="2">
                  <c:v>0.62831000000000004</c:v>
                </c:pt>
                <c:pt idx="3">
                  <c:v>0.99272309999999997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D5-429F-8469-BA0A19D2E66E}"/>
            </c:ext>
          </c:extLst>
        </c:ser>
        <c:ser>
          <c:idx val="4"/>
          <c:order val="4"/>
          <c:tx>
            <c:strRef>
              <c:f>'Outcomes of NRC informal'!$F$48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'Outcomes of NRC informal'!$A$49:$A$52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NRC informal'!$F$49:$F$52</c:f>
              <c:numCache>
                <c:formatCode>#,##0.00000</c:formatCode>
                <c:ptCount val="4"/>
                <c:pt idx="0">
                  <c:v>0.76344080000000003</c:v>
                </c:pt>
                <c:pt idx="1">
                  <c:v>2.4875280000000002</c:v>
                </c:pt>
                <c:pt idx="2">
                  <c:v>5.0390459999999999</c:v>
                </c:pt>
                <c:pt idx="3">
                  <c:v>10.91995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D5-429F-8469-BA0A19D2E66E}"/>
            </c:ext>
          </c:extLst>
        </c:ser>
        <c:ser>
          <c:idx val="5"/>
          <c:order val="5"/>
          <c:tx>
            <c:strRef>
              <c:f>'Outcomes of NRC informal'!$G$48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'Outcomes of NRC informal'!$A$49:$A$52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NRC informal'!$G$49:$G$52</c:f>
              <c:numCache>
                <c:formatCode>#,##0.00000</c:formatCode>
                <c:ptCount val="4"/>
                <c:pt idx="0">
                  <c:v>1</c:v>
                </c:pt>
                <c:pt idx="1">
                  <c:v>2.9218579999999998</c:v>
                </c:pt>
                <c:pt idx="2">
                  <c:v>4.3227739999999999</c:v>
                </c:pt>
                <c:pt idx="3">
                  <c:v>10.975099999999999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D5-429F-8469-BA0A19D2E66E}"/>
            </c:ext>
          </c:extLst>
        </c:ser>
        <c:ser>
          <c:idx val="6"/>
          <c:order val="6"/>
          <c:tx>
            <c:strRef>
              <c:f>'Outcomes of NRC informal'!$H$48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of NRC informal'!$A$49:$A$52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NRC informal'!$H$49:$H$52</c:f>
              <c:numCache>
                <c:formatCode>#,##0.000000</c:formatCode>
                <c:ptCount val="4"/>
                <c:pt idx="0">
                  <c:v>0.56989219999999996</c:v>
                </c:pt>
                <c:pt idx="1">
                  <c:v>0.94762979999999997</c:v>
                </c:pt>
                <c:pt idx="2">
                  <c:v>1.8597980000000001</c:v>
                </c:pt>
                <c:pt idx="3">
                  <c:v>1.599386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D5-429F-8469-BA0A19D2E66E}"/>
            </c:ext>
          </c:extLst>
        </c:ser>
        <c:ser>
          <c:idx val="7"/>
          <c:order val="7"/>
          <c:tx>
            <c:strRef>
              <c:f>'Outcomes of NRC informal'!$I$48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of NRC informal'!$A$49:$A$52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NRC informal'!$I$49:$I$52</c:f>
              <c:numCache>
                <c:formatCode>#,##0.000000</c:formatCode>
                <c:ptCount val="4"/>
                <c:pt idx="0">
                  <c:v>0.30107509999999998</c:v>
                </c:pt>
                <c:pt idx="1">
                  <c:v>0.71072219999999997</c:v>
                </c:pt>
                <c:pt idx="2">
                  <c:v>0.91733310000000001</c:v>
                </c:pt>
                <c:pt idx="3">
                  <c:v>0.8824206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D5-429F-8469-BA0A19D2E66E}"/>
            </c:ext>
          </c:extLst>
        </c:ser>
        <c:ser>
          <c:idx val="8"/>
          <c:order val="8"/>
          <c:tx>
            <c:strRef>
              <c:f>'Outcomes of NRC informal'!$J$48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of NRC informal'!$A$49:$A$52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NRC informal'!$J$49:$J$52</c:f>
              <c:numCache>
                <c:formatCode>#,##0</c:formatCode>
                <c:ptCount val="4"/>
                <c:pt idx="0" formatCode="General">
                  <c:v>0.40860210000000002</c:v>
                </c:pt>
                <c:pt idx="1">
                  <c:v>0.82917609999999997</c:v>
                </c:pt>
                <c:pt idx="2">
                  <c:v>1.1686570000000001</c:v>
                </c:pt>
                <c:pt idx="3">
                  <c:v>1.1030260000000001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D5-429F-8469-BA0A19D2E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507784"/>
        <c:axId val="503509424"/>
      </c:barChart>
      <c:catAx>
        <c:axId val="50350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9424"/>
        <c:crosses val="autoZero"/>
        <c:auto val="1"/>
        <c:lblAlgn val="ctr"/>
        <c:lblOffset val="100"/>
        <c:noMultiLvlLbl val="0"/>
      </c:catAx>
      <c:valAx>
        <c:axId val="5035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NRC informal'!$B$142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informal'!$G$102:$G$105</c:f>
                <c:numCache>
                  <c:formatCode>General</c:formatCode>
                  <c:ptCount val="4"/>
                  <c:pt idx="0">
                    <c:v>0.52431300000000025</c:v>
                  </c:pt>
                  <c:pt idx="1">
                    <c:v>0.81626000000000021</c:v>
                  </c:pt>
                  <c:pt idx="2">
                    <c:v>0.7588499999999998</c:v>
                  </c:pt>
                  <c:pt idx="3">
                    <c:v>0.73290799999999989</c:v>
                  </c:pt>
                </c:numCache>
              </c:numRef>
            </c:plus>
            <c:minus>
              <c:numRef>
                <c:f>'Outcomes of NRC informal'!$F$102:$F$105</c:f>
                <c:numCache>
                  <c:formatCode>General</c:formatCode>
                  <c:ptCount val="4"/>
                  <c:pt idx="0">
                    <c:v>0.39168199999999986</c:v>
                  </c:pt>
                  <c:pt idx="1">
                    <c:v>0.61101300000000003</c:v>
                  </c:pt>
                  <c:pt idx="2">
                    <c:v>0.57249200000000022</c:v>
                  </c:pt>
                  <c:pt idx="3">
                    <c:v>0.51948700000000003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NRC informal'!$A$143:$A$146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NRC informal'!$B$143:$B$146</c:f>
              <c:numCache>
                <c:formatCode>#,##0.00000</c:formatCode>
                <c:ptCount val="4"/>
                <c:pt idx="0" formatCode="0.000000">
                  <c:v>1.548387</c:v>
                </c:pt>
                <c:pt idx="1">
                  <c:v>2.4299569999999999</c:v>
                </c:pt>
                <c:pt idx="2">
                  <c:v>2.3311920000000002</c:v>
                </c:pt>
                <c:pt idx="3">
                  <c:v>1.783965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2-464A-8F9C-595521E98F71}"/>
            </c:ext>
          </c:extLst>
        </c:ser>
        <c:ser>
          <c:idx val="1"/>
          <c:order val="1"/>
          <c:tx>
            <c:strRef>
              <c:f>'Outcomes of NRC informal'!$C$142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informal'!$G$106:$G$109</c:f>
                <c:numCache>
                  <c:formatCode>General</c:formatCode>
                  <c:ptCount val="4"/>
                  <c:pt idx="0">
                    <c:v>0.16399040000000004</c:v>
                  </c:pt>
                  <c:pt idx="1">
                    <c:v>0.26446139999999996</c:v>
                  </c:pt>
                  <c:pt idx="2">
                    <c:v>0.26572280000000004</c:v>
                  </c:pt>
                  <c:pt idx="3">
                    <c:v>0.34643639999999998</c:v>
                  </c:pt>
                </c:numCache>
              </c:numRef>
            </c:plus>
            <c:minus>
              <c:numRef>
                <c:f>'Outcomes of NRC informal'!$F$106:$F$109</c:f>
                <c:numCache>
                  <c:formatCode>General</c:formatCode>
                  <c:ptCount val="4"/>
                  <c:pt idx="0">
                    <c:v>0.1047959</c:v>
                  </c:pt>
                  <c:pt idx="1">
                    <c:v>0.17767870000000002</c:v>
                  </c:pt>
                  <c:pt idx="2">
                    <c:v>0.19178289999999992</c:v>
                  </c:pt>
                  <c:pt idx="3">
                    <c:v>0.21986919999999999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NRC informal'!$A$143:$A$146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NRC informal'!$C$143:$C$146</c:f>
              <c:numCache>
                <c:formatCode>#,##0.00000</c:formatCode>
                <c:ptCount val="4"/>
                <c:pt idx="0">
                  <c:v>0.29032259999999999</c:v>
                </c:pt>
                <c:pt idx="1">
                  <c:v>0.54145770000000004</c:v>
                </c:pt>
                <c:pt idx="2">
                  <c:v>0.68922209999999995</c:v>
                </c:pt>
                <c:pt idx="3">
                  <c:v>0.60181960000000001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2-464A-8F9C-595521E98F71}"/>
            </c:ext>
          </c:extLst>
        </c:ser>
        <c:ser>
          <c:idx val="2"/>
          <c:order val="2"/>
          <c:tx>
            <c:strRef>
              <c:f>'Outcomes of NRC informal'!$D$142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informal'!$G$110:$G$113</c:f>
                <c:numCache>
                  <c:formatCode>General</c:formatCode>
                  <c:ptCount val="4"/>
                  <c:pt idx="0">
                    <c:v>0.105672</c:v>
                  </c:pt>
                  <c:pt idx="1">
                    <c:v>0.17482839999999999</c:v>
                  </c:pt>
                  <c:pt idx="2">
                    <c:v>0.13798149999999998</c:v>
                  </c:pt>
                  <c:pt idx="3">
                    <c:v>0.189996</c:v>
                  </c:pt>
                </c:numCache>
              </c:numRef>
            </c:plus>
            <c:minus>
              <c:numRef>
                <c:f>'Outcomes of NRC informal'!$F$110:$F$113</c:f>
                <c:numCache>
                  <c:formatCode>General</c:formatCode>
                  <c:ptCount val="4"/>
                  <c:pt idx="0">
                    <c:v>5.5810499999999999E-2</c:v>
                  </c:pt>
                  <c:pt idx="1">
                    <c:v>0.10723080000000001</c:v>
                  </c:pt>
                  <c:pt idx="2">
                    <c:v>9.2107000000000022E-2</c:v>
                  </c:pt>
                  <c:pt idx="3">
                    <c:v>9.0261099999999997E-2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NRC informal'!$A$143:$A$146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NRC informal'!$D$143:$D$146</c:f>
              <c:numCache>
                <c:formatCode>#,##0.00000</c:formatCode>
                <c:ptCount val="4"/>
                <c:pt idx="0">
                  <c:v>0.1182796</c:v>
                </c:pt>
                <c:pt idx="1">
                  <c:v>0.27733200000000002</c:v>
                </c:pt>
                <c:pt idx="2">
                  <c:v>0.27704020000000001</c:v>
                </c:pt>
                <c:pt idx="3">
                  <c:v>0.1719484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E2-464A-8F9C-595521E98F71}"/>
            </c:ext>
          </c:extLst>
        </c:ser>
        <c:ser>
          <c:idx val="3"/>
          <c:order val="3"/>
          <c:tx>
            <c:strRef>
              <c:f>'Outcomes of NRC informal'!$E$142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informal'!$G$114:$G$117</c:f>
                <c:numCache>
                  <c:formatCode>General</c:formatCode>
                  <c:ptCount val="4"/>
                  <c:pt idx="0">
                    <c:v>0.12502790000000003</c:v>
                  </c:pt>
                  <c:pt idx="1">
                    <c:v>0.17489659999999996</c:v>
                  </c:pt>
                  <c:pt idx="2">
                    <c:v>0.15805849999999999</c:v>
                  </c:pt>
                  <c:pt idx="3">
                    <c:v>0.27305409999999997</c:v>
                  </c:pt>
                </c:numCache>
              </c:numRef>
            </c:plus>
            <c:minus>
              <c:numRef>
                <c:f>'Outcomes of NRC informal'!$F$114:$F$117</c:f>
                <c:numCache>
                  <c:formatCode>General</c:formatCode>
                  <c:ptCount val="4"/>
                  <c:pt idx="0">
                    <c:v>7.24075E-2</c:v>
                  </c:pt>
                  <c:pt idx="1">
                    <c:v>0.10522170000000003</c:v>
                  </c:pt>
                  <c:pt idx="2">
                    <c:v>0.10768159999999999</c:v>
                  </c:pt>
                  <c:pt idx="3">
                    <c:v>0.160076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NRC informal'!$A$143:$A$146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NRC informal'!$E$143:$E$146</c:f>
              <c:numCache>
                <c:formatCode>#,##0.00000</c:formatCode>
                <c:ptCount val="4"/>
                <c:pt idx="0">
                  <c:v>0.172043</c:v>
                </c:pt>
                <c:pt idx="1">
                  <c:v>0.26412570000000002</c:v>
                </c:pt>
                <c:pt idx="2">
                  <c:v>0.33785389999999998</c:v>
                </c:pt>
                <c:pt idx="3">
                  <c:v>0.38688400000000001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E2-464A-8F9C-595521E98F71}"/>
            </c:ext>
          </c:extLst>
        </c:ser>
        <c:ser>
          <c:idx val="4"/>
          <c:order val="4"/>
          <c:tx>
            <c:strRef>
              <c:f>'Outcomes of NRC informal'!$F$142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informal'!$G$118:$G$121</c:f>
                <c:numCache>
                  <c:formatCode>General</c:formatCode>
                  <c:ptCount val="4"/>
                  <c:pt idx="0">
                    <c:v>0.31570910000000008</c:v>
                  </c:pt>
                  <c:pt idx="1">
                    <c:v>0.61251900000000026</c:v>
                  </c:pt>
                  <c:pt idx="2">
                    <c:v>0.88888800000000012</c:v>
                  </c:pt>
                  <c:pt idx="3">
                    <c:v>1.5764149999999999</c:v>
                  </c:pt>
                </c:numCache>
              </c:numRef>
            </c:plus>
            <c:minus>
              <c:numRef>
                <c:f>'Outcomes of NRC informal'!$F$118:$F$121</c:f>
                <c:numCache>
                  <c:formatCode>General</c:formatCode>
                  <c:ptCount val="4"/>
                  <c:pt idx="0">
                    <c:v>0.22334750000000003</c:v>
                  </c:pt>
                  <c:pt idx="1">
                    <c:v>0.44771399999999995</c:v>
                  </c:pt>
                  <c:pt idx="2">
                    <c:v>0.66931699999999994</c:v>
                  </c:pt>
                  <c:pt idx="3">
                    <c:v>1.1503129999999997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NRC informal'!$A$143:$A$146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NRC informal'!$F$143:$F$146</c:f>
              <c:numCache>
                <c:formatCode>#,##0.00000</c:formatCode>
                <c:ptCount val="4"/>
                <c:pt idx="0">
                  <c:v>0.76344089999999998</c:v>
                </c:pt>
                <c:pt idx="1">
                  <c:v>1.6639919999999999</c:v>
                </c:pt>
                <c:pt idx="2">
                  <c:v>2.7095889999999998</c:v>
                </c:pt>
                <c:pt idx="3">
                  <c:v>4.2557239999999998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E2-464A-8F9C-595521E98F71}"/>
            </c:ext>
          </c:extLst>
        </c:ser>
        <c:ser>
          <c:idx val="5"/>
          <c:order val="5"/>
          <c:tx>
            <c:strRef>
              <c:f>'Outcomes of NRC informal'!$G$142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informal'!$G$122:$G$125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0.70184399999999991</c:v>
                  </c:pt>
                  <c:pt idx="2">
                    <c:v>0.77529700000000012</c:v>
                  </c:pt>
                  <c:pt idx="3">
                    <c:v>1.5643349999999998</c:v>
                  </c:pt>
                </c:numCache>
              </c:numRef>
            </c:plus>
            <c:minus>
              <c:numRef>
                <c:f>'Outcomes of NRC informal'!$F$122:$F$125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0.51640900000000012</c:v>
                  </c:pt>
                  <c:pt idx="2">
                    <c:v>0.58138199999999984</c:v>
                  </c:pt>
                  <c:pt idx="3">
                    <c:v>1.1454160000000004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NRC informal'!$A$143:$A$146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NRC informal'!$G$143:$G$146</c:f>
              <c:numCache>
                <c:formatCode>#,##0.00000</c:formatCode>
                <c:ptCount val="4"/>
                <c:pt idx="0">
                  <c:v>1</c:v>
                </c:pt>
                <c:pt idx="1">
                  <c:v>1.9545300000000001</c:v>
                </c:pt>
                <c:pt idx="2">
                  <c:v>2.3244349999999998</c:v>
                </c:pt>
                <c:pt idx="3">
                  <c:v>4.2772180000000004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E2-464A-8F9C-595521E98F71}"/>
            </c:ext>
          </c:extLst>
        </c:ser>
        <c:ser>
          <c:idx val="6"/>
          <c:order val="6"/>
          <c:tx>
            <c:strRef>
              <c:f>'Outcomes of NRC informal'!$H$142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informal'!$G$126:$G$129</c:f>
                <c:numCache>
                  <c:formatCode>General</c:formatCode>
                  <c:ptCount val="4"/>
                  <c:pt idx="0">
                    <c:v>0.24643300000000001</c:v>
                  </c:pt>
                  <c:pt idx="1">
                    <c:v>0.29045270000000001</c:v>
                  </c:pt>
                  <c:pt idx="2">
                    <c:v>0.36664999999999992</c:v>
                  </c:pt>
                  <c:pt idx="3">
                    <c:v>0.35421770000000008</c:v>
                  </c:pt>
                </c:numCache>
              </c:numRef>
            </c:plus>
            <c:minus>
              <c:numRef>
                <c:f>'Outcomes of NRC informal'!$F$126:$F$129</c:f>
                <c:numCache>
                  <c:formatCode>General</c:formatCode>
                  <c:ptCount val="4"/>
                  <c:pt idx="0">
                    <c:v>0.17203970000000002</c:v>
                  </c:pt>
                  <c:pt idx="1">
                    <c:v>0.19918600000000003</c:v>
                  </c:pt>
                  <c:pt idx="2">
                    <c:v>0.26828780000000008</c:v>
                  </c:pt>
                  <c:pt idx="3">
                    <c:v>0.22586349999999994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NRC informal'!$A$143:$A$146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NRC informal'!$H$143:$H$146</c:f>
              <c:numCache>
                <c:formatCode>#,##0.000000</c:formatCode>
                <c:ptCount val="4"/>
                <c:pt idx="0">
                  <c:v>0.56989250000000002</c:v>
                </c:pt>
                <c:pt idx="1">
                  <c:v>0.63390170000000001</c:v>
                </c:pt>
                <c:pt idx="2">
                  <c:v>1.000048</c:v>
                </c:pt>
                <c:pt idx="3">
                  <c:v>0.62331309999999995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E2-464A-8F9C-595521E98F71}"/>
            </c:ext>
          </c:extLst>
        </c:ser>
        <c:ser>
          <c:idx val="7"/>
          <c:order val="7"/>
          <c:tx>
            <c:strRef>
              <c:f>'Outcomes of NRC informal'!$I$142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informal'!$G$130:$G$133</c:f>
                <c:numCache>
                  <c:formatCode>General</c:formatCode>
                  <c:ptCount val="4"/>
                  <c:pt idx="0">
                    <c:v>0.1673808</c:v>
                  </c:pt>
                  <c:pt idx="1">
                    <c:v>0.23849179999999998</c:v>
                  </c:pt>
                  <c:pt idx="2">
                    <c:v>0.21296499999999996</c:v>
                  </c:pt>
                  <c:pt idx="3">
                    <c:v>0.27300410000000003</c:v>
                  </c:pt>
                </c:numCache>
              </c:numRef>
            </c:plus>
            <c:minus>
              <c:numRef>
                <c:f>'Outcomes of NRC informal'!$F$130:$F$133</c:f>
                <c:numCache>
                  <c:formatCode>General</c:formatCode>
                  <c:ptCount val="4"/>
                  <c:pt idx="0">
                    <c:v>0.10757519999999998</c:v>
                  </c:pt>
                  <c:pt idx="1">
                    <c:v>0.15882110000000005</c:v>
                  </c:pt>
                  <c:pt idx="2">
                    <c:v>0.14874520000000002</c:v>
                  </c:pt>
                  <c:pt idx="3">
                    <c:v>0.15218860000000001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NRC informal'!$A$143:$A$146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NRC informal'!$I$143:$I$146</c:f>
              <c:numCache>
                <c:formatCode>#,##0.000000</c:formatCode>
                <c:ptCount val="4"/>
                <c:pt idx="0">
                  <c:v>0.30107529999999999</c:v>
                </c:pt>
                <c:pt idx="1">
                  <c:v>0.47542630000000002</c:v>
                </c:pt>
                <c:pt idx="2">
                  <c:v>0.49326680000000001</c:v>
                </c:pt>
                <c:pt idx="3">
                  <c:v>0.34389690000000001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E2-464A-8F9C-595521E98F71}"/>
            </c:ext>
          </c:extLst>
        </c:ser>
        <c:ser>
          <c:idx val="8"/>
          <c:order val="8"/>
          <c:tx>
            <c:strRef>
              <c:f>'Outcomes of NRC informal'!$J$142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informal'!$G$134:$G$137</c:f>
                <c:numCache>
                  <c:formatCode>General</c:formatCode>
                  <c:ptCount val="4"/>
                  <c:pt idx="0">
                    <c:v>0.20044359999999994</c:v>
                  </c:pt>
                  <c:pt idx="1">
                    <c:v>0.26996769999999992</c:v>
                  </c:pt>
                  <c:pt idx="2">
                    <c:v>0.25151089999999998</c:v>
                  </c:pt>
                  <c:pt idx="3">
                    <c:v>0.28867720000000002</c:v>
                  </c:pt>
                </c:numCache>
              </c:numRef>
            </c:plus>
            <c:minus>
              <c:numRef>
                <c:f>'Outcomes of NRC informal'!$F$134:$F$137</c:f>
                <c:numCache>
                  <c:formatCode>General</c:formatCode>
                  <c:ptCount val="4"/>
                  <c:pt idx="0">
                    <c:v>0.13447550000000003</c:v>
                  </c:pt>
                  <c:pt idx="1">
                    <c:v>0.18158570000000007</c:v>
                  </c:pt>
                  <c:pt idx="2">
                    <c:v>0.17962040000000001</c:v>
                  </c:pt>
                  <c:pt idx="3">
                    <c:v>0.17270089999999999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NRC informal'!$A$143:$A$146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NRC informal'!$J$143:$J$146</c:f>
              <c:numCache>
                <c:formatCode>#,##0</c:formatCode>
                <c:ptCount val="4"/>
                <c:pt idx="0" formatCode="General">
                  <c:v>0.40860220000000003</c:v>
                </c:pt>
                <c:pt idx="1">
                  <c:v>0.55466400000000005</c:v>
                </c:pt>
                <c:pt idx="2">
                  <c:v>0.62840830000000003</c:v>
                </c:pt>
                <c:pt idx="3">
                  <c:v>0.42987110000000001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E2-464A-8F9C-595521E98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700144"/>
        <c:axId val="504700472"/>
      </c:barChart>
      <c:catAx>
        <c:axId val="50470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00472"/>
        <c:crosses val="autoZero"/>
        <c:auto val="1"/>
        <c:lblAlgn val="ctr"/>
        <c:lblOffset val="100"/>
        <c:noMultiLvlLbl val="0"/>
      </c:catAx>
      <c:valAx>
        <c:axId val="50470047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0014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NRC informal'!$C$237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informal'!$N$237:$N$240</c:f>
                <c:numCache>
                  <c:formatCode>General</c:formatCode>
                  <c:ptCount val="4"/>
                  <c:pt idx="0">
                    <c:v>0.67068799999999973</c:v>
                  </c:pt>
                  <c:pt idx="1">
                    <c:v>0.76220199999999982</c:v>
                  </c:pt>
                  <c:pt idx="2">
                    <c:v>0.76293999999999995</c:v>
                  </c:pt>
                  <c:pt idx="3">
                    <c:v>0.73188899999999979</c:v>
                  </c:pt>
                </c:numCache>
              </c:numRef>
            </c:plus>
            <c:minus>
              <c:numRef>
                <c:f>'Outcomes of NRC informal'!$M$237:$M$240</c:f>
                <c:numCache>
                  <c:formatCode>General</c:formatCode>
                  <c:ptCount val="4"/>
                  <c:pt idx="0">
                    <c:v>0.50592300000000012</c:v>
                  </c:pt>
                  <c:pt idx="1">
                    <c:v>0.57171400000000006</c:v>
                  </c:pt>
                  <c:pt idx="2">
                    <c:v>0.5610170000000001</c:v>
                  </c:pt>
                  <c:pt idx="3">
                    <c:v>0.54419200000000001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informal'!$A$238:$B$241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NRC informal'!$C$238:$C$241</c:f>
              <c:numCache>
                <c:formatCode>#,##0.00000</c:formatCode>
                <c:ptCount val="4"/>
                <c:pt idx="0" formatCode="0.000000">
                  <c:v>2.0594060000000001</c:v>
                </c:pt>
                <c:pt idx="1">
                  <c:v>2.2876180000000002</c:v>
                </c:pt>
                <c:pt idx="2" formatCode="#,##0">
                  <c:v>2.1197240000000002</c:v>
                </c:pt>
                <c:pt idx="3" formatCode="#,##0">
                  <c:v>2.121966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D-4AB3-918C-56A51A01CA91}"/>
            </c:ext>
          </c:extLst>
        </c:ser>
        <c:ser>
          <c:idx val="1"/>
          <c:order val="1"/>
          <c:tx>
            <c:strRef>
              <c:f>'Outcomes of NRC informal'!$D$237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informal'!$N$241:$N$244</c:f>
                <c:numCache>
                  <c:formatCode>General</c:formatCode>
                  <c:ptCount val="4"/>
                  <c:pt idx="0">
                    <c:v>0.19873060000000003</c:v>
                  </c:pt>
                  <c:pt idx="1">
                    <c:v>0.28980050000000002</c:v>
                  </c:pt>
                  <c:pt idx="2">
                    <c:v>0.26362110000000005</c:v>
                  </c:pt>
                  <c:pt idx="3">
                    <c:v>0.28316589999999997</c:v>
                  </c:pt>
                </c:numCache>
              </c:numRef>
            </c:plus>
            <c:minus>
              <c:numRef>
                <c:f>'Outcomes of NRC informal'!$M$241:$M$244</c:f>
                <c:numCache>
                  <c:formatCode>General</c:formatCode>
                  <c:ptCount val="4"/>
                  <c:pt idx="0">
                    <c:v>0.13446829999999999</c:v>
                  </c:pt>
                  <c:pt idx="1">
                    <c:v>0.20477189999999995</c:v>
                  </c:pt>
                  <c:pt idx="2">
                    <c:v>0.1674852</c:v>
                  </c:pt>
                  <c:pt idx="3">
                    <c:v>0.19640429999999998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informal'!$A$238:$B$241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NRC informal'!$D$238:$D$241</c:f>
              <c:numCache>
                <c:formatCode>#,##0.00000</c:formatCode>
                <c:ptCount val="4"/>
                <c:pt idx="0">
                  <c:v>0.41584159999999998</c:v>
                </c:pt>
                <c:pt idx="1">
                  <c:v>0.69791749999999997</c:v>
                </c:pt>
                <c:pt idx="2">
                  <c:v>0.4592735</c:v>
                </c:pt>
                <c:pt idx="3" formatCode="#,##0">
                  <c:v>0.64101039999999998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D-4AB3-918C-56A51A01CA91}"/>
            </c:ext>
          </c:extLst>
        </c:ser>
        <c:ser>
          <c:idx val="2"/>
          <c:order val="2"/>
          <c:tx>
            <c:strRef>
              <c:f>'Outcomes of NRC informal'!$E$237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informal'!$N$245:$N$248</c:f>
                <c:numCache>
                  <c:formatCode>General</c:formatCode>
                  <c:ptCount val="4"/>
                  <c:pt idx="0">
                    <c:v>0.15877579999999997</c:v>
                  </c:pt>
                  <c:pt idx="1">
                    <c:v>0.20446179999999997</c:v>
                  </c:pt>
                  <c:pt idx="2">
                    <c:v>0.10858739999999999</c:v>
                  </c:pt>
                  <c:pt idx="3">
                    <c:v>8.6808199999999988E-2</c:v>
                  </c:pt>
                </c:numCache>
              </c:numRef>
            </c:plus>
            <c:minus>
              <c:numRef>
                <c:f>'Outcomes of NRC informal'!$M$245:$M$248</c:f>
                <c:numCache>
                  <c:formatCode>General</c:formatCode>
                  <c:ptCount val="4"/>
                  <c:pt idx="0">
                    <c:v>0.10346760000000002</c:v>
                  </c:pt>
                  <c:pt idx="1">
                    <c:v>0.1371732</c:v>
                  </c:pt>
                  <c:pt idx="2">
                    <c:v>2.6657800000000002E-2</c:v>
                  </c:pt>
                  <c:pt idx="3">
                    <c:v>3.7593900000000006E-2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informal'!$A$238:$B$241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NRC informal'!$E$238:$E$241</c:f>
              <c:numCache>
                <c:formatCode>#,##0.00000</c:formatCode>
                <c:ptCount val="4"/>
                <c:pt idx="0">
                  <c:v>0.29702970000000001</c:v>
                </c:pt>
                <c:pt idx="1">
                  <c:v>0.41681180000000001</c:v>
                </c:pt>
                <c:pt idx="2">
                  <c:v>3.5331500000000002E-2</c:v>
                </c:pt>
                <c:pt idx="3" formatCode="General">
                  <c:v>6.6311400000000006E-2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4D-4AB3-918C-56A51A01CA91}"/>
            </c:ext>
          </c:extLst>
        </c:ser>
        <c:ser>
          <c:idx val="3"/>
          <c:order val="3"/>
          <c:tx>
            <c:strRef>
              <c:f>'Outcomes of NRC informal'!$F$237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informal'!$P$237:$P$240</c:f>
                <c:numCache>
                  <c:formatCode>General</c:formatCode>
                  <c:ptCount val="4"/>
                  <c:pt idx="0">
                    <c:v>0.14995620000000004</c:v>
                  </c:pt>
                  <c:pt idx="1">
                    <c:v>0.20371069999999997</c:v>
                  </c:pt>
                  <c:pt idx="2">
                    <c:v>0.16512270000000004</c:v>
                  </c:pt>
                  <c:pt idx="3">
                    <c:v>0.16631680000000004</c:v>
                  </c:pt>
                </c:numCache>
              </c:numRef>
            </c:plus>
            <c:minus>
              <c:numRef>
                <c:f>'Outcomes of NRC informal'!$O$237:$O$240</c:f>
                <c:numCache>
                  <c:formatCode>General</c:formatCode>
                  <c:ptCount val="4"/>
                  <c:pt idx="0">
                    <c:v>9.4757699999999973E-2</c:v>
                  </c:pt>
                  <c:pt idx="1">
                    <c:v>0.13683470000000003</c:v>
                  </c:pt>
                  <c:pt idx="2">
                    <c:v>8.534449999999999E-2</c:v>
                  </c:pt>
                  <c:pt idx="3">
                    <c:v>0.10382159999999999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informal'!$A$238:$B$241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NRC informal'!$F$238:$F$241</c:f>
              <c:numCache>
                <c:formatCode>#,##0.00000</c:formatCode>
                <c:ptCount val="4"/>
                <c:pt idx="0">
                  <c:v>0.25742569999999998</c:v>
                </c:pt>
                <c:pt idx="1">
                  <c:v>0.41681180000000001</c:v>
                </c:pt>
                <c:pt idx="2">
                  <c:v>0.17664369999999999</c:v>
                </c:pt>
                <c:pt idx="3" formatCode="General">
                  <c:v>0.27629759999999998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4D-4AB3-918C-56A51A01CA91}"/>
            </c:ext>
          </c:extLst>
        </c:ser>
        <c:ser>
          <c:idx val="4"/>
          <c:order val="4"/>
          <c:tx>
            <c:strRef>
              <c:f>'Outcomes of NRC informal'!$G$237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informal'!$P$241:$P$244</c:f>
                <c:numCache>
                  <c:formatCode>General</c:formatCode>
                  <c:ptCount val="4"/>
                  <c:pt idx="0">
                    <c:v>0.36792000000000014</c:v>
                  </c:pt>
                  <c:pt idx="1">
                    <c:v>0.86780999999999997</c:v>
                  </c:pt>
                  <c:pt idx="2">
                    <c:v>0.70647299999999991</c:v>
                  </c:pt>
                  <c:pt idx="3">
                    <c:v>1.255579</c:v>
                  </c:pt>
                </c:numCache>
              </c:numRef>
            </c:plus>
            <c:minus>
              <c:numRef>
                <c:f>'Outcomes of NRC informal'!$O$241:$O$244</c:f>
                <c:numCache>
                  <c:formatCode>General</c:formatCode>
                  <c:ptCount val="4"/>
                  <c:pt idx="0">
                    <c:v>0.26824139999999996</c:v>
                  </c:pt>
                  <c:pt idx="1">
                    <c:v>0.64616600000000002</c:v>
                  </c:pt>
                  <c:pt idx="2">
                    <c:v>0.50022499999999992</c:v>
                  </c:pt>
                  <c:pt idx="3">
                    <c:v>0.93972299999999986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informal'!$A$238:$B$241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NRC informal'!$G$238:$G$241</c:f>
              <c:numCache>
                <c:formatCode>#,##0.00000</c:formatCode>
                <c:ptCount val="4"/>
                <c:pt idx="0">
                  <c:v>0.99009899999999995</c:v>
                </c:pt>
                <c:pt idx="1">
                  <c:v>2.5299510000000001</c:v>
                </c:pt>
                <c:pt idx="2">
                  <c:v>1.713444</c:v>
                </c:pt>
                <c:pt idx="3" formatCode="#,##0">
                  <c:v>3.735544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4D-4AB3-918C-56A51A01CA91}"/>
            </c:ext>
          </c:extLst>
        </c:ser>
        <c:ser>
          <c:idx val="5"/>
          <c:order val="5"/>
          <c:tx>
            <c:strRef>
              <c:f>'Outcomes of NRC informal'!$H$237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informal'!$P$245:$P$248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0.72027000000000019</c:v>
                  </c:pt>
                  <c:pt idx="2">
                    <c:v>0.86952199999999991</c:v>
                  </c:pt>
                  <c:pt idx="3">
                    <c:v>1.2398419999999999</c:v>
                  </c:pt>
                </c:numCache>
              </c:numRef>
            </c:plus>
            <c:minus>
              <c:numRef>
                <c:f>'Outcomes of NRC informal'!$O$245:$O$248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0.53001399999999999</c:v>
                  </c:pt>
                  <c:pt idx="2">
                    <c:v>0.64332500000000015</c:v>
                  </c:pt>
                  <c:pt idx="3">
                    <c:v>0.92950099999999969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informal'!$A$238:$B$241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NRC informal'!$H$238:$H$241</c:f>
              <c:numCache>
                <c:formatCode>#,##0.00000</c:formatCode>
                <c:ptCount val="4"/>
                <c:pt idx="0">
                  <c:v>1</c:v>
                </c:pt>
                <c:pt idx="1">
                  <c:v>2.006513</c:v>
                </c:pt>
                <c:pt idx="2" formatCode="#,##0">
                  <c:v>2.4730110000000001</c:v>
                </c:pt>
                <c:pt idx="3" formatCode="#,##0">
                  <c:v>3.7134399999999999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4D-4AB3-918C-56A51A01CA91}"/>
            </c:ext>
          </c:extLst>
        </c:ser>
        <c:ser>
          <c:idx val="6"/>
          <c:order val="6"/>
          <c:tx>
            <c:strRef>
              <c:f>'Outcomes of NRC informal'!$I$237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informal'!$R$237:$R$240</c:f>
                <c:numCache>
                  <c:formatCode>General</c:formatCode>
                  <c:ptCount val="4"/>
                  <c:pt idx="0">
                    <c:v>0.25704039999999995</c:v>
                  </c:pt>
                  <c:pt idx="1">
                    <c:v>0.29206009999999993</c:v>
                  </c:pt>
                  <c:pt idx="2">
                    <c:v>0.3292231000000001</c:v>
                  </c:pt>
                  <c:pt idx="3">
                    <c:v>0.44899100000000014</c:v>
                  </c:pt>
                </c:numCache>
              </c:numRef>
            </c:plus>
            <c:minus>
              <c:numRef>
                <c:f>'Outcomes of NRC informal'!$Q$237:$Q$240</c:f>
                <c:numCache>
                  <c:formatCode>General</c:formatCode>
                  <c:ptCount val="4"/>
                  <c:pt idx="0">
                    <c:v>0.18202960000000007</c:v>
                  </c:pt>
                  <c:pt idx="1">
                    <c:v>0.20673280000000005</c:v>
                  </c:pt>
                  <c:pt idx="2">
                    <c:v>0.22088599999999997</c:v>
                  </c:pt>
                  <c:pt idx="3">
                    <c:v>0.32286819999999994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informal'!$A$238:$B$241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NRC informal'!$I$238:$I$241</c:f>
              <c:numCache>
                <c:formatCode>#,##0.000000</c:formatCode>
                <c:ptCount val="4"/>
                <c:pt idx="0">
                  <c:v>0.62376240000000005</c:v>
                </c:pt>
                <c:pt idx="1">
                  <c:v>0.70761070000000004</c:v>
                </c:pt>
                <c:pt idx="2">
                  <c:v>0.67124589999999995</c:v>
                </c:pt>
                <c:pt idx="3" formatCode="#,##0">
                  <c:v>1.1493979999999999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4D-4AB3-918C-56A51A01CA91}"/>
            </c:ext>
          </c:extLst>
        </c:ser>
        <c:ser>
          <c:idx val="7"/>
          <c:order val="7"/>
          <c:tx>
            <c:strRef>
              <c:f>'Outcomes of NRC informal'!$J$237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informal'!$R$241:$R$244</c:f>
                <c:numCache>
                  <c:formatCode>General</c:formatCode>
                  <c:ptCount val="4"/>
                  <c:pt idx="0">
                    <c:v>0.23938589999999993</c:v>
                  </c:pt>
                  <c:pt idx="1">
                    <c:v>0.31474340000000001</c:v>
                  </c:pt>
                  <c:pt idx="2">
                    <c:v>0.15347059999999998</c:v>
                  </c:pt>
                  <c:pt idx="3">
                    <c:v>0.11850080000000002</c:v>
                  </c:pt>
                </c:numCache>
              </c:numRef>
            </c:plus>
            <c:minus>
              <c:numRef>
                <c:f>'Outcomes of NRC informal'!$Q$241:$Q$244</c:f>
                <c:numCache>
                  <c:formatCode>General</c:formatCode>
                  <c:ptCount val="4"/>
                  <c:pt idx="0">
                    <c:v>0.16719810000000002</c:v>
                  </c:pt>
                  <c:pt idx="1">
                    <c:v>0.22052589999999994</c:v>
                  </c:pt>
                  <c:pt idx="2">
                    <c:v>7.3570999999999998E-2</c:v>
                  </c:pt>
                  <c:pt idx="3">
                    <c:v>6.4939599999999986E-2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informal'!$A$238:$B$241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NRC informal'!$J$238:$J$241</c:f>
              <c:numCache>
                <c:formatCode>#,##0.000000</c:formatCode>
                <c:ptCount val="4"/>
                <c:pt idx="0">
                  <c:v>0.55445540000000004</c:v>
                </c:pt>
                <c:pt idx="1">
                  <c:v>0.73669059999999997</c:v>
                </c:pt>
                <c:pt idx="2">
                  <c:v>0.14131489999999999</c:v>
                </c:pt>
                <c:pt idx="3" formatCode="General">
                  <c:v>0.14367479999999999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4D-4AB3-918C-56A51A01CA91}"/>
            </c:ext>
          </c:extLst>
        </c:ser>
        <c:ser>
          <c:idx val="8"/>
          <c:order val="8"/>
          <c:tx>
            <c:strRef>
              <c:f>'Outcomes of NRC informal'!$K$237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informal'!$R$245:$R$248</c:f>
                <c:numCache>
                  <c:formatCode>General</c:formatCode>
                  <c:ptCount val="4"/>
                  <c:pt idx="0">
                    <c:v>0.24915430000000005</c:v>
                  </c:pt>
                  <c:pt idx="1">
                    <c:v>0.27929749999999998</c:v>
                  </c:pt>
                  <c:pt idx="2">
                    <c:v>0.24554860000000001</c:v>
                  </c:pt>
                  <c:pt idx="3">
                    <c:v>0.2459520999999999</c:v>
                  </c:pt>
                </c:numCache>
              </c:numRef>
            </c:plus>
            <c:minus>
              <c:numRef>
                <c:f>'Outcomes of NRC informal'!$Q$245:$Q$248</c:f>
                <c:numCache>
                  <c:formatCode>General</c:formatCode>
                  <c:ptCount val="4"/>
                  <c:pt idx="0">
                    <c:v>0.17284559999999999</c:v>
                  </c:pt>
                  <c:pt idx="1">
                    <c:v>0.19442009999999998</c:v>
                  </c:pt>
                  <c:pt idx="2">
                    <c:v>0.15304859999999998</c:v>
                  </c:pt>
                  <c:pt idx="3">
                    <c:v>0.16691750000000005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informal'!$A$238:$B$241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NRC informal'!$K$238:$K$241</c:f>
              <c:numCache>
                <c:formatCode>#,##0</c:formatCode>
                <c:ptCount val="4"/>
                <c:pt idx="0" formatCode="General">
                  <c:v>0.56435639999999998</c:v>
                </c:pt>
                <c:pt idx="1">
                  <c:v>0.63975769999999998</c:v>
                </c:pt>
                <c:pt idx="2" formatCode="General">
                  <c:v>0.40628039999999999</c:v>
                </c:pt>
                <c:pt idx="3" formatCode="General">
                  <c:v>0.51943950000000005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4D-4AB3-918C-56A51A01C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456664"/>
        <c:axId val="594456992"/>
      </c:barChart>
      <c:catAx>
        <c:axId val="59445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56992"/>
        <c:crosses val="autoZero"/>
        <c:auto val="1"/>
        <c:lblAlgn val="ctr"/>
        <c:lblOffset val="100"/>
        <c:noMultiLvlLbl val="0"/>
      </c:catAx>
      <c:valAx>
        <c:axId val="5944569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5666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NRC informal'!$C$321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informal'!$N$321:$N$324</c:f>
                <c:numCache>
                  <c:formatCode>General</c:formatCode>
                  <c:ptCount val="4"/>
                  <c:pt idx="0">
                    <c:v>0.32233599999999996</c:v>
                  </c:pt>
                  <c:pt idx="1">
                    <c:v>0.31363699999999994</c:v>
                  </c:pt>
                  <c:pt idx="2">
                    <c:v>0.16732530000000001</c:v>
                  </c:pt>
                  <c:pt idx="3">
                    <c:v>0.30255710000000002</c:v>
                  </c:pt>
                </c:numCache>
              </c:numRef>
            </c:plus>
            <c:minus>
              <c:numRef>
                <c:f>'Outcomes of NRC informal'!$M$321:$M$324</c:f>
                <c:numCache>
                  <c:formatCode>General</c:formatCode>
                  <c:ptCount val="4"/>
                  <c:pt idx="0">
                    <c:v>0.26055000000000006</c:v>
                  </c:pt>
                  <c:pt idx="1">
                    <c:v>0.2569840000000001</c:v>
                  </c:pt>
                  <c:pt idx="2">
                    <c:v>0.12893479999999996</c:v>
                  </c:pt>
                  <c:pt idx="3">
                    <c:v>0.2153740999999999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informal'!$A$322:$B$325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NRC informal'!$C$322:$C$325</c:f>
              <c:numCache>
                <c:formatCode>#,##0.00000</c:formatCode>
                <c:ptCount val="4"/>
                <c:pt idx="0" formatCode="0.000000">
                  <c:v>1.359281</c:v>
                </c:pt>
                <c:pt idx="1">
                  <c:v>1.422655</c:v>
                </c:pt>
                <c:pt idx="2">
                  <c:v>0.56196389999999996</c:v>
                </c:pt>
                <c:pt idx="3" formatCode="General">
                  <c:v>0.74742489999999995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C-49F2-AC94-78F70A6CFD93}"/>
            </c:ext>
          </c:extLst>
        </c:ser>
        <c:ser>
          <c:idx val="1"/>
          <c:order val="1"/>
          <c:tx>
            <c:strRef>
              <c:f>'Outcomes of NRC informal'!$D$321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informal'!$N$325:$N$328</c:f>
                <c:numCache>
                  <c:formatCode>General</c:formatCode>
                  <c:ptCount val="4"/>
                  <c:pt idx="0">
                    <c:v>0.10927009999999998</c:v>
                  </c:pt>
                  <c:pt idx="1">
                    <c:v>0.1230792</c:v>
                  </c:pt>
                  <c:pt idx="2">
                    <c:v>6.6679299999999997E-2</c:v>
                  </c:pt>
                  <c:pt idx="3">
                    <c:v>0.17542280000000002</c:v>
                  </c:pt>
                </c:numCache>
              </c:numRef>
            </c:plus>
            <c:minus>
              <c:numRef>
                <c:f>'Outcomes of NRC informal'!$M$325:$M$328</c:f>
                <c:numCache>
                  <c:formatCode>General</c:formatCode>
                  <c:ptCount val="4"/>
                  <c:pt idx="0">
                    <c:v>7.8710100000000005E-2</c:v>
                  </c:pt>
                  <c:pt idx="1">
                    <c:v>9.5930499999999974E-2</c:v>
                  </c:pt>
                  <c:pt idx="2">
                    <c:v>4.2300699999999997E-2</c:v>
                  </c:pt>
                  <c:pt idx="3">
                    <c:v>9.3303300000000006E-2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informal'!$A$322:$B$325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NRC informal'!$D$322:$D$325</c:f>
              <c:numCache>
                <c:formatCode>#,##0.00000</c:formatCode>
                <c:ptCount val="4"/>
                <c:pt idx="0">
                  <c:v>0.28143699999999999</c:v>
                </c:pt>
                <c:pt idx="1">
                  <c:v>0.43490469999999998</c:v>
                </c:pt>
                <c:pt idx="2">
                  <c:v>0.11569889999999999</c:v>
                </c:pt>
                <c:pt idx="3" formatCode="0.00E+00">
                  <c:v>0.1993133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C-49F2-AC94-78F70A6CFD93}"/>
            </c:ext>
          </c:extLst>
        </c:ser>
        <c:ser>
          <c:idx val="2"/>
          <c:order val="2"/>
          <c:tx>
            <c:strRef>
              <c:f>'Outcomes of NRC informal'!$E$321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informal'!$N$329:$N$332</c:f>
                <c:numCache>
                  <c:formatCode>General</c:formatCode>
                  <c:ptCount val="4"/>
                  <c:pt idx="0">
                    <c:v>7.3642700000000005E-2</c:v>
                  </c:pt>
                  <c:pt idx="1">
                    <c:v>6.3975100000000007E-2</c:v>
                  </c:pt>
                  <c:pt idx="2">
                    <c:v>5.0273000000000005E-2</c:v>
                  </c:pt>
                  <c:pt idx="3">
                    <c:v>0.13877789999999998</c:v>
                  </c:pt>
                </c:numCache>
              </c:numRef>
            </c:plus>
            <c:minus>
              <c:numRef>
                <c:f>'Outcomes of NRC informal'!$M$329:$M$332</c:f>
                <c:numCache>
                  <c:formatCode>General</c:formatCode>
                  <c:ptCount val="4"/>
                  <c:pt idx="0">
                    <c:v>4.7236700000000006E-2</c:v>
                  </c:pt>
                  <c:pt idx="1">
                    <c:v>4.4946399999999997E-2</c:v>
                  </c:pt>
                  <c:pt idx="2">
                    <c:v>2.6286699999999996E-2</c:v>
                  </c:pt>
                  <c:pt idx="3">
                    <c:v>6.7881200000000003E-2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informal'!$A$322:$B$325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NRC informal'!$E$322:$E$325</c:f>
              <c:numCache>
                <c:formatCode>#,##0.00000</c:formatCode>
                <c:ptCount val="4"/>
                <c:pt idx="0">
                  <c:v>0.13173650000000001</c:v>
                </c:pt>
                <c:pt idx="1">
                  <c:v>0.151111</c:v>
                </c:pt>
                <c:pt idx="2">
                  <c:v>5.5094499999999998E-2</c:v>
                </c:pt>
                <c:pt idx="3" formatCode="General">
                  <c:v>0.13287550000000001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8C-49F2-AC94-78F70A6CFD93}"/>
            </c:ext>
          </c:extLst>
        </c:ser>
        <c:ser>
          <c:idx val="3"/>
          <c:order val="3"/>
          <c:tx>
            <c:strRef>
              <c:f>'Outcomes of NRC informal'!$F$321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informal'!$P$321:$P$324</c:f>
                <c:numCache>
                  <c:formatCode>General</c:formatCode>
                  <c:ptCount val="4"/>
                  <c:pt idx="0">
                    <c:v>7.6185699999999995E-2</c:v>
                  </c:pt>
                  <c:pt idx="1">
                    <c:v>7.9268900000000031E-2</c:v>
                  </c:pt>
                  <c:pt idx="2">
                    <c:v>5.5170100000000014E-2</c:v>
                  </c:pt>
                  <c:pt idx="3">
                    <c:v>0.1454618</c:v>
                  </c:pt>
                </c:numCache>
              </c:numRef>
            </c:plus>
            <c:minus>
              <c:numRef>
                <c:f>'Outcomes of NRC informal'!$O$321:$O$324</c:f>
                <c:numCache>
                  <c:formatCode>General</c:formatCode>
                  <c:ptCount val="4"/>
                  <c:pt idx="0">
                    <c:v>4.9051600000000001E-2</c:v>
                  </c:pt>
                  <c:pt idx="1">
                    <c:v>5.8092299999999986E-2</c:v>
                  </c:pt>
                  <c:pt idx="2">
                    <c:v>3.1164799999999999E-2</c:v>
                  </c:pt>
                  <c:pt idx="3">
                    <c:v>7.3723000000000011E-2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informal'!$A$322:$B$325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NRC informal'!$F$322:$F$325</c:f>
              <c:numCache>
                <c:formatCode>#,##0.00000</c:formatCode>
                <c:ptCount val="4"/>
                <c:pt idx="0">
                  <c:v>0.1377245</c:v>
                </c:pt>
                <c:pt idx="1">
                  <c:v>0.21745239999999999</c:v>
                </c:pt>
                <c:pt idx="2">
                  <c:v>7.1624599999999997E-2</c:v>
                </c:pt>
                <c:pt idx="3" formatCode="0.00E+00">
                  <c:v>0.14948500000000001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8C-49F2-AC94-78F70A6CFD93}"/>
            </c:ext>
          </c:extLst>
        </c:ser>
        <c:ser>
          <c:idx val="4"/>
          <c:order val="4"/>
          <c:tx>
            <c:strRef>
              <c:f>'Outcomes of NRC informal'!$G$321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informal'!$P$325:$P$328</c:f>
                <c:numCache>
                  <c:formatCode>General</c:formatCode>
                  <c:ptCount val="4"/>
                  <c:pt idx="0">
                    <c:v>0.26132300000000008</c:v>
                  </c:pt>
                  <c:pt idx="1">
                    <c:v>0.45526299999999997</c:v>
                  </c:pt>
                  <c:pt idx="2">
                    <c:v>8.5214099999999987E-2</c:v>
                  </c:pt>
                  <c:pt idx="3">
                    <c:v>0.32145380000000001</c:v>
                  </c:pt>
                </c:numCache>
              </c:numRef>
            </c:plus>
            <c:minus>
              <c:numRef>
                <c:f>'Outcomes of NRC informal'!$O$325:$O$328</c:f>
                <c:numCache>
                  <c:formatCode>General</c:formatCode>
                  <c:ptCount val="4"/>
                  <c:pt idx="0">
                    <c:v>0.20692359999999999</c:v>
                  </c:pt>
                  <c:pt idx="1">
                    <c:v>0.37346900000000005</c:v>
                  </c:pt>
                  <c:pt idx="2">
                    <c:v>5.6849899999999995E-2</c:v>
                  </c:pt>
                  <c:pt idx="3">
                    <c:v>0.20906170000000002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informal'!$A$322:$B$325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NRC informal'!$G$322:$G$325</c:f>
              <c:numCache>
                <c:formatCode>#,##0.00000</c:formatCode>
                <c:ptCount val="4"/>
                <c:pt idx="0">
                  <c:v>0.99401200000000001</c:v>
                </c:pt>
                <c:pt idx="1">
                  <c:v>2.0786980000000002</c:v>
                </c:pt>
                <c:pt idx="2">
                  <c:v>0.170793</c:v>
                </c:pt>
                <c:pt idx="3" formatCode="0.00E+00">
                  <c:v>0.59793980000000002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8C-49F2-AC94-78F70A6CFD93}"/>
            </c:ext>
          </c:extLst>
        </c:ser>
        <c:ser>
          <c:idx val="5"/>
          <c:order val="5"/>
          <c:tx>
            <c:strRef>
              <c:f>'Outcomes of NRC informal'!$H$321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informal'!$P$329:$P$332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0.3990800000000001</c:v>
                  </c:pt>
                  <c:pt idx="2">
                    <c:v>0.15917439999999999</c:v>
                  </c:pt>
                  <c:pt idx="3">
                    <c:v>0.35021959999999996</c:v>
                  </c:pt>
                </c:numCache>
              </c:numRef>
            </c:plus>
            <c:minus>
              <c:numRef>
                <c:f>'Outcomes of NRC informal'!$O$329:$O$332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0.32599700000000009</c:v>
                  </c:pt>
                  <c:pt idx="2">
                    <c:v>0.1149095</c:v>
                  </c:pt>
                  <c:pt idx="3">
                    <c:v>0.25316309999999997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informal'!$A$322:$B$325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NRC informal'!$H$322:$H$325</c:f>
              <c:numCache>
                <c:formatCode>#,##0.00000</c:formatCode>
                <c:ptCount val="4"/>
                <c:pt idx="0">
                  <c:v>1</c:v>
                </c:pt>
                <c:pt idx="1">
                  <c:v>1.7801610000000001</c:v>
                </c:pt>
                <c:pt idx="2">
                  <c:v>0.41320879999999999</c:v>
                </c:pt>
                <c:pt idx="3" formatCode="#,##0">
                  <c:v>0.91351939999999998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8C-49F2-AC94-78F70A6CFD93}"/>
            </c:ext>
          </c:extLst>
        </c:ser>
        <c:ser>
          <c:idx val="6"/>
          <c:order val="6"/>
          <c:tx>
            <c:strRef>
              <c:f>'Outcomes of NRC informal'!$I$321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informal'!$R$321:$R$324</c:f>
                <c:numCache>
                  <c:formatCode>General</c:formatCode>
                  <c:ptCount val="4"/>
                  <c:pt idx="0">
                    <c:v>0.11842749999999996</c:v>
                  </c:pt>
                  <c:pt idx="1">
                    <c:v>0.14405049999999997</c:v>
                  </c:pt>
                  <c:pt idx="2">
                    <c:v>9.835919999999998E-2</c:v>
                  </c:pt>
                  <c:pt idx="3">
                    <c:v>0.26484379999999996</c:v>
                  </c:pt>
                </c:numCache>
              </c:numRef>
            </c:plus>
            <c:minus>
              <c:numRef>
                <c:f>'Outcomes of NRC informal'!$Q$321:$Q$324</c:f>
                <c:numCache>
                  <c:formatCode>General</c:formatCode>
                  <c:ptCount val="4"/>
                  <c:pt idx="0">
                    <c:v>8.6244600000000005E-2</c:v>
                  </c:pt>
                  <c:pt idx="1">
                    <c:v>0.11295940000000004</c:v>
                  </c:pt>
                  <c:pt idx="2">
                    <c:v>7.1282600000000002E-2</c:v>
                  </c:pt>
                  <c:pt idx="3">
                    <c:v>0.18354610000000005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informal'!$A$322:$B$325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NRC informal'!$I$322:$I$325</c:f>
              <c:numCache>
                <c:formatCode>#,##0.000000</c:formatCode>
                <c:ptCount val="4"/>
                <c:pt idx="0">
                  <c:v>0.31736520000000001</c:v>
                </c:pt>
                <c:pt idx="1">
                  <c:v>0.52336000000000005</c:v>
                </c:pt>
                <c:pt idx="2">
                  <c:v>0.25894410000000001</c:v>
                </c:pt>
                <c:pt idx="3" formatCode="0.00E+00">
                  <c:v>0.59793980000000002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8C-49F2-AC94-78F70A6CFD93}"/>
            </c:ext>
          </c:extLst>
        </c:ser>
        <c:ser>
          <c:idx val="7"/>
          <c:order val="7"/>
          <c:tx>
            <c:strRef>
              <c:f>'Outcomes of NRC informal'!$J$321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informal'!$R$325:$R$328</c:f>
                <c:numCache>
                  <c:formatCode>General</c:formatCode>
                  <c:ptCount val="4"/>
                  <c:pt idx="0">
                    <c:v>0.10313509999999998</c:v>
                  </c:pt>
                  <c:pt idx="1">
                    <c:v>9.09605E-2</c:v>
                  </c:pt>
                  <c:pt idx="2">
                    <c:v>6.6791199999999995E-2</c:v>
                  </c:pt>
                  <c:pt idx="3">
                    <c:v>0.21423620000000004</c:v>
                  </c:pt>
                </c:numCache>
              </c:numRef>
            </c:plus>
            <c:minus>
              <c:numRef>
                <c:f>'Outcomes of NRC informal'!$Q$325:$Q$328</c:f>
                <c:numCache>
                  <c:formatCode>General</c:formatCode>
                  <c:ptCount val="4"/>
                  <c:pt idx="0">
                    <c:v>7.3141100000000014E-2</c:v>
                  </c:pt>
                  <c:pt idx="1">
                    <c:v>6.749800000000003E-2</c:v>
                  </c:pt>
                  <c:pt idx="2">
                    <c:v>4.23457E-2</c:v>
                  </c:pt>
                  <c:pt idx="3">
                    <c:v>0.12760770000000002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informal'!$A$322:$B$325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NRC informal'!$J$322:$J$325</c:f>
              <c:numCache>
                <c:formatCode>#,##0.000000</c:formatCode>
                <c:ptCount val="4"/>
                <c:pt idx="0">
                  <c:v>0.25149690000000002</c:v>
                </c:pt>
                <c:pt idx="1">
                  <c:v>0.26168000000000002</c:v>
                </c:pt>
                <c:pt idx="2">
                  <c:v>0.11569889999999999</c:v>
                </c:pt>
                <c:pt idx="3" formatCode="General">
                  <c:v>0.31557940000000001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8C-49F2-AC94-78F70A6CFD93}"/>
            </c:ext>
          </c:extLst>
        </c:ser>
        <c:ser>
          <c:idx val="8"/>
          <c:order val="8"/>
          <c:tx>
            <c:strRef>
              <c:f>'Outcomes of NRC informal'!$K$321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informal'!$R$329:$R$332</c:f>
                <c:numCache>
                  <c:formatCode>General</c:formatCode>
                  <c:ptCount val="4"/>
                  <c:pt idx="0">
                    <c:v>0.1072476</c:v>
                  </c:pt>
                  <c:pt idx="1">
                    <c:v>9.7303699999999993E-2</c:v>
                  </c:pt>
                  <c:pt idx="2">
                    <c:v>9.0991100000000019E-2</c:v>
                  </c:pt>
                  <c:pt idx="3">
                    <c:v>0.25845630000000008</c:v>
                  </c:pt>
                </c:numCache>
              </c:numRef>
            </c:plus>
            <c:minus>
              <c:numRef>
                <c:f>'Outcomes of NRC informal'!$Q$329:$Q$332</c:f>
                <c:numCache>
                  <c:formatCode>General</c:formatCode>
                  <c:ptCount val="4"/>
                  <c:pt idx="0">
                    <c:v>7.5712000000000029E-2</c:v>
                  </c:pt>
                  <c:pt idx="1">
                    <c:v>7.3384899999999975E-2</c:v>
                  </c:pt>
                  <c:pt idx="2">
                    <c:v>6.2910199999999999E-2</c:v>
                  </c:pt>
                  <c:pt idx="3">
                    <c:v>0.17730769999999996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informal'!$A$322:$B$325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NRC informal'!$K$322:$K$325</c:f>
              <c:numCache>
                <c:formatCode>#,##0</c:formatCode>
                <c:ptCount val="4"/>
                <c:pt idx="0" formatCode="General">
                  <c:v>0.25748490000000002</c:v>
                </c:pt>
                <c:pt idx="1">
                  <c:v>0.29853639999999998</c:v>
                </c:pt>
                <c:pt idx="2" formatCode="General">
                  <c:v>0.20384969999999999</c:v>
                </c:pt>
                <c:pt idx="3" formatCode="General">
                  <c:v>0.56472089999999997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8C-49F2-AC94-78F70A6CF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908384"/>
        <c:axId val="636908712"/>
      </c:barChart>
      <c:catAx>
        <c:axId val="6369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08712"/>
        <c:crosses val="autoZero"/>
        <c:auto val="1"/>
        <c:lblAlgn val="ctr"/>
        <c:lblOffset val="100"/>
        <c:noMultiLvlLbl val="0"/>
      </c:catAx>
      <c:valAx>
        <c:axId val="63690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0838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NRC informal'!$C$432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informal'!$O$431:$O$434</c:f>
                <c:numCache>
                  <c:formatCode>General</c:formatCode>
                  <c:ptCount val="4"/>
                  <c:pt idx="0">
                    <c:v>0.28113679999999996</c:v>
                  </c:pt>
                  <c:pt idx="1">
                    <c:v>0.6115389</c:v>
                  </c:pt>
                  <c:pt idx="2">
                    <c:v>2.4846870000000005</c:v>
                  </c:pt>
                  <c:pt idx="3">
                    <c:v>2.0340080000000005</c:v>
                  </c:pt>
                </c:numCache>
              </c:numRef>
            </c:plus>
            <c:minus>
              <c:numRef>
                <c:f>'Outcomes of NRC informal'!$N$431:$N$434</c:f>
                <c:numCache>
                  <c:formatCode>General</c:formatCode>
                  <c:ptCount val="4"/>
                  <c:pt idx="0">
                    <c:v>6.2278200000000006E-2</c:v>
                  </c:pt>
                  <c:pt idx="1">
                    <c:v>0.2287093</c:v>
                  </c:pt>
                  <c:pt idx="2">
                    <c:v>1.3562549999999998</c:v>
                  </c:pt>
                  <c:pt idx="3">
                    <c:v>1.0988299999999998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informal'!$A$433:$B$436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NRC informal'!$C$433:$C$436</c:f>
              <c:numCache>
                <c:formatCode>#,##0.00000</c:formatCode>
                <c:ptCount val="4"/>
                <c:pt idx="0" formatCode="0.000000">
                  <c:v>0.08</c:v>
                </c:pt>
                <c:pt idx="1">
                  <c:v>0.36534430000000001</c:v>
                </c:pt>
                <c:pt idx="2" formatCode="#,##0">
                  <c:v>2.9863279999999999</c:v>
                </c:pt>
                <c:pt idx="3" formatCode="#,##0">
                  <c:v>2.3899469999999998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5-40BE-BE34-1004962096EF}"/>
            </c:ext>
          </c:extLst>
        </c:ser>
        <c:ser>
          <c:idx val="1"/>
          <c:order val="1"/>
          <c:tx>
            <c:strRef>
              <c:f>'Outcomes of NRC informal'!$D$432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informal'!$O$435:$O$438</c:f>
                <c:numCache>
                  <c:formatCode>General</c:formatCode>
                  <c:ptCount val="4"/>
                  <c:pt idx="0">
                    <c:v>0.40941190000000005</c:v>
                  </c:pt>
                  <c:pt idx="1">
                    <c:v>0.52323699999999995</c:v>
                  </c:pt>
                  <c:pt idx="2">
                    <c:v>0.27512690000000001</c:v>
                  </c:pt>
                  <c:pt idx="3">
                    <c:v>0.3308257</c:v>
                  </c:pt>
                </c:numCache>
              </c:numRef>
            </c:plus>
            <c:minus>
              <c:numRef>
                <c:f>'Outcomes of NRC informal'!$N$435:$N$438</c:f>
                <c:numCache>
                  <c:formatCode>General</c:formatCode>
                  <c:ptCount val="4"/>
                  <c:pt idx="0">
                    <c:v>0.15130440000000001</c:v>
                  </c:pt>
                  <c:pt idx="1">
                    <c:v>0.1661987</c:v>
                  </c:pt>
                  <c:pt idx="2">
                    <c:v>0.13127239999999998</c:v>
                  </c:pt>
                  <c:pt idx="3">
                    <c:v>0.16596100000000003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informal'!$A$433:$B$436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NRC informal'!$D$433:$D$436</c:f>
              <c:numCache>
                <c:formatCode>#,##0.00000</c:formatCode>
                <c:ptCount val="4"/>
                <c:pt idx="0">
                  <c:v>0.24</c:v>
                </c:pt>
                <c:pt idx="1">
                  <c:v>0.2435629</c:v>
                </c:pt>
                <c:pt idx="2" formatCode="#,##0">
                  <c:v>0.25106299999999998</c:v>
                </c:pt>
                <c:pt idx="3" formatCode="#,##0">
                  <c:v>0.33302540000000003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5-40BE-BE34-1004962096EF}"/>
            </c:ext>
          </c:extLst>
        </c:ser>
        <c:ser>
          <c:idx val="2"/>
          <c:order val="2"/>
          <c:tx>
            <c:strRef>
              <c:f>'Outcomes of NRC informal'!$E$432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informal'!$O$439:$O$442</c:f>
                <c:numCache>
                  <c:formatCode>General</c:formatCode>
                  <c:ptCount val="4"/>
                  <c:pt idx="0">
                    <c:v>0.28113679999999996</c:v>
                  </c:pt>
                  <c:pt idx="1">
                    <c:v>0.57614109999999996</c:v>
                  </c:pt>
                  <c:pt idx="2">
                    <c:v>0.14563999999999999</c:v>
                  </c:pt>
                  <c:pt idx="3">
                    <c:v>0.1425688</c:v>
                  </c:pt>
                </c:numCache>
              </c:numRef>
            </c:plus>
            <c:minus>
              <c:numRef>
                <c:f>'Outcomes of NRC informal'!$N$439:$N$442</c:f>
                <c:numCache>
                  <c:formatCode>General</c:formatCode>
                  <c:ptCount val="4"/>
                  <c:pt idx="0">
                    <c:v>6.2278200000000006E-2</c:v>
                  </c:pt>
                  <c:pt idx="1">
                    <c:v>0.19919290000000001</c:v>
                  </c:pt>
                  <c:pt idx="2">
                    <c:v>5.6569400000000006E-2</c:v>
                  </c:pt>
                  <c:pt idx="3">
                    <c:v>6.1366800000000006E-2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informal'!$A$433:$B$436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NRC informal'!$E$433:$E$436</c:f>
              <c:numCache>
                <c:formatCode>#,##0.00000</c:formatCode>
                <c:ptCount val="4"/>
                <c:pt idx="0">
                  <c:v>0.08</c:v>
                </c:pt>
                <c:pt idx="1">
                  <c:v>0.30445359999999999</c:v>
                </c:pt>
                <c:pt idx="2">
                  <c:v>9.2496900000000007E-2</c:v>
                </c:pt>
                <c:pt idx="3" formatCode="0.00E+00">
                  <c:v>0.10774350000000001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05-40BE-BE34-1004962096EF}"/>
            </c:ext>
          </c:extLst>
        </c:ser>
        <c:ser>
          <c:idx val="3"/>
          <c:order val="3"/>
          <c:tx>
            <c:strRef>
              <c:f>'Outcomes of NRC informal'!$F$432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informal'!$Q$431:$Q$434</c:f>
                <c:numCache>
                  <c:formatCode>General</c:formatCode>
                  <c:ptCount val="4"/>
                  <c:pt idx="0">
                    <c:v>0.37601190000000001</c:v>
                  </c:pt>
                  <c:pt idx="1">
                    <c:v>0.67506200000000005</c:v>
                  </c:pt>
                  <c:pt idx="2">
                    <c:v>0.12366830000000001</c:v>
                  </c:pt>
                  <c:pt idx="3">
                    <c:v>0.18412570000000003</c:v>
                  </c:pt>
                </c:numCache>
              </c:numRef>
            </c:plus>
            <c:minus>
              <c:numRef>
                <c:f>'Outcomes of NRC informal'!$P$431:$P$434</c:f>
                <c:numCache>
                  <c:formatCode>General</c:formatCode>
                  <c:ptCount val="4"/>
                  <c:pt idx="0">
                    <c:v>0.13055700000000001</c:v>
                  </c:pt>
                  <c:pt idx="1">
                    <c:v>0.26126929999999998</c:v>
                  </c:pt>
                  <c:pt idx="2">
                    <c:v>4.306299999999999E-2</c:v>
                  </c:pt>
                  <c:pt idx="3">
                    <c:v>8.4659899999999996E-2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informal'!$A$433:$B$436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NRC informal'!$F$433:$F$436</c:f>
              <c:numCache>
                <c:formatCode>#,##0.00000</c:formatCode>
                <c:ptCount val="4"/>
                <c:pt idx="0">
                  <c:v>0.2</c:v>
                </c:pt>
                <c:pt idx="1">
                  <c:v>0.42623499999999998</c:v>
                </c:pt>
                <c:pt idx="2" formatCode="0.00E+00">
                  <c:v>6.6069199999999995E-2</c:v>
                </c:pt>
                <c:pt idx="3" formatCode="General">
                  <c:v>0.15671779999999999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05-40BE-BE34-1004962096EF}"/>
            </c:ext>
          </c:extLst>
        </c:ser>
        <c:ser>
          <c:idx val="4"/>
          <c:order val="4"/>
          <c:tx>
            <c:strRef>
              <c:f>'Outcomes of NRC informal'!$G$432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informal'!$Q$435:$Q$438</c:f>
                <c:numCache>
                  <c:formatCode>General</c:formatCode>
                  <c:ptCount val="4"/>
                  <c:pt idx="0">
                    <c:v>0.37601190000000001</c:v>
                  </c:pt>
                  <c:pt idx="1">
                    <c:v>1.3003770000000001</c:v>
                  </c:pt>
                  <c:pt idx="2">
                    <c:v>0.99440300000000015</c:v>
                  </c:pt>
                  <c:pt idx="3">
                    <c:v>2.2237849999999999</c:v>
                  </c:pt>
                </c:numCache>
              </c:numRef>
            </c:plus>
            <c:minus>
              <c:numRef>
                <c:f>'Outcomes of NRC informal'!$P$435:$P$438</c:f>
                <c:numCache>
                  <c:formatCode>General</c:formatCode>
                  <c:ptCount val="4"/>
                  <c:pt idx="0">
                    <c:v>0.13055700000000001</c:v>
                  </c:pt>
                  <c:pt idx="1">
                    <c:v>0.61223200000000011</c:v>
                  </c:pt>
                  <c:pt idx="2">
                    <c:v>0.521536</c:v>
                  </c:pt>
                  <c:pt idx="3">
                    <c:v>1.1976829999999998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informal'!$A$433:$B$436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NRC informal'!$G$433:$G$436</c:f>
              <c:numCache>
                <c:formatCode>#,##0.00000</c:formatCode>
                <c:ptCount val="4"/>
                <c:pt idx="0">
                  <c:v>0.2</c:v>
                </c:pt>
                <c:pt idx="1">
                  <c:v>1.1569240000000001</c:v>
                </c:pt>
                <c:pt idx="2" formatCode="#,##0">
                  <c:v>1.096749</c:v>
                </c:pt>
                <c:pt idx="3" formatCode="#,##0">
                  <c:v>2.5956389999999998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05-40BE-BE34-1004962096EF}"/>
            </c:ext>
          </c:extLst>
        </c:ser>
        <c:ser>
          <c:idx val="5"/>
          <c:order val="5"/>
          <c:tx>
            <c:strRef>
              <c:f>'Outcomes of NRC informal'!$H$432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informal'!$Q$439:$Q$442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1.4112739999999999</c:v>
                  </c:pt>
                  <c:pt idx="2">
                    <c:v>1.0135609999999997</c:v>
                  </c:pt>
                  <c:pt idx="3">
                    <c:v>2.2106240000000006</c:v>
                  </c:pt>
                </c:numCache>
              </c:numRef>
            </c:plus>
            <c:minus>
              <c:numRef>
                <c:f>'Outcomes of NRC informal'!$P$439:$P$442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0.6872509</c:v>
                  </c:pt>
                  <c:pt idx="2">
                    <c:v>0.53865220000000003</c:v>
                  </c:pt>
                  <c:pt idx="3">
                    <c:v>1.1896939999999998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informal'!$A$433:$B$436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NRC informal'!$H$433:$H$436</c:f>
              <c:numCache>
                <c:formatCode>#,##0.00000</c:formatCode>
                <c:ptCount val="4"/>
                <c:pt idx="0">
                  <c:v>1</c:v>
                </c:pt>
                <c:pt idx="1">
                  <c:v>1.339596</c:v>
                </c:pt>
                <c:pt idx="2" formatCode="#,##0">
                  <c:v>1.1496040000000001</c:v>
                </c:pt>
                <c:pt idx="3" formatCode="#,##0">
                  <c:v>2.5760489999999998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05-40BE-BE34-1004962096EF}"/>
            </c:ext>
          </c:extLst>
        </c:ser>
        <c:ser>
          <c:idx val="6"/>
          <c:order val="6"/>
          <c:tx>
            <c:strRef>
              <c:f>'Outcomes of NRC informal'!$I$432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informal'!$S$431:$S$434</c:f>
                <c:numCache>
                  <c:formatCode>General</c:formatCode>
                  <c:ptCount val="4"/>
                  <c:pt idx="0">
                    <c:v>0.77295599999999987</c:v>
                  </c:pt>
                  <c:pt idx="1">
                    <c:v>1.3820260000000002</c:v>
                  </c:pt>
                  <c:pt idx="2">
                    <c:v>0.23154719999999998</c:v>
                  </c:pt>
                  <c:pt idx="3">
                    <c:v>0.44810749999999999</c:v>
                  </c:pt>
                </c:numCache>
              </c:numRef>
            </c:plus>
            <c:minus>
              <c:numRef>
                <c:f>'Outcomes of NRC informal'!$R$431:$R$434</c:f>
                <c:numCache>
                  <c:formatCode>General</c:formatCode>
                  <c:ptCount val="4"/>
                  <c:pt idx="0">
                    <c:v>0.36175230000000003</c:v>
                  </c:pt>
                  <c:pt idx="1">
                    <c:v>0.66417979999999999</c:v>
                  </c:pt>
                  <c:pt idx="2">
                    <c:v>0.10679210000000001</c:v>
                  </c:pt>
                  <c:pt idx="3">
                    <c:v>0.229433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informal'!$A$433:$B$436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NRC informal'!$I$433:$I$436</c:f>
              <c:numCache>
                <c:formatCode>#,##0.000000</c:formatCode>
                <c:ptCount val="4"/>
                <c:pt idx="0">
                  <c:v>0.68</c:v>
                </c:pt>
                <c:pt idx="1">
                  <c:v>1.278705</c:v>
                </c:pt>
                <c:pt idx="2">
                  <c:v>0.19820760000000001</c:v>
                </c:pt>
                <c:pt idx="3" formatCode="#,##0">
                  <c:v>0.4701535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05-40BE-BE34-1004962096EF}"/>
            </c:ext>
          </c:extLst>
        </c:ser>
        <c:ser>
          <c:idx val="7"/>
          <c:order val="7"/>
          <c:tx>
            <c:strRef>
              <c:f>'Outcomes of NRC informal'!$J$432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informal'!$S$435:$S$438</c:f>
                <c:numCache>
                  <c:formatCode>General</c:formatCode>
                  <c:ptCount val="4"/>
                  <c:pt idx="0">
                    <c:v>0.74019200000000007</c:v>
                  </c:pt>
                  <c:pt idx="1">
                    <c:v>1.1572406000000002</c:v>
                  </c:pt>
                  <c:pt idx="2">
                    <c:v>0.1879015</c:v>
                  </c:pt>
                  <c:pt idx="3">
                    <c:v>0.15102740000000003</c:v>
                  </c:pt>
                </c:numCache>
              </c:numRef>
            </c:plus>
            <c:minus>
              <c:numRef>
                <c:f>'Outcomes of NRC informal'!$R$435:$R$438</c:f>
                <c:numCache>
                  <c:formatCode>General</c:formatCode>
                  <c:ptCount val="4"/>
                  <c:pt idx="0">
                    <c:v>0.34322960000000002</c:v>
                  </c:pt>
                  <c:pt idx="1">
                    <c:v>0.52894560000000002</c:v>
                  </c:pt>
                  <c:pt idx="2">
                    <c:v>8.1955199999999992E-2</c:v>
                  </c:pt>
                  <c:pt idx="3">
                    <c:v>6.6097500000000003E-2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informal'!$A$433:$B$436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NRC informal'!$J$433:$J$436</c:f>
              <c:numCache>
                <c:formatCode>#,##0.000000</c:formatCode>
                <c:ptCount val="4"/>
                <c:pt idx="0">
                  <c:v>0.64</c:v>
                </c:pt>
                <c:pt idx="1">
                  <c:v>0.97425139999999999</c:v>
                </c:pt>
                <c:pt idx="2">
                  <c:v>0.14535219999999999</c:v>
                </c:pt>
                <c:pt idx="3" formatCode="#,##0">
                  <c:v>0.1175384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05-40BE-BE34-1004962096EF}"/>
            </c:ext>
          </c:extLst>
        </c:ser>
        <c:ser>
          <c:idx val="8"/>
          <c:order val="8"/>
          <c:tx>
            <c:strRef>
              <c:f>'Outcomes of NRC informal'!$K$432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informal'!$S$439:$S$442</c:f>
                <c:numCache>
                  <c:formatCode>General</c:formatCode>
                  <c:ptCount val="4"/>
                  <c:pt idx="0">
                    <c:v>0.70738800000000002</c:v>
                  </c:pt>
                  <c:pt idx="1">
                    <c:v>1.383518</c:v>
                  </c:pt>
                  <c:pt idx="2">
                    <c:v>0.15638960000000002</c:v>
                  </c:pt>
                  <c:pt idx="3">
                    <c:v>0.16751160000000001</c:v>
                  </c:pt>
                </c:numCache>
              </c:numRef>
            </c:plus>
            <c:minus>
              <c:numRef>
                <c:f>'Outcomes of NRC informal'!$R$439:$R$442</c:f>
                <c:numCache>
                  <c:formatCode>General</c:formatCode>
                  <c:ptCount val="4"/>
                  <c:pt idx="0">
                    <c:v>0.32464179999999998</c:v>
                  </c:pt>
                  <c:pt idx="1">
                    <c:v>0.66452420000000001</c:v>
                  </c:pt>
                  <c:pt idx="2">
                    <c:v>6.3075300000000001E-2</c:v>
                  </c:pt>
                  <c:pt idx="3">
                    <c:v>7.5402300000000005E-2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informal'!$A$433:$B$436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NRC informal'!$K$433:$K$436</c:f>
              <c:numCache>
                <c:formatCode>#,##0</c:formatCode>
                <c:ptCount val="4"/>
                <c:pt idx="0">
                  <c:v>0.6</c:v>
                </c:pt>
                <c:pt idx="1">
                  <c:v>1.278705</c:v>
                </c:pt>
                <c:pt idx="2" formatCode="0.00E+00">
                  <c:v>0.1057107</c:v>
                </c:pt>
                <c:pt idx="3" formatCode="General">
                  <c:v>0.1371281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05-40BE-BE34-100496209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357048"/>
        <c:axId val="629361968"/>
      </c:barChart>
      <c:catAx>
        <c:axId val="62935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61968"/>
        <c:crosses val="autoZero"/>
        <c:auto val="1"/>
        <c:lblAlgn val="ctr"/>
        <c:lblOffset val="100"/>
        <c:noMultiLvlLbl val="0"/>
      </c:catAx>
      <c:valAx>
        <c:axId val="62936196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5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RC informal'!$B$48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of RC informal'!$A$49:$A$52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RC informal'!$B$49:$B$52</c:f>
              <c:numCache>
                <c:formatCode>#,##0.00000</c:formatCode>
                <c:ptCount val="4"/>
                <c:pt idx="0" formatCode="0.000000">
                  <c:v>0.14285709999999999</c:v>
                </c:pt>
                <c:pt idx="1">
                  <c:v>0.3192199</c:v>
                </c:pt>
                <c:pt idx="2">
                  <c:v>0.4993496</c:v>
                </c:pt>
                <c:pt idx="3">
                  <c:v>0.63214119999999996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9-4BCC-8BB4-01AB443DBF5C}"/>
            </c:ext>
          </c:extLst>
        </c:ser>
        <c:ser>
          <c:idx val="1"/>
          <c:order val="1"/>
          <c:tx>
            <c:strRef>
              <c:f>'Outcomes of RC informal'!$C$48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of RC informal'!$A$49:$A$52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RC informal'!$C$49:$C$52</c:f>
              <c:numCache>
                <c:formatCode>#,##0.00000</c:formatCode>
                <c:ptCount val="4"/>
                <c:pt idx="0">
                  <c:v>0.68663589999999997</c:v>
                </c:pt>
                <c:pt idx="1">
                  <c:v>2.0926640000000001</c:v>
                </c:pt>
                <c:pt idx="2">
                  <c:v>2.1036429999999999</c:v>
                </c:pt>
                <c:pt idx="3">
                  <c:v>2.7626909999999998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9-4BCC-8BB4-01AB443DBF5C}"/>
            </c:ext>
          </c:extLst>
        </c:ser>
        <c:ser>
          <c:idx val="2"/>
          <c:order val="2"/>
          <c:tx>
            <c:strRef>
              <c:f>'Outcomes of RC informal'!$D$48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of RC informal'!$A$49:$A$52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RC informal'!$D$49:$D$52</c:f>
              <c:numCache>
                <c:formatCode>#,##0.00000</c:formatCode>
                <c:ptCount val="4"/>
                <c:pt idx="0">
                  <c:v>0.21198159999999999</c:v>
                </c:pt>
                <c:pt idx="1">
                  <c:v>0.25714939999999997</c:v>
                </c:pt>
                <c:pt idx="2">
                  <c:v>0.28686040000000002</c:v>
                </c:pt>
                <c:pt idx="3">
                  <c:v>0.30436429999999998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79-4BCC-8BB4-01AB443DBF5C}"/>
            </c:ext>
          </c:extLst>
        </c:ser>
        <c:ser>
          <c:idx val="3"/>
          <c:order val="3"/>
          <c:tx>
            <c:strRef>
              <c:f>'Outcomes of RC informal'!$E$48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of RC informal'!$A$49:$A$52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RC informal'!$E$49:$E$52</c:f>
              <c:numCache>
                <c:formatCode>#,##0.00000</c:formatCode>
                <c:ptCount val="4"/>
                <c:pt idx="0">
                  <c:v>0.21198159999999999</c:v>
                </c:pt>
                <c:pt idx="1">
                  <c:v>0.56750210000000001</c:v>
                </c:pt>
                <c:pt idx="2">
                  <c:v>0.6215309</c:v>
                </c:pt>
                <c:pt idx="3">
                  <c:v>0.86626749999999997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79-4BCC-8BB4-01AB443DBF5C}"/>
            </c:ext>
          </c:extLst>
        </c:ser>
        <c:ser>
          <c:idx val="4"/>
          <c:order val="4"/>
          <c:tx>
            <c:strRef>
              <c:f>'Outcomes of RC informal'!$F$48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'Outcomes of RC informal'!$A$49:$A$52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RC informal'!$F$49:$F$52</c:f>
              <c:numCache>
                <c:formatCode>#,##0.00000</c:formatCode>
                <c:ptCount val="4"/>
                <c:pt idx="0">
                  <c:v>0.71428570000000002</c:v>
                </c:pt>
                <c:pt idx="1">
                  <c:v>2.8020420000000001</c:v>
                </c:pt>
                <c:pt idx="2">
                  <c:v>3.8673030000000002</c:v>
                </c:pt>
                <c:pt idx="3">
                  <c:v>7.3749799999999999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79-4BCC-8BB4-01AB443DBF5C}"/>
            </c:ext>
          </c:extLst>
        </c:ser>
        <c:ser>
          <c:idx val="5"/>
          <c:order val="5"/>
          <c:tx>
            <c:strRef>
              <c:f>'Outcomes of RC informal'!$G$48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'Outcomes of RC informal'!$A$49:$A$52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RC informal'!$G$49:$G$52</c:f>
              <c:numCache>
                <c:formatCode>#,##0.00000</c:formatCode>
                <c:ptCount val="4"/>
                <c:pt idx="0">
                  <c:v>1</c:v>
                </c:pt>
                <c:pt idx="1">
                  <c:v>3.9902489999999999</c:v>
                </c:pt>
                <c:pt idx="2">
                  <c:v>3.8407420000000001</c:v>
                </c:pt>
                <c:pt idx="3">
                  <c:v>13.602740000000001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79-4BCC-8BB4-01AB443DBF5C}"/>
            </c:ext>
          </c:extLst>
        </c:ser>
        <c:ser>
          <c:idx val="6"/>
          <c:order val="6"/>
          <c:tx>
            <c:strRef>
              <c:f>'Outcomes of RC informal'!$H$48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of RC informal'!$A$49:$A$52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RC informal'!$H$49:$H$52</c:f>
              <c:numCache>
                <c:formatCode>#,##0.000000</c:formatCode>
                <c:ptCount val="4"/>
                <c:pt idx="0">
                  <c:v>0.2165899</c:v>
                </c:pt>
                <c:pt idx="1">
                  <c:v>0.44336100000000001</c:v>
                </c:pt>
                <c:pt idx="2">
                  <c:v>1.227125</c:v>
                </c:pt>
                <c:pt idx="3">
                  <c:v>1.076981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79-4BCC-8BB4-01AB443DBF5C}"/>
            </c:ext>
          </c:extLst>
        </c:ser>
        <c:ser>
          <c:idx val="7"/>
          <c:order val="7"/>
          <c:tx>
            <c:strRef>
              <c:f>'Outcomes of RC informal'!$I$48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of RC informal'!$A$49:$A$52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RC informal'!$I$49:$I$52</c:f>
              <c:numCache>
                <c:formatCode>#,##0.000000</c:formatCode>
                <c:ptCount val="4"/>
                <c:pt idx="0">
                  <c:v>0.24884790000000001</c:v>
                </c:pt>
                <c:pt idx="1">
                  <c:v>0.40789209999999998</c:v>
                </c:pt>
                <c:pt idx="2">
                  <c:v>0.55247190000000002</c:v>
                </c:pt>
                <c:pt idx="3">
                  <c:v>0.56190329999999999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79-4BCC-8BB4-01AB443DBF5C}"/>
            </c:ext>
          </c:extLst>
        </c:ser>
        <c:ser>
          <c:idx val="8"/>
          <c:order val="8"/>
          <c:tx>
            <c:strRef>
              <c:f>'Outcomes of RC informal'!$J$48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of RC informal'!$A$49:$A$52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RC informal'!$J$49:$J$52</c:f>
              <c:numCache>
                <c:formatCode>General</c:formatCode>
                <c:ptCount val="4"/>
                <c:pt idx="0">
                  <c:v>0.41013820000000001</c:v>
                </c:pt>
                <c:pt idx="1">
                  <c:v>0.79804980000000003</c:v>
                </c:pt>
                <c:pt idx="2">
                  <c:v>1.296184</c:v>
                </c:pt>
                <c:pt idx="3" formatCode="#,##0">
                  <c:v>2.2242000000000002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79-4BCC-8BB4-01AB443DB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938744"/>
        <c:axId val="628939072"/>
      </c:barChart>
      <c:catAx>
        <c:axId val="62893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39072"/>
        <c:crosses val="autoZero"/>
        <c:auto val="1"/>
        <c:lblAlgn val="ctr"/>
        <c:lblOffset val="100"/>
        <c:noMultiLvlLbl val="0"/>
      </c:catAx>
      <c:valAx>
        <c:axId val="6289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3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RC informal'!$B$143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informal'!$G$103:$G$106</c:f>
                <c:numCache>
                  <c:formatCode>General</c:formatCode>
                  <c:ptCount val="4"/>
                  <c:pt idx="0">
                    <c:v>6.5327300000000005E-2</c:v>
                  </c:pt>
                  <c:pt idx="1">
                    <c:v>7.3930700000000016E-2</c:v>
                  </c:pt>
                  <c:pt idx="2">
                    <c:v>6.835239999999998E-2</c:v>
                  </c:pt>
                  <c:pt idx="3">
                    <c:v>0.10669070000000003</c:v>
                  </c:pt>
                </c:numCache>
              </c:numRef>
            </c:plus>
            <c:minus>
              <c:numRef>
                <c:f>'Outcomes of RC informal'!$F$103:$F$106</c:f>
                <c:numCache>
                  <c:formatCode>General</c:formatCode>
                  <c:ptCount val="4"/>
                  <c:pt idx="0">
                    <c:v>4.4827799999999987E-2</c:v>
                  </c:pt>
                  <c:pt idx="1">
                    <c:v>5.203809999999999E-2</c:v>
                  </c:pt>
                  <c:pt idx="2">
                    <c:v>5.3313699999999992E-2</c:v>
                  </c:pt>
                  <c:pt idx="3">
                    <c:v>7.1075199999999977E-2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RC informal'!$A$144:$A$147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RC informal'!$B$144:$B$147</c:f>
              <c:numCache>
                <c:formatCode>#,##0.00000</c:formatCode>
                <c:ptCount val="4"/>
                <c:pt idx="0" formatCode="0.000000">
                  <c:v>0.14285709999999999</c:v>
                </c:pt>
                <c:pt idx="1">
                  <c:v>0.1757309</c:v>
                </c:pt>
                <c:pt idx="2">
                  <c:v>0.24231469999999999</c:v>
                </c:pt>
                <c:pt idx="3">
                  <c:v>0.21291379999999999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6-4FE7-9A3A-95D338DD041F}"/>
            </c:ext>
          </c:extLst>
        </c:ser>
        <c:ser>
          <c:idx val="1"/>
          <c:order val="1"/>
          <c:tx>
            <c:strRef>
              <c:f>'Outcomes of RC informal'!$C$143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informal'!$G$107:$G$110</c:f>
                <c:numCache>
                  <c:formatCode>General</c:formatCode>
                  <c:ptCount val="4"/>
                  <c:pt idx="0">
                    <c:v>0.16461429999999999</c:v>
                  </c:pt>
                  <c:pt idx="1">
                    <c:v>0.24410599999999993</c:v>
                  </c:pt>
                  <c:pt idx="2">
                    <c:v>0.19500399999999996</c:v>
                  </c:pt>
                  <c:pt idx="3">
                    <c:v>0.25118299999999993</c:v>
                  </c:pt>
                </c:numCache>
              </c:numRef>
            </c:plus>
            <c:minus>
              <c:numRef>
                <c:f>'Outcomes of RC informal'!$F$107:$F$110</c:f>
                <c:numCache>
                  <c:formatCode>General</c:formatCode>
                  <c:ptCount val="4"/>
                  <c:pt idx="0">
                    <c:v>0.13278129999999999</c:v>
                  </c:pt>
                  <c:pt idx="1">
                    <c:v>0.20142530000000014</c:v>
                  </c:pt>
                  <c:pt idx="2">
                    <c:v>0.16372759999999997</c:v>
                  </c:pt>
                  <c:pt idx="3">
                    <c:v>0.19779080000000004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RC informal'!$A$144:$A$147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RC informal'!$C$144:$C$147</c:f>
              <c:numCache>
                <c:formatCode>#,##0.00000</c:formatCode>
                <c:ptCount val="4"/>
                <c:pt idx="0">
                  <c:v>0.68663600000000002</c:v>
                </c:pt>
                <c:pt idx="1">
                  <c:v>1.1520140000000001</c:v>
                </c:pt>
                <c:pt idx="2">
                  <c:v>1.020815</c:v>
                </c:pt>
                <c:pt idx="3">
                  <c:v>0.93051200000000001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06-4FE7-9A3A-95D338DD041F}"/>
            </c:ext>
          </c:extLst>
        </c:ser>
        <c:ser>
          <c:idx val="2"/>
          <c:order val="2"/>
          <c:tx>
            <c:strRef>
              <c:f>'Outcomes of RC informal'!$D$143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informal'!$G$111:$G$114</c:f>
                <c:numCache>
                  <c:formatCode>General</c:formatCode>
                  <c:ptCount val="4"/>
                  <c:pt idx="0">
                    <c:v>8.0007099999999998E-2</c:v>
                  </c:pt>
                  <c:pt idx="1">
                    <c:v>7.0350899999999994E-2</c:v>
                  </c:pt>
                  <c:pt idx="2">
                    <c:v>4.9420400000000003E-2</c:v>
                  </c:pt>
                  <c:pt idx="3">
                    <c:v>7.7920500000000004E-2</c:v>
                  </c:pt>
                </c:numCache>
              </c:numRef>
            </c:plus>
            <c:minus>
              <c:numRef>
                <c:f>'Outcomes of RC informal'!$F$111:$F$114</c:f>
                <c:numCache>
                  <c:formatCode>General</c:formatCode>
                  <c:ptCount val="4"/>
                  <c:pt idx="0">
                    <c:v>5.8084499999999983E-2</c:v>
                  </c:pt>
                  <c:pt idx="1">
                    <c:v>4.6995699999999987E-2</c:v>
                  </c:pt>
                  <c:pt idx="2">
                    <c:v>3.6471899999999988E-2</c:v>
                  </c:pt>
                  <c:pt idx="3">
                    <c:v>4.4270599999999993E-2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RC informal'!$A$144:$A$147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RC informal'!$D$144:$D$147</c:f>
              <c:numCache>
                <c:formatCode>#,##0.00000</c:formatCode>
                <c:ptCount val="4"/>
                <c:pt idx="0">
                  <c:v>0.21198159999999999</c:v>
                </c:pt>
                <c:pt idx="1">
                  <c:v>0.14156099999999999</c:v>
                </c:pt>
                <c:pt idx="2">
                  <c:v>0.13920199999999999</c:v>
                </c:pt>
                <c:pt idx="3">
                  <c:v>0.10251399999999999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06-4FE7-9A3A-95D338DD041F}"/>
            </c:ext>
          </c:extLst>
        </c:ser>
        <c:ser>
          <c:idx val="3"/>
          <c:order val="3"/>
          <c:tx>
            <c:strRef>
              <c:f>'Outcomes of RC informal'!$E$143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informal'!$G$115:$G$118</c:f>
                <c:numCache>
                  <c:formatCode>General</c:formatCode>
                  <c:ptCount val="4"/>
                  <c:pt idx="0">
                    <c:v>8.0007099999999998E-2</c:v>
                  </c:pt>
                  <c:pt idx="1">
                    <c:v>0.10374730000000004</c:v>
                  </c:pt>
                  <c:pt idx="2">
                    <c:v>8.0039000000000027E-2</c:v>
                  </c:pt>
                  <c:pt idx="3">
                    <c:v>0.12402050000000003</c:v>
                  </c:pt>
                </c:numCache>
              </c:numRef>
            </c:plus>
            <c:minus>
              <c:numRef>
                <c:f>'Outcomes of RC informal'!$F$115:$F$118</c:f>
                <c:numCache>
                  <c:formatCode>General</c:formatCode>
                  <c:ptCount val="4"/>
                  <c:pt idx="0">
                    <c:v>5.8084499999999983E-2</c:v>
                  </c:pt>
                  <c:pt idx="1">
                    <c:v>7.7883299999999989E-2</c:v>
                  </c:pt>
                  <c:pt idx="2">
                    <c:v>6.3253000000000004E-2</c:v>
                  </c:pt>
                  <c:pt idx="3">
                    <c:v>8.7028099999999997E-2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RC informal'!$A$144:$A$147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RC informal'!$E$144:$E$147</c:f>
              <c:numCache>
                <c:formatCode>#,##0.00000</c:formatCode>
                <c:ptCount val="4"/>
                <c:pt idx="0">
                  <c:v>0.21198159999999999</c:v>
                </c:pt>
                <c:pt idx="1">
                  <c:v>0.31241059999999998</c:v>
                </c:pt>
                <c:pt idx="2">
                  <c:v>0.30160439999999999</c:v>
                </c:pt>
                <c:pt idx="3">
                  <c:v>0.29177059999999999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06-4FE7-9A3A-95D338DD041F}"/>
            </c:ext>
          </c:extLst>
        </c:ser>
        <c:ser>
          <c:idx val="4"/>
          <c:order val="4"/>
          <c:tx>
            <c:strRef>
              <c:f>'Outcomes of RC informal'!$F$143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informal'!$G$119:$G$122</c:f>
                <c:numCache>
                  <c:formatCode>General</c:formatCode>
                  <c:ptCount val="4"/>
                  <c:pt idx="0">
                    <c:v>0.17000219999999999</c:v>
                  </c:pt>
                  <c:pt idx="1">
                    <c:v>0.31693700000000002</c:v>
                  </c:pt>
                  <c:pt idx="2">
                    <c:v>0.33903400000000006</c:v>
                  </c:pt>
                  <c:pt idx="3">
                    <c:v>0.5457749999999999</c:v>
                  </c:pt>
                </c:numCache>
              </c:numRef>
            </c:plus>
            <c:minus>
              <c:numRef>
                <c:f>'Outcomes of RC informal'!$F$119:$F$122</c:f>
                <c:numCache>
                  <c:formatCode>General</c:formatCode>
                  <c:ptCount val="4"/>
                  <c:pt idx="0">
                    <c:v>0.13731979999999999</c:v>
                  </c:pt>
                  <c:pt idx="1">
                    <c:v>0.26291599999999993</c:v>
                  </c:pt>
                  <c:pt idx="2">
                    <c:v>0.28715599999999997</c:v>
                  </c:pt>
                  <c:pt idx="3">
                    <c:v>0.44745999999999997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RC informal'!$A$144:$A$147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RC informal'!$F$144:$F$147</c:f>
              <c:numCache>
                <c:formatCode>#,##0.00000</c:formatCode>
                <c:ptCount val="4"/>
                <c:pt idx="0">
                  <c:v>0.71428579999999997</c:v>
                </c:pt>
                <c:pt idx="1">
                  <c:v>1.542527</c:v>
                </c:pt>
                <c:pt idx="2">
                  <c:v>1.8766499999999999</c:v>
                </c:pt>
                <c:pt idx="3">
                  <c:v>2.483994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06-4FE7-9A3A-95D338DD041F}"/>
            </c:ext>
          </c:extLst>
        </c:ser>
        <c:ser>
          <c:idx val="5"/>
          <c:order val="5"/>
          <c:tx>
            <c:strRef>
              <c:f>'Outcomes of RC informal'!$G$143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informal'!$G$123:$G$126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0.42761100000000019</c:v>
                  </c:pt>
                  <c:pt idx="2">
                    <c:v>0.336287</c:v>
                  </c:pt>
                  <c:pt idx="3">
                    <c:v>0.91820699999999977</c:v>
                  </c:pt>
                </c:numCache>
              </c:numRef>
            </c:plus>
            <c:minus>
              <c:numRef>
                <c:f>'Outcomes of RC informal'!$F$123:$F$126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0.35793300000000006</c:v>
                  </c:pt>
                  <c:pt idx="2">
                    <c:v>0.28482399999999997</c:v>
                  </c:pt>
                  <c:pt idx="3">
                    <c:v>0.76490999999999998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RC informal'!$A$144:$A$147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RC informal'!$G$144:$G$147</c:f>
              <c:numCache>
                <c:formatCode>#,##0.00000</c:formatCode>
                <c:ptCount val="4"/>
                <c:pt idx="0">
                  <c:v>1</c:v>
                </c:pt>
                <c:pt idx="1">
                  <c:v>2.196637</c:v>
                </c:pt>
                <c:pt idx="2">
                  <c:v>1.861183</c:v>
                </c:pt>
                <c:pt idx="3">
                  <c:v>4.581588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06-4FE7-9A3A-95D338DD041F}"/>
            </c:ext>
          </c:extLst>
        </c:ser>
        <c:ser>
          <c:idx val="6"/>
          <c:order val="6"/>
          <c:tx>
            <c:strRef>
              <c:f>'Outcomes of RC informal'!$H$143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informal'!$G$127:$G$130</c:f>
                <c:numCache>
                  <c:formatCode>General</c:formatCode>
                  <c:ptCount val="4"/>
                  <c:pt idx="0">
                    <c:v>8.0562499999999981E-2</c:v>
                  </c:pt>
                  <c:pt idx="1">
                    <c:v>8.7270399999999998E-2</c:v>
                  </c:pt>
                  <c:pt idx="2">
                    <c:v>0.1291158</c:v>
                  </c:pt>
                  <c:pt idx="3">
                    <c:v>0.14404319999999998</c:v>
                  </c:pt>
                </c:numCache>
              </c:numRef>
            </c:plus>
            <c:minus>
              <c:numRef>
                <c:f>'Outcomes of RC informal'!$F$127:$F$130</c:f>
                <c:numCache>
                  <c:formatCode>General</c:formatCode>
                  <c:ptCount val="4"/>
                  <c:pt idx="0">
                    <c:v>5.872079999999999E-2</c:v>
                  </c:pt>
                  <c:pt idx="1">
                    <c:v>6.42847E-2</c:v>
                  </c:pt>
                  <c:pt idx="2">
                    <c:v>0.10610839999999999</c:v>
                  </c:pt>
                  <c:pt idx="3">
                    <c:v>0.10310200000000003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RC informal'!$A$144:$A$147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RC informal'!$H$144:$H$147</c:f>
              <c:numCache>
                <c:formatCode>#,##0.000000</c:formatCode>
                <c:ptCount val="4"/>
                <c:pt idx="0">
                  <c:v>0.2165899</c:v>
                </c:pt>
                <c:pt idx="1">
                  <c:v>0.2440708</c:v>
                </c:pt>
                <c:pt idx="2">
                  <c:v>0.59547519999999998</c:v>
                </c:pt>
                <c:pt idx="3">
                  <c:v>0.36274190000000001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06-4FE7-9A3A-95D338DD041F}"/>
            </c:ext>
          </c:extLst>
        </c:ser>
        <c:ser>
          <c:idx val="7"/>
          <c:order val="7"/>
          <c:tx>
            <c:strRef>
              <c:f>'Outcomes of RC informal'!$I$143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informal'!$G$131:$G$134</c:f>
                <c:numCache>
                  <c:formatCode>General</c:formatCode>
                  <c:ptCount val="4"/>
                  <c:pt idx="0">
                    <c:v>8.7153299999999989E-2</c:v>
                  </c:pt>
                  <c:pt idx="1">
                    <c:v>8.7570599999999998E-2</c:v>
                  </c:pt>
                  <c:pt idx="2">
                    <c:v>7.4441999999999953E-2</c:v>
                  </c:pt>
                  <c:pt idx="3">
                    <c:v>0.1014389</c:v>
                  </c:pt>
                </c:numCache>
              </c:numRef>
            </c:plus>
            <c:minus>
              <c:numRef>
                <c:f>'Outcomes of RC informal'!$F$131:$F$134</c:f>
                <c:numCache>
                  <c:formatCode>General</c:formatCode>
                  <c:ptCount val="4"/>
                  <c:pt idx="0">
                    <c:v>6.4547100000000024E-2</c:v>
                  </c:pt>
                  <c:pt idx="1">
                    <c:v>6.3000799999999996E-2</c:v>
                  </c:pt>
                  <c:pt idx="2">
                    <c:v>5.8263700000000029E-2</c:v>
                  </c:pt>
                  <c:pt idx="3">
                    <c:v>6.6041600000000006E-2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RC informal'!$A$144:$A$147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RC informal'!$I$144:$I$147</c:f>
              <c:numCache>
                <c:formatCode>#,##0.000000</c:formatCode>
                <c:ptCount val="4"/>
                <c:pt idx="0">
                  <c:v>0.24884790000000001</c:v>
                </c:pt>
                <c:pt idx="1">
                  <c:v>0.2245451</c:v>
                </c:pt>
                <c:pt idx="2">
                  <c:v>0.26809280000000002</c:v>
                </c:pt>
                <c:pt idx="3">
                  <c:v>0.1892567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06-4FE7-9A3A-95D338DD041F}"/>
            </c:ext>
          </c:extLst>
        </c:ser>
        <c:ser>
          <c:idx val="8"/>
          <c:order val="8"/>
          <c:tx>
            <c:strRef>
              <c:f>'Outcomes of RC informal'!$J$143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informal'!$G$135:$G$138</c:f>
                <c:numCache>
                  <c:formatCode>General</c:formatCode>
                  <c:ptCount val="4"/>
                  <c:pt idx="0">
                    <c:v>0.11837259999999999</c:v>
                  </c:pt>
                  <c:pt idx="1">
                    <c:v>0.12677689999999997</c:v>
                  </c:pt>
                  <c:pt idx="2">
                    <c:v>0.13515910000000009</c:v>
                  </c:pt>
                  <c:pt idx="3">
                    <c:v>0.22444719999999996</c:v>
                  </c:pt>
                </c:numCache>
              </c:numRef>
            </c:plus>
            <c:minus>
              <c:numRef>
                <c:f>'Outcomes of RC informal'!$F$135:$F$138</c:f>
                <c:numCache>
                  <c:formatCode>General</c:formatCode>
                  <c:ptCount val="4"/>
                  <c:pt idx="0">
                    <c:v>9.1860200000000003E-2</c:v>
                  </c:pt>
                  <c:pt idx="1">
                    <c:v>9.8385699999999965E-2</c:v>
                  </c:pt>
                  <c:pt idx="2">
                    <c:v>0.11125269999999998</c:v>
                  </c:pt>
                  <c:pt idx="3">
                    <c:v>0.17270399999999997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RC informal'!$A$144:$A$147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RC informal'!$J$144:$J$147</c:f>
              <c:numCache>
                <c:formatCode>General</c:formatCode>
                <c:ptCount val="4"/>
                <c:pt idx="0">
                  <c:v>0.41013830000000001</c:v>
                </c:pt>
                <c:pt idx="1">
                  <c:v>0.43932729999999998</c:v>
                </c:pt>
                <c:pt idx="2">
                  <c:v>0.62898679999999996</c:v>
                </c:pt>
                <c:pt idx="3" formatCode="#,##0">
                  <c:v>0.7491409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06-4FE7-9A3A-95D338DD0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490536"/>
        <c:axId val="607488568"/>
      </c:barChart>
      <c:catAx>
        <c:axId val="60749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88568"/>
        <c:crosses val="autoZero"/>
        <c:auto val="1"/>
        <c:lblAlgn val="ctr"/>
        <c:lblOffset val="100"/>
        <c:noMultiLvlLbl val="0"/>
      </c:catAx>
      <c:valAx>
        <c:axId val="6074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9053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NRC formal'!$C$237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formal'!$O$237:$O$240</c:f>
                <c:numCache>
                  <c:formatCode>General</c:formatCode>
                  <c:ptCount val="4"/>
                  <c:pt idx="0">
                    <c:v>0.42957699999999988</c:v>
                  </c:pt>
                  <c:pt idx="1">
                    <c:v>0.79421399999999975</c:v>
                  </c:pt>
                  <c:pt idx="2">
                    <c:v>0.345696</c:v>
                  </c:pt>
                  <c:pt idx="3">
                    <c:v>0.77102700000000013</c:v>
                  </c:pt>
                </c:numCache>
              </c:numRef>
            </c:plus>
            <c:minus>
              <c:numRef>
                <c:f>'Outcomes of NRC formal'!$N$237:$N$240</c:f>
                <c:numCache>
                  <c:formatCode>General</c:formatCode>
                  <c:ptCount val="4"/>
                  <c:pt idx="0">
                    <c:v>0.33741200000000005</c:v>
                  </c:pt>
                  <c:pt idx="1">
                    <c:v>0.62464399999999998</c:v>
                  </c:pt>
                  <c:pt idx="2">
                    <c:v>0.26918319999999996</c:v>
                  </c:pt>
                  <c:pt idx="3">
                    <c:v>0.6063550000000002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formal'!$A$238:$B$241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NRC formal'!$C$238:$C$241</c:f>
              <c:numCache>
                <c:formatCode>#,##0.00000</c:formatCode>
                <c:ptCount val="4"/>
                <c:pt idx="0" formatCode="0.000000">
                  <c:v>1.5726500000000001</c:v>
                </c:pt>
                <c:pt idx="1">
                  <c:v>2.9256190000000002</c:v>
                </c:pt>
                <c:pt idx="2" formatCode="#,##0">
                  <c:v>1.2162299999999999</c:v>
                </c:pt>
                <c:pt idx="3" formatCode="#,##0">
                  <c:v>2.8390580000000001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6-4359-B2C1-130DC4D7E744}"/>
            </c:ext>
          </c:extLst>
        </c:ser>
        <c:ser>
          <c:idx val="1"/>
          <c:order val="1"/>
          <c:tx>
            <c:strRef>
              <c:f>'Outcomes of NRC formal'!$D$237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formal'!$O$241:$O$244</c:f>
                <c:numCache>
                  <c:formatCode>General</c:formatCode>
                  <c:ptCount val="4"/>
                  <c:pt idx="0">
                    <c:v>0.18258530000000006</c:v>
                  </c:pt>
                  <c:pt idx="1">
                    <c:v>0.48450499999999996</c:v>
                  </c:pt>
                  <c:pt idx="2">
                    <c:v>8.5824400000000009E-2</c:v>
                  </c:pt>
                  <c:pt idx="3">
                    <c:v>0.12222680000000002</c:v>
                  </c:pt>
                </c:numCache>
              </c:numRef>
            </c:plus>
            <c:minus>
              <c:numRef>
                <c:f>'Outcomes of NRC formal'!$N$241:$N$244</c:f>
                <c:numCache>
                  <c:formatCode>General</c:formatCode>
                  <c:ptCount val="4"/>
                  <c:pt idx="0">
                    <c:v>0.1328106</c:v>
                  </c:pt>
                  <c:pt idx="1">
                    <c:v>0.36882900000000007</c:v>
                  </c:pt>
                  <c:pt idx="2">
                    <c:v>4.4927100000000005E-2</c:v>
                  </c:pt>
                  <c:pt idx="3">
                    <c:v>6.3759299999999991E-2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formal'!$A$238:$B$241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NRC formal'!$D$238:$D$241</c:f>
              <c:numCache>
                <c:formatCode>#,##0.00000</c:formatCode>
                <c:ptCount val="4"/>
                <c:pt idx="0">
                  <c:v>0.48717949999999999</c:v>
                </c:pt>
                <c:pt idx="1">
                  <c:v>1.5448360000000001</c:v>
                </c:pt>
                <c:pt idx="2">
                  <c:v>9.4281400000000001E-2</c:v>
                </c:pt>
                <c:pt idx="3" formatCode="#,##0">
                  <c:v>0.13328909999999999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6-4359-B2C1-130DC4D7E744}"/>
            </c:ext>
          </c:extLst>
        </c:ser>
        <c:ser>
          <c:idx val="2"/>
          <c:order val="2"/>
          <c:tx>
            <c:strRef>
              <c:f>'Outcomes of NRC formal'!$E$237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formal'!$O$245:$O$248</c:f>
                <c:numCache>
                  <c:formatCode>General</c:formatCode>
                  <c:ptCount val="4"/>
                  <c:pt idx="0">
                    <c:v>0.141345</c:v>
                  </c:pt>
                  <c:pt idx="1">
                    <c:v>0.34597390000000006</c:v>
                  </c:pt>
                  <c:pt idx="2">
                    <c:v>0.22246310000000002</c:v>
                  </c:pt>
                  <c:pt idx="3">
                    <c:v>0.34685280000000007</c:v>
                  </c:pt>
                </c:numCache>
              </c:numRef>
            </c:plus>
            <c:minus>
              <c:numRef>
                <c:f>'Outcomes of NRC formal'!$N$245:$N$248</c:f>
                <c:numCache>
                  <c:formatCode>General</c:formatCode>
                  <c:ptCount val="4"/>
                  <c:pt idx="0">
                    <c:v>9.7684400000000005E-2</c:v>
                  </c:pt>
                  <c:pt idx="1">
                    <c:v>0.25506119999999999</c:v>
                  </c:pt>
                  <c:pt idx="2">
                    <c:v>0.16577409999999998</c:v>
                  </c:pt>
                  <c:pt idx="3">
                    <c:v>0.25750649999999997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formal'!$A$238:$B$241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NRC formal'!$E$238:$E$241</c:f>
              <c:numCache>
                <c:formatCode>#,##0.00000</c:formatCode>
                <c:ptCount val="4"/>
                <c:pt idx="0">
                  <c:v>0.3162393</c:v>
                </c:pt>
                <c:pt idx="1">
                  <c:v>0.97064910000000004</c:v>
                </c:pt>
                <c:pt idx="2">
                  <c:v>0.65054190000000001</c:v>
                </c:pt>
                <c:pt idx="3" formatCode="General">
                  <c:v>0.99966820000000001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6-4359-B2C1-130DC4D7E744}"/>
            </c:ext>
          </c:extLst>
        </c:ser>
        <c:ser>
          <c:idx val="3"/>
          <c:order val="3"/>
          <c:tx>
            <c:strRef>
              <c:f>'Outcomes of NRC formal'!$F$237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formal'!$Q$237:$Q$240</c:f>
                <c:numCache>
                  <c:formatCode>General</c:formatCode>
                  <c:ptCount val="4"/>
                  <c:pt idx="0">
                    <c:v>0.48202600000000007</c:v>
                  </c:pt>
                  <c:pt idx="1">
                    <c:v>0.83902399999999977</c:v>
                  </c:pt>
                  <c:pt idx="2">
                    <c:v>0.51927900000000005</c:v>
                  </c:pt>
                  <c:pt idx="3">
                    <c:v>0.82179000000000002</c:v>
                  </c:pt>
                </c:numCache>
              </c:numRef>
            </c:plus>
            <c:minus>
              <c:numRef>
                <c:f>'Outcomes of NRC formal'!$P$237:$P$240</c:f>
                <c:numCache>
                  <c:formatCode>General</c:formatCode>
                  <c:ptCount val="4"/>
                  <c:pt idx="0">
                    <c:v>0.37802800000000003</c:v>
                  </c:pt>
                  <c:pt idx="1">
                    <c:v>0.66046100000000019</c:v>
                  </c:pt>
                  <c:pt idx="2">
                    <c:v>0.40491199999999994</c:v>
                  </c:pt>
                  <c:pt idx="3">
                    <c:v>0.6437949999999999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formal'!$A$238:$B$241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NRC formal'!$F$238:$F$241</c:f>
              <c:numCache>
                <c:formatCode>#,##0.00000</c:formatCode>
                <c:ptCount val="4"/>
                <c:pt idx="0">
                  <c:v>1.7521370000000001</c:v>
                </c:pt>
                <c:pt idx="1">
                  <c:v>3.1033430000000002</c:v>
                </c:pt>
                <c:pt idx="2" formatCode="#,##0">
                  <c:v>1.8384879999999999</c:v>
                </c:pt>
                <c:pt idx="3" formatCode="#,##0">
                  <c:v>2.9723470000000001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36-4359-B2C1-130DC4D7E744}"/>
            </c:ext>
          </c:extLst>
        </c:ser>
        <c:ser>
          <c:idx val="4"/>
          <c:order val="4"/>
          <c:tx>
            <c:strRef>
              <c:f>'Outcomes of NRC formal'!$G$237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formal'!$Q$241:$Q$244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0.44815999999999989</c:v>
                  </c:pt>
                  <c:pt idx="2">
                    <c:v>0.66162799999999988</c:v>
                  </c:pt>
                  <c:pt idx="3">
                    <c:v>0.77937900000000004</c:v>
                  </c:pt>
                </c:numCache>
              </c:numRef>
            </c:plus>
            <c:minus>
              <c:numRef>
                <c:f>'Outcomes of NRC formal'!$P$241:$P$244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0.33915899999999999</c:v>
                  </c:pt>
                  <c:pt idx="2">
                    <c:v>0.52941400000000005</c:v>
                  </c:pt>
                  <c:pt idx="3">
                    <c:v>0.61088699999999996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formal'!$A$238:$B$241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NRC formal'!$G$238:$G$241</c:f>
              <c:numCache>
                <c:formatCode>#,##0.00000</c:formatCode>
                <c:ptCount val="4"/>
                <c:pt idx="0">
                  <c:v>1</c:v>
                </c:pt>
                <c:pt idx="1">
                  <c:v>1.3944540000000001</c:v>
                </c:pt>
                <c:pt idx="2" formatCode="#,##0">
                  <c:v>2.649308</c:v>
                </c:pt>
                <c:pt idx="3" formatCode="#,##0">
                  <c:v>2.8257289999999999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36-4359-B2C1-130DC4D7E744}"/>
            </c:ext>
          </c:extLst>
        </c:ser>
        <c:ser>
          <c:idx val="5"/>
          <c:order val="5"/>
          <c:tx>
            <c:strRef>
              <c:f>'Outcomes of NRC formal'!$H$237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formal'!$Q$245:$Q$248</c:f>
                <c:numCache>
                  <c:formatCode>General</c:formatCode>
                  <c:ptCount val="4"/>
                  <c:pt idx="0">
                    <c:v>0.4536</c:v>
                  </c:pt>
                  <c:pt idx="1">
                    <c:v>0.54910899999999985</c:v>
                  </c:pt>
                  <c:pt idx="2">
                    <c:v>0.29613049999999996</c:v>
                  </c:pt>
                  <c:pt idx="3">
                    <c:v>0.39597499999999997</c:v>
                  </c:pt>
                </c:numCache>
              </c:numRef>
            </c:plus>
            <c:minus>
              <c:numRef>
                <c:f>'Outcomes of NRC formal'!$P$245:$P$248</c:f>
                <c:numCache>
                  <c:formatCode>General</c:formatCode>
                  <c:ptCount val="4"/>
                  <c:pt idx="0">
                    <c:v>0.35959099999999999</c:v>
                  </c:pt>
                  <c:pt idx="1">
                    <c:v>0.42462</c:v>
                  </c:pt>
                  <c:pt idx="2">
                    <c:v>0.22588419999999998</c:v>
                  </c:pt>
                  <c:pt idx="3">
                    <c:v>0.29770620000000003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formal'!$A$238:$B$241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NRC formal'!$H$238:$H$241</c:f>
              <c:numCache>
                <c:formatCode>#,##0.00000</c:formatCode>
                <c:ptCount val="4"/>
                <c:pt idx="0">
                  <c:v>1.7350429999999999</c:v>
                </c:pt>
                <c:pt idx="1">
                  <c:v>1.872943</c:v>
                </c:pt>
                <c:pt idx="2">
                  <c:v>0.95224249999999999</c:v>
                </c:pt>
                <c:pt idx="3" formatCode="#,##0">
                  <c:v>1.1996020000000001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36-4359-B2C1-130DC4D7E744}"/>
            </c:ext>
          </c:extLst>
        </c:ser>
        <c:ser>
          <c:idx val="6"/>
          <c:order val="6"/>
          <c:tx>
            <c:strRef>
              <c:f>'Outcomes of NRC formal'!$I$237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formal'!$S$237:$S$240</c:f>
                <c:numCache>
                  <c:formatCode>General</c:formatCode>
                  <c:ptCount val="4"/>
                  <c:pt idx="0">
                    <c:v>0.12259909999999999</c:v>
                  </c:pt>
                  <c:pt idx="1">
                    <c:v>0.200712</c:v>
                  </c:pt>
                  <c:pt idx="2">
                    <c:v>0.12249560000000001</c:v>
                  </c:pt>
                  <c:pt idx="3">
                    <c:v>0.20537620000000001</c:v>
                  </c:pt>
                </c:numCache>
              </c:numRef>
            </c:plus>
            <c:minus>
              <c:numRef>
                <c:f>'Outcomes of NRC formal'!$R$237:$R$240</c:f>
                <c:numCache>
                  <c:formatCode>General</c:formatCode>
                  <c:ptCount val="4"/>
                  <c:pt idx="0">
                    <c:v>8.1068500000000016E-2</c:v>
                  </c:pt>
                  <c:pt idx="1">
                    <c:v>0.1316716</c:v>
                  </c:pt>
                  <c:pt idx="2">
                    <c:v>7.8277299999999994E-2</c:v>
                  </c:pt>
                  <c:pt idx="3">
                    <c:v>0.13718790000000003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formal'!$A$238:$B$241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NRC formal'!$I$238:$I$241</c:f>
              <c:numCache>
                <c:formatCode>#,##0.000000</c:formatCode>
                <c:ptCount val="4"/>
                <c:pt idx="0">
                  <c:v>0.23931620000000001</c:v>
                </c:pt>
                <c:pt idx="1">
                  <c:v>0.3827912</c:v>
                </c:pt>
                <c:pt idx="2">
                  <c:v>0.21684729999999999</c:v>
                </c:pt>
                <c:pt idx="3" formatCode="General">
                  <c:v>0.41319620000000001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36-4359-B2C1-130DC4D7E744}"/>
            </c:ext>
          </c:extLst>
        </c:ser>
        <c:ser>
          <c:idx val="7"/>
          <c:order val="7"/>
          <c:tx>
            <c:strRef>
              <c:f>'Outcomes of NRC formal'!$J$237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formal'!$S$241:$S$244</c:f>
                <c:numCache>
                  <c:formatCode>General</c:formatCode>
                  <c:ptCount val="4"/>
                  <c:pt idx="0">
                    <c:v>0.1505225</c:v>
                  </c:pt>
                  <c:pt idx="1">
                    <c:v>0.23929460000000002</c:v>
                  </c:pt>
                  <c:pt idx="2">
                    <c:v>7.5575699999999996E-2</c:v>
                  </c:pt>
                  <c:pt idx="3">
                    <c:v>9.71003E-2</c:v>
                  </c:pt>
                </c:numCache>
              </c:numRef>
            </c:plus>
            <c:minus>
              <c:numRef>
                <c:f>'Outcomes of NRC formal'!$R$241:$R$244</c:f>
                <c:numCache>
                  <c:formatCode>General</c:formatCode>
                  <c:ptCount val="4"/>
                  <c:pt idx="0">
                    <c:v>9.4844999999999985E-2</c:v>
                  </c:pt>
                  <c:pt idx="1">
                    <c:v>0.16383060000000005</c:v>
                  </c:pt>
                  <c:pt idx="2">
                    <c:v>3.5231100000000001E-2</c:v>
                  </c:pt>
                  <c:pt idx="3">
                    <c:v>3.952E-2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formal'!$A$238:$B$241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NRC formal'!$J$238:$J$241</c:f>
              <c:numCache>
                <c:formatCode>#,##0.000000</c:formatCode>
                <c:ptCount val="4"/>
                <c:pt idx="0">
                  <c:v>0.25641029999999998</c:v>
                </c:pt>
                <c:pt idx="1">
                  <c:v>0.51950240000000003</c:v>
                </c:pt>
                <c:pt idx="2">
                  <c:v>6.5997E-2</c:v>
                </c:pt>
                <c:pt idx="3" formatCode="0.00E+00">
                  <c:v>6.6644499999999995E-2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36-4359-B2C1-130DC4D7E744}"/>
            </c:ext>
          </c:extLst>
        </c:ser>
        <c:ser>
          <c:idx val="8"/>
          <c:order val="8"/>
          <c:tx>
            <c:strRef>
              <c:f>'Outcomes of NRC formal'!$K$237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formal'!$S$245:$S$248</c:f>
                <c:numCache>
                  <c:formatCode>General</c:formatCode>
                  <c:ptCount val="4"/>
                  <c:pt idx="0">
                    <c:v>0.17894579999999999</c:v>
                  </c:pt>
                  <c:pt idx="1">
                    <c:v>0.31500510000000004</c:v>
                  </c:pt>
                  <c:pt idx="2">
                    <c:v>0.13206410000000002</c:v>
                  </c:pt>
                  <c:pt idx="3">
                    <c:v>0.18598869999999995</c:v>
                  </c:pt>
                </c:numCache>
              </c:numRef>
            </c:plus>
            <c:minus>
              <c:numRef>
                <c:f>'Outcomes of NRC formal'!$R$245:$R$248</c:f>
                <c:numCache>
                  <c:formatCode>General</c:formatCode>
                  <c:ptCount val="4"/>
                  <c:pt idx="0">
                    <c:v>0.12894990000000001</c:v>
                  </c:pt>
                  <c:pt idx="1">
                    <c:v>0.22760009999999997</c:v>
                  </c:pt>
                  <c:pt idx="2">
                    <c:v>8.6953300000000011E-2</c:v>
                  </c:pt>
                  <c:pt idx="3">
                    <c:v>0.12103250000000002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formal'!$A$238:$B$241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NRC formal'!$K$238:$K$241</c:f>
              <c:numCache>
                <c:formatCode>#,##0</c:formatCode>
                <c:ptCount val="4"/>
                <c:pt idx="0" formatCode="General">
                  <c:v>0.46153850000000002</c:v>
                </c:pt>
                <c:pt idx="1">
                  <c:v>0.82026690000000002</c:v>
                </c:pt>
                <c:pt idx="2" formatCode="General">
                  <c:v>0.25455990000000001</c:v>
                </c:pt>
                <c:pt idx="3" formatCode="General">
                  <c:v>0.34655160000000002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36-4359-B2C1-130DC4D7E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165792"/>
        <c:axId val="650163496"/>
      </c:barChart>
      <c:catAx>
        <c:axId val="6501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63496"/>
        <c:crosses val="autoZero"/>
        <c:auto val="1"/>
        <c:lblAlgn val="ctr"/>
        <c:lblOffset val="100"/>
        <c:noMultiLvlLbl val="0"/>
      </c:catAx>
      <c:valAx>
        <c:axId val="65016349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6579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RC informal'!$C$236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informal'!$N$235:$N$238</c:f>
                <c:numCache>
                  <c:formatCode>General</c:formatCode>
                  <c:ptCount val="4"/>
                  <c:pt idx="0">
                    <c:v>8.9546599999999976E-2</c:v>
                  </c:pt>
                  <c:pt idx="1">
                    <c:v>0.13731470000000001</c:v>
                  </c:pt>
                  <c:pt idx="2">
                    <c:v>8.1970599999999977E-2</c:v>
                  </c:pt>
                  <c:pt idx="3">
                    <c:v>7.1398899999999987E-2</c:v>
                  </c:pt>
                </c:numCache>
              </c:numRef>
            </c:plus>
            <c:minus>
              <c:numRef>
                <c:f>'Outcomes of RC informal'!$M$235:$M$238</c:f>
                <c:numCache>
                  <c:formatCode>General</c:formatCode>
                  <c:ptCount val="4"/>
                  <c:pt idx="0">
                    <c:v>5.9143100000000004E-2</c:v>
                  </c:pt>
                  <c:pt idx="1">
                    <c:v>0.1017441</c:v>
                  </c:pt>
                  <c:pt idx="2">
                    <c:v>5.7475200000000004E-2</c:v>
                  </c:pt>
                  <c:pt idx="3">
                    <c:v>5.1202500000000012E-2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informal'!$A$237:$B$240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RC informal'!$C$237:$C$240</c:f>
              <c:numCache>
                <c:formatCode>#,##0.00000</c:formatCode>
                <c:ptCount val="4"/>
                <c:pt idx="0" formatCode="0.000000">
                  <c:v>0.1741935</c:v>
                </c:pt>
                <c:pt idx="1">
                  <c:v>0.39276630000000001</c:v>
                </c:pt>
                <c:pt idx="2">
                  <c:v>0.1923329</c:v>
                </c:pt>
                <c:pt idx="3" formatCode="General">
                  <c:v>0.18101390000000001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9-4BD2-84A7-91F9E5688D1E}"/>
            </c:ext>
          </c:extLst>
        </c:ser>
        <c:ser>
          <c:idx val="1"/>
          <c:order val="1"/>
          <c:tx>
            <c:strRef>
              <c:f>'Outcomes of RC informal'!$D$236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informal'!$N$239:$N$242</c:f>
                <c:numCache>
                  <c:formatCode>General</c:formatCode>
                  <c:ptCount val="4"/>
                  <c:pt idx="0">
                    <c:v>0.23641450000000008</c:v>
                  </c:pt>
                  <c:pt idx="1">
                    <c:v>0.28649500000000017</c:v>
                  </c:pt>
                  <c:pt idx="2">
                    <c:v>0.30714700000000006</c:v>
                  </c:pt>
                  <c:pt idx="3">
                    <c:v>0.27584900000000001</c:v>
                  </c:pt>
                </c:numCache>
              </c:numRef>
            </c:plus>
            <c:minus>
              <c:numRef>
                <c:f>'Outcomes of RC informal'!$M$239:$M$242</c:f>
                <c:numCache>
                  <c:formatCode>General</c:formatCode>
                  <c:ptCount val="4"/>
                  <c:pt idx="0">
                    <c:v>0.18379650000000003</c:v>
                  </c:pt>
                  <c:pt idx="1">
                    <c:v>0.22540079999999996</c:v>
                  </c:pt>
                  <c:pt idx="2">
                    <c:v>0.24600289999999991</c:v>
                  </c:pt>
                  <c:pt idx="3">
                    <c:v>0.22174149999999992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informal'!$A$237:$B$240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RC informal'!$D$237:$D$240</c:f>
              <c:numCache>
                <c:formatCode>#,##0.00000</c:formatCode>
                <c:ptCount val="4"/>
                <c:pt idx="0">
                  <c:v>0.8258065</c:v>
                </c:pt>
                <c:pt idx="1">
                  <c:v>1.0570029999999999</c:v>
                </c:pt>
                <c:pt idx="2" formatCode="#,##0">
                  <c:v>1.2357389999999999</c:v>
                </c:pt>
                <c:pt idx="3" formatCode="#,##0">
                  <c:v>1.1304829999999999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9-4BD2-84A7-91F9E5688D1E}"/>
            </c:ext>
          </c:extLst>
        </c:ser>
        <c:ser>
          <c:idx val="2"/>
          <c:order val="2"/>
          <c:tx>
            <c:strRef>
              <c:f>'Outcomes of RC informal'!$E$236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informal'!$N$243:$N$246</c:f>
                <c:numCache>
                  <c:formatCode>General</c:formatCode>
                  <c:ptCount val="4"/>
                  <c:pt idx="0">
                    <c:v>0.14580989999999994</c:v>
                  </c:pt>
                  <c:pt idx="1">
                    <c:v>0.12337300000000001</c:v>
                  </c:pt>
                  <c:pt idx="2">
                    <c:v>5.2856700000000006E-2</c:v>
                  </c:pt>
                  <c:pt idx="3">
                    <c:v>3.2260799999999992E-2</c:v>
                  </c:pt>
                </c:numCache>
              </c:numRef>
            </c:plus>
            <c:minus>
              <c:numRef>
                <c:f>'Outcomes of RC informal'!$M$243:$M$246</c:f>
                <c:numCache>
                  <c:formatCode>General</c:formatCode>
                  <c:ptCount val="4"/>
                  <c:pt idx="0">
                    <c:v>0.10542570000000001</c:v>
                  </c:pt>
                  <c:pt idx="1">
                    <c:v>8.9308699999999991E-2</c:v>
                  </c:pt>
                  <c:pt idx="2">
                    <c:v>3.1330800000000006E-2</c:v>
                  </c:pt>
                  <c:pt idx="3">
                    <c:v>1.7356500000000004E-2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informal'!$A$237:$B$240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RC informal'!$E$237:$E$240</c:f>
              <c:numCache>
                <c:formatCode>#,##0.00000</c:formatCode>
                <c:ptCount val="4"/>
                <c:pt idx="0">
                  <c:v>0.38064520000000002</c:v>
                </c:pt>
                <c:pt idx="1">
                  <c:v>0.32345459999999998</c:v>
                </c:pt>
                <c:pt idx="2">
                  <c:v>7.6933100000000004E-2</c:v>
                </c:pt>
                <c:pt idx="3" formatCode="General">
                  <c:v>3.7568900000000002E-2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D9-4BD2-84A7-91F9E5688D1E}"/>
            </c:ext>
          </c:extLst>
        </c:ser>
        <c:ser>
          <c:idx val="3"/>
          <c:order val="3"/>
          <c:tx>
            <c:strRef>
              <c:f>'Outcomes of RC informal'!$F$236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informal'!$P$235:$P$238</c:f>
                <c:numCache>
                  <c:formatCode>General</c:formatCode>
                  <c:ptCount val="4"/>
                  <c:pt idx="0">
                    <c:v>0.14473599999999998</c:v>
                  </c:pt>
                  <c:pt idx="1">
                    <c:v>0.15174290000000007</c:v>
                  </c:pt>
                  <c:pt idx="2">
                    <c:v>9.4275299999999979E-2</c:v>
                  </c:pt>
                  <c:pt idx="3">
                    <c:v>9.2949999999999977E-2</c:v>
                  </c:pt>
                </c:numCache>
              </c:numRef>
            </c:plus>
            <c:minus>
              <c:numRef>
                <c:f>'Outcomes of RC informal'!$O$235:$O$238</c:f>
                <c:numCache>
                  <c:formatCode>General</c:formatCode>
                  <c:ptCount val="4"/>
                  <c:pt idx="0">
                    <c:v>0.10534680000000002</c:v>
                  </c:pt>
                  <c:pt idx="1">
                    <c:v>0.11276339999999996</c:v>
                  </c:pt>
                  <c:pt idx="2">
                    <c:v>6.7720000000000002E-2</c:v>
                  </c:pt>
                  <c:pt idx="3">
                    <c:v>6.890720000000003E-2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informal'!$A$237:$B$240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RC informal'!$F$237:$F$240</c:f>
              <c:numCache>
                <c:formatCode>#,##0.00000</c:formatCode>
                <c:ptCount val="4"/>
                <c:pt idx="0">
                  <c:v>0.38709680000000002</c:v>
                </c:pt>
                <c:pt idx="1">
                  <c:v>0.43897409999999998</c:v>
                </c:pt>
                <c:pt idx="2">
                  <c:v>0.24041609999999999</c:v>
                </c:pt>
                <c:pt idx="3" formatCode="General">
                  <c:v>0.26639780000000002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D9-4BD2-84A7-91F9E5688D1E}"/>
            </c:ext>
          </c:extLst>
        </c:ser>
        <c:ser>
          <c:idx val="4"/>
          <c:order val="4"/>
          <c:tx>
            <c:strRef>
              <c:f>'Outcomes of RC informal'!$G$236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informal'!$P$239:$P$242</c:f>
                <c:numCache>
                  <c:formatCode>General</c:formatCode>
                  <c:ptCount val="4"/>
                  <c:pt idx="0">
                    <c:v>0.28818200000000016</c:v>
                  </c:pt>
                  <c:pt idx="1">
                    <c:v>0.45026900000000003</c:v>
                  </c:pt>
                  <c:pt idx="2">
                    <c:v>0.37462499999999999</c:v>
                  </c:pt>
                  <c:pt idx="3">
                    <c:v>0.58383200000000013</c:v>
                  </c:pt>
                </c:numCache>
              </c:numRef>
            </c:plus>
            <c:minus>
              <c:numRef>
                <c:f>'Outcomes of RC informal'!$O$239:$O$242</c:f>
                <c:numCache>
                  <c:formatCode>General</c:formatCode>
                  <c:ptCount val="4"/>
                  <c:pt idx="0">
                    <c:v>0.22403399999999996</c:v>
                  </c:pt>
                  <c:pt idx="1">
                    <c:v>0.35812899999999992</c:v>
                  </c:pt>
                  <c:pt idx="2">
                    <c:v>0.30033899999999991</c:v>
                  </c:pt>
                  <c:pt idx="3">
                    <c:v>0.47427299999999972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informal'!$A$237:$B$240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RC informal'!$G$237:$G$240</c:f>
              <c:numCache>
                <c:formatCode>#,##0.00000</c:formatCode>
                <c:ptCount val="4"/>
                <c:pt idx="0">
                  <c:v>1.0064519999999999</c:v>
                </c:pt>
                <c:pt idx="1">
                  <c:v>1.7501199999999999</c:v>
                </c:pt>
                <c:pt idx="2" formatCode="#,##0">
                  <c:v>1.514621</c:v>
                </c:pt>
                <c:pt idx="3" formatCode="#,##0">
                  <c:v>2.5273639999999999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D9-4BD2-84A7-91F9E5688D1E}"/>
            </c:ext>
          </c:extLst>
        </c:ser>
        <c:ser>
          <c:idx val="5"/>
          <c:order val="5"/>
          <c:tx>
            <c:strRef>
              <c:f>'Outcomes of RC informal'!$H$236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informal'!$P$243:$P$246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0.54641900000000021</c:v>
                  </c:pt>
                  <c:pt idx="2">
                    <c:v>0.57308700000000012</c:v>
                  </c:pt>
                  <c:pt idx="3">
                    <c:v>0.72553199999999984</c:v>
                  </c:pt>
                </c:numCache>
              </c:numRef>
            </c:plus>
            <c:minus>
              <c:numRef>
                <c:f>'Outcomes of RC informal'!$O$243:$O$246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0.433948</c:v>
                  </c:pt>
                  <c:pt idx="2">
                    <c:v>0.46487199999999995</c:v>
                  </c:pt>
                  <c:pt idx="3">
                    <c:v>0.59155900000000017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informal'!$A$237:$B$240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RC informal'!$H$237:$H$240</c:f>
              <c:numCache>
                <c:formatCode>#,##0.00000</c:formatCode>
                <c:ptCount val="4"/>
                <c:pt idx="0">
                  <c:v>1</c:v>
                </c:pt>
                <c:pt idx="1">
                  <c:v>2.108231</c:v>
                </c:pt>
                <c:pt idx="2" formatCode="#,##0">
                  <c:v>2.4618609999999999</c:v>
                </c:pt>
                <c:pt idx="3" formatCode="#,##0">
                  <c:v>3.203605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D9-4BD2-84A7-91F9E5688D1E}"/>
            </c:ext>
          </c:extLst>
        </c:ser>
        <c:ser>
          <c:idx val="6"/>
          <c:order val="6"/>
          <c:tx>
            <c:strRef>
              <c:f>'Outcomes of RC informal'!$I$236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informal'!$R$235:$R$238</c:f>
                <c:numCache>
                  <c:formatCode>General</c:formatCode>
                  <c:ptCount val="4"/>
                  <c:pt idx="0">
                    <c:v>0.12704749999999998</c:v>
                  </c:pt>
                  <c:pt idx="1">
                    <c:v>0.20557829999999999</c:v>
                  </c:pt>
                  <c:pt idx="2">
                    <c:v>8.9299200000000023E-2</c:v>
                  </c:pt>
                  <c:pt idx="3">
                    <c:v>0.14947670000000002</c:v>
                  </c:pt>
                </c:numCache>
              </c:numRef>
            </c:plus>
            <c:minus>
              <c:numRef>
                <c:f>'Outcomes of RC informal'!$Q$235:$Q$238</c:f>
                <c:numCache>
                  <c:formatCode>General</c:formatCode>
                  <c:ptCount val="4"/>
                  <c:pt idx="0">
                    <c:v>9.1148699999999999E-2</c:v>
                  </c:pt>
                  <c:pt idx="1">
                    <c:v>0.15944150000000001</c:v>
                  </c:pt>
                  <c:pt idx="2">
                    <c:v>6.4007100000000011E-2</c:v>
                  </c:pt>
                  <c:pt idx="3">
                    <c:v>0.11639720000000003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informal'!$A$237:$B$240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RC informal'!$I$237:$I$240</c:f>
              <c:numCache>
                <c:formatCode>#,##0.000000</c:formatCode>
                <c:ptCount val="4"/>
                <c:pt idx="0">
                  <c:v>0.3225806</c:v>
                </c:pt>
                <c:pt idx="1">
                  <c:v>0.71044490000000005</c:v>
                </c:pt>
                <c:pt idx="2">
                  <c:v>0.2259911</c:v>
                </c:pt>
                <c:pt idx="3" formatCode="General">
                  <c:v>0.52596500000000002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D9-4BD2-84A7-91F9E5688D1E}"/>
            </c:ext>
          </c:extLst>
        </c:ser>
        <c:ser>
          <c:idx val="7"/>
          <c:order val="7"/>
          <c:tx>
            <c:strRef>
              <c:f>'Outcomes of RC informal'!$J$236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informal'!$R$239:$R$242</c:f>
                <c:numCache>
                  <c:formatCode>General</c:formatCode>
                  <c:ptCount val="4"/>
                  <c:pt idx="0">
                    <c:v>0.16632209999999997</c:v>
                  </c:pt>
                  <c:pt idx="1">
                    <c:v>0.17096149999999999</c:v>
                  </c:pt>
                  <c:pt idx="2">
                    <c:v>6.3941200000000004E-2</c:v>
                  </c:pt>
                  <c:pt idx="3">
                    <c:v>5.8134400000000003E-2</c:v>
                  </c:pt>
                </c:numCache>
              </c:numRef>
            </c:plus>
            <c:minus>
              <c:numRef>
                <c:f>'Outcomes of RC informal'!$Q$239:$Q$242</c:f>
                <c:numCache>
                  <c:formatCode>General</c:formatCode>
                  <c:ptCount val="4"/>
                  <c:pt idx="0">
                    <c:v>0.12419429999999998</c:v>
                  </c:pt>
                  <c:pt idx="1">
                    <c:v>0.12865129999999997</c:v>
                  </c:pt>
                  <c:pt idx="2">
                    <c:v>4.1144E-2</c:v>
                  </c:pt>
                  <c:pt idx="3">
                    <c:v>4.0149900000000002E-2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informal'!$A$237:$B$240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RC informal'!$J$237:$J$240</c:f>
              <c:numCache>
                <c:formatCode>#,##0.000000</c:formatCode>
                <c:ptCount val="4"/>
                <c:pt idx="0">
                  <c:v>0.4903226</c:v>
                </c:pt>
                <c:pt idx="1">
                  <c:v>0.51983769999999996</c:v>
                </c:pt>
                <c:pt idx="2">
                  <c:v>0.11539969999999999</c:v>
                </c:pt>
                <c:pt idx="3" formatCode="General">
                  <c:v>0.1297836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D9-4BD2-84A7-91F9E5688D1E}"/>
            </c:ext>
          </c:extLst>
        </c:ser>
        <c:ser>
          <c:idx val="8"/>
          <c:order val="8"/>
          <c:tx>
            <c:strRef>
              <c:f>'Outcomes of RC informal'!$K$236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informal'!$R$243:$R$246</c:f>
                <c:numCache>
                  <c:formatCode>General</c:formatCode>
                  <c:ptCount val="4"/>
                  <c:pt idx="0">
                    <c:v>0.21911099999999994</c:v>
                  </c:pt>
                  <c:pt idx="1">
                    <c:v>0.25714400000000004</c:v>
                  </c:pt>
                  <c:pt idx="2">
                    <c:v>0.11410300000000001</c:v>
                  </c:pt>
                  <c:pt idx="3">
                    <c:v>0.17074259999999997</c:v>
                  </c:pt>
                </c:numCache>
              </c:numRef>
            </c:plus>
            <c:minus>
              <c:numRef>
                <c:f>'Outcomes of RC informal'!$Q$243:$Q$246</c:f>
                <c:numCache>
                  <c:formatCode>General</c:formatCode>
                  <c:ptCount val="4"/>
                  <c:pt idx="0">
                    <c:v>0.16812860000000007</c:v>
                  </c:pt>
                  <c:pt idx="1">
                    <c:v>0.20061620000000002</c:v>
                  </c:pt>
                  <c:pt idx="2">
                    <c:v>8.4259499999999987E-2</c:v>
                  </c:pt>
                  <c:pt idx="3">
                    <c:v>0.13378960000000006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informal'!$A$237:$B$240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RC informal'!$K$237:$K$240</c:f>
              <c:numCache>
                <c:formatCode>#,##0</c:formatCode>
                <c:ptCount val="4"/>
                <c:pt idx="0" formatCode="General">
                  <c:v>0.72258060000000002</c:v>
                </c:pt>
                <c:pt idx="1">
                  <c:v>0.91260399999999997</c:v>
                </c:pt>
                <c:pt idx="2" formatCode="General">
                  <c:v>0.32215749999999999</c:v>
                </c:pt>
                <c:pt idx="3" formatCode="General">
                  <c:v>0.61817960000000005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D9-4BD2-84A7-91F9E5688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379368"/>
        <c:axId val="451379696"/>
      </c:barChart>
      <c:catAx>
        <c:axId val="45137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79696"/>
        <c:crosses val="autoZero"/>
        <c:auto val="1"/>
        <c:lblAlgn val="ctr"/>
        <c:lblOffset val="100"/>
        <c:noMultiLvlLbl val="0"/>
      </c:catAx>
      <c:valAx>
        <c:axId val="45137969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7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RC informal'!$C$320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informal'!$O$320:$O$323</c:f>
                <c:numCache>
                  <c:formatCode>General</c:formatCode>
                  <c:ptCount val="4"/>
                  <c:pt idx="0">
                    <c:v>3.1602700000000011E-2</c:v>
                  </c:pt>
                  <c:pt idx="1">
                    <c:v>3.2476900000000003E-2</c:v>
                  </c:pt>
                  <c:pt idx="2">
                    <c:v>2.6087800000000001E-2</c:v>
                  </c:pt>
                  <c:pt idx="3">
                    <c:v>5.6869200000000009E-2</c:v>
                  </c:pt>
                </c:numCache>
              </c:numRef>
            </c:plus>
            <c:minus>
              <c:numRef>
                <c:f>'Outcomes of RC informal'!$N$320:$N$323</c:f>
                <c:numCache>
                  <c:formatCode>General</c:formatCode>
                  <c:ptCount val="4"/>
                  <c:pt idx="0">
                    <c:v>2.4113599999999999E-2</c:v>
                  </c:pt>
                  <c:pt idx="1">
                    <c:v>2.6268500000000014E-2</c:v>
                  </c:pt>
                  <c:pt idx="2">
                    <c:v>1.3565600000000001E-2</c:v>
                  </c:pt>
                  <c:pt idx="3">
                    <c:v>2.7013899999999997E-2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informal'!$A$321:$B$324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RC informal'!$C$321:$C$324</c:f>
              <c:numCache>
                <c:formatCode>#,##0.00000</c:formatCode>
                <c:ptCount val="4"/>
                <c:pt idx="0" formatCode="0.000000">
                  <c:v>0.10175439999999999</c:v>
                </c:pt>
                <c:pt idx="1">
                  <c:v>0.13741500000000001</c:v>
                </c:pt>
                <c:pt idx="2">
                  <c:v>2.8261700000000001E-2</c:v>
                </c:pt>
                <c:pt idx="3" formatCode="0.00E+00">
                  <c:v>5.1456799999999997E-2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C-408F-8C42-D7638C471414}"/>
            </c:ext>
          </c:extLst>
        </c:ser>
        <c:ser>
          <c:idx val="1"/>
          <c:order val="1"/>
          <c:tx>
            <c:strRef>
              <c:f>'Outcomes of RC informal'!$D$320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informal'!$O$324:$O$327</c:f>
                <c:numCache>
                  <c:formatCode>General</c:formatCode>
                  <c:ptCount val="4"/>
                  <c:pt idx="0">
                    <c:v>9.3401699999999921E-2</c:v>
                  </c:pt>
                  <c:pt idx="1">
                    <c:v>8.6426100000000061E-2</c:v>
                  </c:pt>
                  <c:pt idx="2">
                    <c:v>5.2324399999999993E-2</c:v>
                  </c:pt>
                  <c:pt idx="3">
                    <c:v>0.10095709999999999</c:v>
                  </c:pt>
                </c:numCache>
              </c:numRef>
            </c:plus>
            <c:minus>
              <c:numRef>
                <c:f>'Outcomes of RC informal'!$N$324:$N$327</c:f>
                <c:numCache>
                  <c:formatCode>General</c:formatCode>
                  <c:ptCount val="4"/>
                  <c:pt idx="0">
                    <c:v>8.0788500000000041E-2</c:v>
                  </c:pt>
                  <c:pt idx="1">
                    <c:v>7.5385999999999953E-2</c:v>
                  </c:pt>
                  <c:pt idx="2">
                    <c:v>3.8185100000000013E-2</c:v>
                  </c:pt>
                  <c:pt idx="3">
                    <c:v>7.1288500000000005E-2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informal'!$A$321:$B$324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RC informal'!$D$321:$D$324</c:f>
              <c:numCache>
                <c:formatCode>#,##0.00000</c:formatCode>
                <c:ptCount val="4"/>
                <c:pt idx="0">
                  <c:v>0.59824560000000004</c:v>
                </c:pt>
                <c:pt idx="1">
                  <c:v>0.59014829999999996</c:v>
                </c:pt>
                <c:pt idx="2">
                  <c:v>0.14130870000000001</c:v>
                </c:pt>
                <c:pt idx="3" formatCode="0.00E+00">
                  <c:v>0.24258209999999999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C-408F-8C42-D7638C471414}"/>
            </c:ext>
          </c:extLst>
        </c:ser>
        <c:ser>
          <c:idx val="2"/>
          <c:order val="2"/>
          <c:tx>
            <c:strRef>
              <c:f>'Outcomes of RC informal'!$E$320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informal'!$O$328:$O$331</c:f>
                <c:numCache>
                  <c:formatCode>General</c:formatCode>
                  <c:ptCount val="4"/>
                  <c:pt idx="0">
                    <c:v>3.5157800000000017E-2</c:v>
                  </c:pt>
                  <c:pt idx="1">
                    <c:v>2.3971499999999993E-2</c:v>
                  </c:pt>
                  <c:pt idx="2">
                    <c:v>2.9424699999999998E-2</c:v>
                  </c:pt>
                  <c:pt idx="3">
                    <c:v>4.928310000000001E-2</c:v>
                  </c:pt>
                </c:numCache>
              </c:numRef>
            </c:plus>
            <c:minus>
              <c:numRef>
                <c:f>'Outcomes of RC informal'!$N$328:$N$331</c:f>
                <c:numCache>
                  <c:formatCode>General</c:formatCode>
                  <c:ptCount val="4"/>
                  <c:pt idx="0">
                    <c:v>2.6673199999999994E-2</c:v>
                  </c:pt>
                  <c:pt idx="1">
                    <c:v>1.8365100000000009E-2</c:v>
                  </c:pt>
                  <c:pt idx="2">
                    <c:v>1.6522700000000001E-2</c:v>
                  </c:pt>
                  <c:pt idx="3">
                    <c:v>1.8416200000000001E-2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informal'!$A$321:$B$324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RC informal'!$E$321:$E$324</c:f>
              <c:numCache>
                <c:formatCode>#,##0.00000</c:formatCode>
                <c:ptCount val="4"/>
                <c:pt idx="0">
                  <c:v>0.11052629999999999</c:v>
                </c:pt>
                <c:pt idx="1">
                  <c:v>7.8522900000000007E-2</c:v>
                </c:pt>
                <c:pt idx="2">
                  <c:v>3.7682300000000002E-2</c:v>
                </c:pt>
                <c:pt idx="3" formatCode="0.00E+00">
                  <c:v>2.94039E-2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DC-408F-8C42-D7638C471414}"/>
            </c:ext>
          </c:extLst>
        </c:ser>
        <c:ser>
          <c:idx val="3"/>
          <c:order val="3"/>
          <c:tx>
            <c:strRef>
              <c:f>'Outcomes of RC informal'!$F$320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informal'!$Q$320:$Q$323</c:f>
                <c:numCache>
                  <c:formatCode>General</c:formatCode>
                  <c:ptCount val="4"/>
                  <c:pt idx="0">
                    <c:v>4.1988899999999996E-2</c:v>
                  </c:pt>
                  <c:pt idx="1">
                    <c:v>3.768100000000002E-2</c:v>
                  </c:pt>
                  <c:pt idx="2">
                    <c:v>3.28156E-2</c:v>
                  </c:pt>
                  <c:pt idx="3">
                    <c:v>7.8133400000000006E-2</c:v>
                  </c:pt>
                </c:numCache>
              </c:numRef>
            </c:plus>
            <c:minus>
              <c:numRef>
                <c:f>'Outcomes of RC informal'!$P$320:$P$323</c:f>
                <c:numCache>
                  <c:formatCode>General</c:formatCode>
                  <c:ptCount val="4"/>
                  <c:pt idx="0">
                    <c:v>3.3467600000000014E-2</c:v>
                  </c:pt>
                  <c:pt idx="1">
                    <c:v>3.0780799999999997E-2</c:v>
                  </c:pt>
                  <c:pt idx="2">
                    <c:v>1.98505E-2</c:v>
                  </c:pt>
                  <c:pt idx="3">
                    <c:v>4.8075099999999996E-2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informal'!$A$321:$B$324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RC informal'!$F$321:$F$324</c:f>
              <c:numCache>
                <c:formatCode>#,##0.00000</c:formatCode>
                <c:ptCount val="4"/>
                <c:pt idx="0">
                  <c:v>0.16491230000000001</c:v>
                </c:pt>
                <c:pt idx="1">
                  <c:v>0.16808799999999999</c:v>
                </c:pt>
                <c:pt idx="2">
                  <c:v>5.0243099999999999E-2</c:v>
                </c:pt>
                <c:pt idx="3" formatCode="General">
                  <c:v>0.12496649999999999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DC-408F-8C42-D7638C471414}"/>
            </c:ext>
          </c:extLst>
        </c:ser>
        <c:ser>
          <c:idx val="4"/>
          <c:order val="4"/>
          <c:tx>
            <c:strRef>
              <c:f>'Outcomes of RC informal'!$G$320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informal'!$Q$324:$Q$327</c:f>
                <c:numCache>
                  <c:formatCode>General</c:formatCode>
                  <c:ptCount val="4"/>
                  <c:pt idx="0">
                    <c:v>0.11215459999999999</c:v>
                  </c:pt>
                  <c:pt idx="1">
                    <c:v>0.16172900000000001</c:v>
                  </c:pt>
                  <c:pt idx="2">
                    <c:v>6.2405100000000019E-2</c:v>
                  </c:pt>
                  <c:pt idx="3">
                    <c:v>0.15505649999999999</c:v>
                  </c:pt>
                </c:numCache>
              </c:numRef>
            </c:plus>
            <c:minus>
              <c:numRef>
                <c:f>'Outcomes of RC informal'!$P$324:$P$327</c:f>
                <c:numCache>
                  <c:formatCode>General</c:formatCode>
                  <c:ptCount val="4"/>
                  <c:pt idx="0">
                    <c:v>9.699420000000003E-2</c:v>
                  </c:pt>
                  <c:pt idx="1">
                    <c:v>0.14260600000000001</c:v>
                  </c:pt>
                  <c:pt idx="2">
                    <c:v>4.7257500000000008E-2</c:v>
                  </c:pt>
                  <c:pt idx="3">
                    <c:v>0.11472450000000001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informal'!$A$321:$B$324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RC informal'!$G$321:$G$324</c:f>
              <c:numCache>
                <c:formatCode>#,##0.00000</c:formatCode>
                <c:ptCount val="4"/>
                <c:pt idx="0">
                  <c:v>0.71754390000000001</c:v>
                </c:pt>
                <c:pt idx="1">
                  <c:v>1.206062</c:v>
                </c:pt>
                <c:pt idx="2">
                  <c:v>0.1946919</c:v>
                </c:pt>
                <c:pt idx="3" formatCode="General">
                  <c:v>0.44105840000000002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DC-408F-8C42-D7638C471414}"/>
            </c:ext>
          </c:extLst>
        </c:ser>
        <c:ser>
          <c:idx val="5"/>
          <c:order val="5"/>
          <c:tx>
            <c:strRef>
              <c:f>'Outcomes of RC informal'!$H$320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informal'!$Q$328:$Q$331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0.19003199999999998</c:v>
                  </c:pt>
                  <c:pt idx="2">
                    <c:v>7.4543299999999979E-2</c:v>
                  </c:pt>
                  <c:pt idx="3">
                    <c:v>0.21644399999999997</c:v>
                  </c:pt>
                </c:numCache>
              </c:numRef>
            </c:plus>
            <c:minus>
              <c:numRef>
                <c:f>'Outcomes of RC informal'!$P$328:$P$331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0.16819500000000009</c:v>
                  </c:pt>
                  <c:pt idx="2">
                    <c:v>5.9385100000000024E-2</c:v>
                  </c:pt>
                  <c:pt idx="3">
                    <c:v>0.17138719999999996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informal'!$A$321:$B$324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RC informal'!$H$321:$H$324</c:f>
              <c:numCache>
                <c:formatCode>#,##0.00000</c:formatCode>
                <c:ptCount val="4"/>
                <c:pt idx="0">
                  <c:v>1</c:v>
                </c:pt>
                <c:pt idx="1">
                  <c:v>1.4637150000000001</c:v>
                </c:pt>
                <c:pt idx="2">
                  <c:v>0.29203790000000002</c:v>
                </c:pt>
                <c:pt idx="3" formatCode="#,##0">
                  <c:v>0.82330899999999996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DC-408F-8C42-D7638C471414}"/>
            </c:ext>
          </c:extLst>
        </c:ser>
        <c:ser>
          <c:idx val="6"/>
          <c:order val="6"/>
          <c:tx>
            <c:strRef>
              <c:f>'Outcomes of RC informal'!$I$320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informal'!$S$320:$S$323</c:f>
                <c:numCache>
                  <c:formatCode>General</c:formatCode>
                  <c:ptCount val="4"/>
                  <c:pt idx="0">
                    <c:v>3.194530000000001E-2</c:v>
                  </c:pt>
                  <c:pt idx="1">
                    <c:v>4.9351299999999987E-2</c:v>
                  </c:pt>
                  <c:pt idx="2">
                    <c:v>4.5667799999999981E-2</c:v>
                  </c:pt>
                  <c:pt idx="3">
                    <c:v>0.12561509999999998</c:v>
                  </c:pt>
                </c:numCache>
              </c:numRef>
            </c:plus>
            <c:minus>
              <c:numRef>
                <c:f>'Outcomes of RC informal'!$R$320:$R$323</c:f>
                <c:numCache>
                  <c:formatCode>General</c:formatCode>
                  <c:ptCount val="4"/>
                  <c:pt idx="0">
                    <c:v>2.4312500000000001E-2</c:v>
                  </c:pt>
                  <c:pt idx="1">
                    <c:v>4.1838400000000026E-2</c:v>
                  </c:pt>
                  <c:pt idx="2">
                    <c:v>3.326380000000001E-2</c:v>
                  </c:pt>
                  <c:pt idx="3">
                    <c:v>9.4988899999999987E-2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informal'!$A$321:$B$324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RC informal'!$I$321:$I$324</c:f>
              <c:numCache>
                <c:formatCode>#,##0.000000</c:formatCode>
                <c:ptCount val="4"/>
                <c:pt idx="0">
                  <c:v>0.10175439999999999</c:v>
                </c:pt>
                <c:pt idx="1">
                  <c:v>0.27483000000000002</c:v>
                </c:pt>
                <c:pt idx="2">
                  <c:v>0.12246750000000001</c:v>
                </c:pt>
                <c:pt idx="3" formatCode="General">
                  <c:v>0.38960159999999999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DC-408F-8C42-D7638C471414}"/>
            </c:ext>
          </c:extLst>
        </c:ser>
        <c:ser>
          <c:idx val="7"/>
          <c:order val="7"/>
          <c:tx>
            <c:strRef>
              <c:f>'Outcomes of RC informal'!$J$320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informal'!$S$324:$S$327</c:f>
                <c:numCache>
                  <c:formatCode>General</c:formatCode>
                  <c:ptCount val="4"/>
                  <c:pt idx="0">
                    <c:v>3.7555300000000014E-2</c:v>
                  </c:pt>
                  <c:pt idx="1">
                    <c:v>3.2776100000000002E-2</c:v>
                  </c:pt>
                  <c:pt idx="2">
                    <c:v>3.81026E-2</c:v>
                  </c:pt>
                  <c:pt idx="3">
                    <c:v>7.9693600000000003E-2</c:v>
                  </c:pt>
                </c:numCache>
              </c:numRef>
            </c:plus>
            <c:minus>
              <c:numRef>
                <c:f>'Outcomes of RC informal'!$R$324:$R$327</c:f>
                <c:numCache>
                  <c:formatCode>General</c:formatCode>
                  <c:ptCount val="4"/>
                  <c:pt idx="0">
                    <c:v>2.9301899999999992E-2</c:v>
                  </c:pt>
                  <c:pt idx="1">
                    <c:v>2.6371699999999998E-2</c:v>
                  </c:pt>
                  <c:pt idx="2">
                    <c:v>2.4943399999999998E-2</c:v>
                  </c:pt>
                  <c:pt idx="3">
                    <c:v>4.9737299999999998E-2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informal'!$A$321:$B$324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RC informal'!$J$321:$J$324</c:f>
              <c:numCache>
                <c:formatCode>#,##0.000000</c:formatCode>
                <c:ptCount val="4"/>
                <c:pt idx="0">
                  <c:v>0.13333329999999999</c:v>
                </c:pt>
                <c:pt idx="1">
                  <c:v>0.1349612</c:v>
                </c:pt>
                <c:pt idx="2">
                  <c:v>7.2224399999999994E-2</c:v>
                </c:pt>
                <c:pt idx="3" formatCode="General">
                  <c:v>0.1323175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DC-408F-8C42-D7638C471414}"/>
            </c:ext>
          </c:extLst>
        </c:ser>
        <c:ser>
          <c:idx val="8"/>
          <c:order val="8"/>
          <c:tx>
            <c:strRef>
              <c:f>'Outcomes of RC informal'!$K$320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informal'!$S$328:$S$331</c:f>
                <c:numCache>
                  <c:formatCode>General</c:formatCode>
                  <c:ptCount val="4"/>
                  <c:pt idx="0">
                    <c:v>5.2574800000000005E-2</c:v>
                  </c:pt>
                  <c:pt idx="1">
                    <c:v>6.0792400000000024E-2</c:v>
                  </c:pt>
                  <c:pt idx="2">
                    <c:v>4.8543699999999995E-2</c:v>
                  </c:pt>
                  <c:pt idx="3">
                    <c:v>0.12502769999999996</c:v>
                  </c:pt>
                </c:numCache>
              </c:numRef>
            </c:plus>
            <c:minus>
              <c:numRef>
                <c:f>'Outcomes of RC informal'!$R$328:$R$331</c:f>
                <c:numCache>
                  <c:formatCode>General</c:formatCode>
                  <c:ptCount val="4"/>
                  <c:pt idx="0">
                    <c:v>4.3138700000000002E-2</c:v>
                  </c:pt>
                  <c:pt idx="1">
                    <c:v>5.1842200000000005E-2</c:v>
                  </c:pt>
                  <c:pt idx="2">
                    <c:v>3.5252099999999995E-2</c:v>
                  </c:pt>
                  <c:pt idx="3">
                    <c:v>9.4212399999999974E-2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informal'!$A$321:$B$324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RC informal'!$K$321:$K$324</c:f>
              <c:numCache>
                <c:formatCode>#,##0</c:formatCode>
                <c:ptCount val="4"/>
                <c:pt idx="0" formatCode="General">
                  <c:v>0.24035090000000001</c:v>
                </c:pt>
                <c:pt idx="1">
                  <c:v>0.35212589999999999</c:v>
                </c:pt>
                <c:pt idx="2" formatCode="General">
                  <c:v>0.1287479</c:v>
                </c:pt>
                <c:pt idx="3" formatCode="General">
                  <c:v>0.3822506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DC-408F-8C42-D7638C471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111184"/>
        <c:axId val="764111840"/>
      </c:barChart>
      <c:catAx>
        <c:axId val="76411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11840"/>
        <c:crosses val="autoZero"/>
        <c:auto val="1"/>
        <c:lblAlgn val="ctr"/>
        <c:lblOffset val="100"/>
        <c:noMultiLvlLbl val="0"/>
      </c:catAx>
      <c:valAx>
        <c:axId val="76411184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111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RC informal'!$C$430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informal'!$N$430:$N$433</c:f>
                <c:numCache>
                  <c:formatCode>General</c:formatCode>
                  <c:ptCount val="4"/>
                  <c:pt idx="0">
                    <c:v>7.5463799999999998E-2</c:v>
                  </c:pt>
                  <c:pt idx="1">
                    <c:v>0.1028961</c:v>
                  </c:pt>
                  <c:pt idx="2">
                    <c:v>0.43028830000000007</c:v>
                  </c:pt>
                  <c:pt idx="3">
                    <c:v>0.26397130000000002</c:v>
                  </c:pt>
                </c:numCache>
              </c:numRef>
            </c:plus>
            <c:minus>
              <c:numRef>
                <c:f>'Outcomes of RC informal'!$M$430:$M$433</c:f>
                <c:numCache>
                  <c:formatCode>General</c:formatCode>
                  <c:ptCount val="4"/>
                  <c:pt idx="0">
                    <c:v>1.07242E-2</c:v>
                  </c:pt>
                  <c:pt idx="1">
                    <c:v>3.2247200000000004E-2</c:v>
                  </c:pt>
                  <c:pt idx="2">
                    <c:v>0.26936779999999999</c:v>
                  </c:pt>
                  <c:pt idx="3">
                    <c:v>0.17351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informal'!$A$431:$B$434</c:f>
              <c:multiLvlStrCache>
                <c:ptCount val="4"/>
                <c:lvl>
                  <c:pt idx="0">
                    <c:v>1980-1990</c:v>
                  </c:pt>
                  <c:pt idx="1">
                    <c:v>2010-2015</c:v>
                  </c:pt>
                  <c:pt idx="2">
                    <c:v>1980-1990</c:v>
                  </c:pt>
                  <c:pt idx="3">
                    <c:v>2010-2015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RC informal'!$C$431:$C$434</c:f>
              <c:numCache>
                <c:formatCode>#,##0.00000</c:formatCode>
                <c:ptCount val="4"/>
                <c:pt idx="0" formatCode="0.000000">
                  <c:v>1.25007E-2</c:v>
                </c:pt>
                <c:pt idx="1">
                  <c:v>4.69662E-2</c:v>
                </c:pt>
                <c:pt idx="2" formatCode="#,##0">
                  <c:v>0.72026869999999998</c:v>
                </c:pt>
                <c:pt idx="3" formatCode="General">
                  <c:v>0.50631280000000001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C-40D8-A3D1-FC7D4B835DDD}"/>
            </c:ext>
          </c:extLst>
        </c:ser>
        <c:ser>
          <c:idx val="1"/>
          <c:order val="1"/>
          <c:tx>
            <c:strRef>
              <c:f>'Outcomes of RC informal'!$D$430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informal'!$N$434:$N$437</c:f>
                <c:numCache>
                  <c:formatCode>General</c:formatCode>
                  <c:ptCount val="4"/>
                  <c:pt idx="0">
                    <c:v>0.17137839999999999</c:v>
                  </c:pt>
                  <c:pt idx="1">
                    <c:v>0.2136883</c:v>
                  </c:pt>
                  <c:pt idx="2">
                    <c:v>0.55452199999999996</c:v>
                  </c:pt>
                  <c:pt idx="3">
                    <c:v>0.44962000000000013</c:v>
                  </c:pt>
                </c:numCache>
              </c:numRef>
            </c:plus>
            <c:minus>
              <c:numRef>
                <c:f>'Outcomes of RC informal'!$M$434:$M$437</c:f>
                <c:numCache>
                  <c:formatCode>General</c:formatCode>
                  <c:ptCount val="4"/>
                  <c:pt idx="0">
                    <c:v>0.1016773</c:v>
                  </c:pt>
                  <c:pt idx="1">
                    <c:v>0.12700790000000003</c:v>
                  </c:pt>
                  <c:pt idx="2">
                    <c:v>0.35859629999999998</c:v>
                  </c:pt>
                  <c:pt idx="3">
                    <c:v>0.31826029999999994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informal'!$A$431:$B$434</c:f>
              <c:multiLvlStrCache>
                <c:ptCount val="4"/>
                <c:lvl>
                  <c:pt idx="0">
                    <c:v>1980-1990</c:v>
                  </c:pt>
                  <c:pt idx="1">
                    <c:v>2010-2015</c:v>
                  </c:pt>
                  <c:pt idx="2">
                    <c:v>1980-1990</c:v>
                  </c:pt>
                  <c:pt idx="3">
                    <c:v>2010-2015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RC informal'!$D$431:$D$434</c:f>
              <c:numCache>
                <c:formatCode>#,##0.00000</c:formatCode>
                <c:ptCount val="4"/>
                <c:pt idx="0">
                  <c:v>0.25</c:v>
                </c:pt>
                <c:pt idx="1">
                  <c:v>0.31310500000000002</c:v>
                </c:pt>
                <c:pt idx="2" formatCode="#,##0">
                  <c:v>1.0149239999999999</c:v>
                </c:pt>
                <c:pt idx="3" formatCode="#,##0">
                  <c:v>1.08934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C-40D8-A3D1-FC7D4B835DDD}"/>
            </c:ext>
          </c:extLst>
        </c:ser>
        <c:ser>
          <c:idx val="2"/>
          <c:order val="2"/>
          <c:tx>
            <c:strRef>
              <c:f>'Outcomes of RC informal'!$E$430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informal'!$N$438:$N$441</c:f>
                <c:numCache>
                  <c:formatCode>General</c:formatCode>
                  <c:ptCount val="4"/>
                  <c:pt idx="0">
                    <c:v>0.14629559999999997</c:v>
                  </c:pt>
                  <c:pt idx="1">
                    <c:v>0.17051780000000002</c:v>
                  </c:pt>
                  <c:pt idx="2">
                    <c:v>0.22309910000000002</c:v>
                  </c:pt>
                  <c:pt idx="3">
                    <c:v>0.1065498</c:v>
                  </c:pt>
                </c:numCache>
              </c:numRef>
            </c:plus>
            <c:minus>
              <c:numRef>
                <c:f>'Outcomes of RC informal'!$M$438:$M$441</c:f>
                <c:numCache>
                  <c:formatCode>General</c:formatCode>
                  <c:ptCount val="4"/>
                  <c:pt idx="0">
                    <c:v>8.4491800000000006E-2</c:v>
                  </c:pt>
                  <c:pt idx="1">
                    <c:v>9.5904099999999992E-2</c:v>
                  </c:pt>
                  <c:pt idx="2">
                    <c:v>8.2519399999999993E-2</c:v>
                  </c:pt>
                  <c:pt idx="3">
                    <c:v>3.8941499999999997E-2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informal'!$A$431:$B$434</c:f>
              <c:multiLvlStrCache>
                <c:ptCount val="4"/>
                <c:lvl>
                  <c:pt idx="0">
                    <c:v>1980-1990</c:v>
                  </c:pt>
                  <c:pt idx="1">
                    <c:v>2010-2015</c:v>
                  </c:pt>
                  <c:pt idx="2">
                    <c:v>1980-1990</c:v>
                  </c:pt>
                  <c:pt idx="3">
                    <c:v>2010-2015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RC informal'!$E$431:$E$434</c:f>
              <c:numCache>
                <c:formatCode>#,##0.00000</c:formatCode>
                <c:ptCount val="4"/>
                <c:pt idx="0">
                  <c:v>0.2</c:v>
                </c:pt>
                <c:pt idx="1">
                  <c:v>0.21917349999999999</c:v>
                </c:pt>
                <c:pt idx="2">
                  <c:v>0.13095789999999999</c:v>
                </c:pt>
                <c:pt idx="3" formatCode="General">
                  <c:v>6.1371299999999997E-2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5C-40D8-A3D1-FC7D4B835DDD}"/>
            </c:ext>
          </c:extLst>
        </c:ser>
        <c:ser>
          <c:idx val="3"/>
          <c:order val="3"/>
          <c:tx>
            <c:strRef>
              <c:f>'Outcomes of RC informal'!$F$430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informal'!$P$430:$P$433</c:f>
                <c:numCache>
                  <c:formatCode>General</c:formatCode>
                  <c:ptCount val="4"/>
                  <c:pt idx="0">
                    <c:v>0.15734770000000003</c:v>
                  </c:pt>
                  <c:pt idx="1">
                    <c:v>0.22010869999999999</c:v>
                  </c:pt>
                  <c:pt idx="2">
                    <c:v>0.27736230000000006</c:v>
                  </c:pt>
                  <c:pt idx="3">
                    <c:v>0.14488619999999997</c:v>
                  </c:pt>
                </c:numCache>
              </c:numRef>
            </c:plus>
            <c:minus>
              <c:numRef>
                <c:f>'Outcomes of RC informal'!$O$430:$O$433</c:f>
                <c:numCache>
                  <c:formatCode>General</c:formatCode>
                  <c:ptCount val="4"/>
                  <c:pt idx="0">
                    <c:v>9.4644299999999987E-2</c:v>
                  </c:pt>
                  <c:pt idx="1">
                    <c:v>0.13660380000000003</c:v>
                  </c:pt>
                  <c:pt idx="2">
                    <c:v>0.13470899999999997</c:v>
                  </c:pt>
                  <c:pt idx="3">
                    <c:v>7.4517400000000011E-2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informal'!$A$431:$B$434</c:f>
              <c:multiLvlStrCache>
                <c:ptCount val="4"/>
                <c:lvl>
                  <c:pt idx="0">
                    <c:v>1980-1990</c:v>
                  </c:pt>
                  <c:pt idx="1">
                    <c:v>2010-2015</c:v>
                  </c:pt>
                  <c:pt idx="2">
                    <c:v>1980-1990</c:v>
                  </c:pt>
                  <c:pt idx="3">
                    <c:v>2010-2015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RC informal'!$F$431:$F$434</c:f>
              <c:numCache>
                <c:formatCode>#,##0.00000</c:formatCode>
                <c:ptCount val="4"/>
                <c:pt idx="0">
                  <c:v>0.23749999999999999</c:v>
                </c:pt>
                <c:pt idx="1">
                  <c:v>0.36007070000000002</c:v>
                </c:pt>
                <c:pt idx="2">
                  <c:v>0.26191589999999998</c:v>
                </c:pt>
                <c:pt idx="3" formatCode="General">
                  <c:v>0.15342810000000001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5C-40D8-A3D1-FC7D4B835DDD}"/>
            </c:ext>
          </c:extLst>
        </c:ser>
        <c:ser>
          <c:idx val="4"/>
          <c:order val="4"/>
          <c:tx>
            <c:strRef>
              <c:f>'Outcomes of RC informal'!$G$430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informal'!$P$434:$P$437</c:f>
                <c:numCache>
                  <c:formatCode>General</c:formatCode>
                  <c:ptCount val="4"/>
                  <c:pt idx="0">
                    <c:v>0.32921199999999995</c:v>
                  </c:pt>
                  <c:pt idx="1">
                    <c:v>0.52721400000000007</c:v>
                  </c:pt>
                  <c:pt idx="2">
                    <c:v>0.69756600000000013</c:v>
                  </c:pt>
                  <c:pt idx="3">
                    <c:v>0.95946499999999979</c:v>
                  </c:pt>
                </c:numCache>
              </c:numRef>
            </c:plus>
            <c:minus>
              <c:numRef>
                <c:f>'Outcomes of RC informal'!$O$434:$O$437</c:f>
                <c:numCache>
                  <c:formatCode>General</c:formatCode>
                  <c:ptCount val="4"/>
                  <c:pt idx="0">
                    <c:v>0.22640499999999997</c:v>
                  </c:pt>
                  <c:pt idx="1">
                    <c:v>0.37633719999999993</c:v>
                  </c:pt>
                  <c:pt idx="2">
                    <c:v>0.45111289999999993</c:v>
                  </c:pt>
                  <c:pt idx="3">
                    <c:v>0.69806600000000008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informal'!$A$431:$B$434</c:f>
              <c:multiLvlStrCache>
                <c:ptCount val="4"/>
                <c:lvl>
                  <c:pt idx="0">
                    <c:v>1980-1990</c:v>
                  </c:pt>
                  <c:pt idx="1">
                    <c:v>2010-2015</c:v>
                  </c:pt>
                  <c:pt idx="2">
                    <c:v>1980-1990</c:v>
                  </c:pt>
                  <c:pt idx="3">
                    <c:v>2010-2015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RC informal'!$G$431:$G$434</c:f>
              <c:numCache>
                <c:formatCode>#,##0.00000</c:formatCode>
                <c:ptCount val="4"/>
                <c:pt idx="0">
                  <c:v>0.72499999999999998</c:v>
                </c:pt>
                <c:pt idx="1">
                  <c:v>1.3150409999999999</c:v>
                </c:pt>
                <c:pt idx="2" formatCode="#,##0">
                  <c:v>1.27684</c:v>
                </c:pt>
                <c:pt idx="3" formatCode="#,##0">
                  <c:v>2.5622500000000001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5C-40D8-A3D1-FC7D4B835DDD}"/>
            </c:ext>
          </c:extLst>
        </c:ser>
        <c:ser>
          <c:idx val="5"/>
          <c:order val="5"/>
          <c:tx>
            <c:strRef>
              <c:f>'Outcomes of RC informal'!$H$430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informal'!$P$438:$P$441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0.55093399999999981</c:v>
                  </c:pt>
                  <c:pt idx="2">
                    <c:v>1.5592449999999998</c:v>
                  </c:pt>
                  <c:pt idx="3">
                    <c:v>2.3343340000000001</c:v>
                  </c:pt>
                </c:numCache>
              </c:numRef>
            </c:plus>
            <c:minus>
              <c:numRef>
                <c:f>'Outcomes of RC informal'!$O$438:$O$441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0.40314800000000006</c:v>
                  </c:pt>
                  <c:pt idx="2">
                    <c:v>1.1240220000000005</c:v>
                  </c:pt>
                  <c:pt idx="3">
                    <c:v>1.7607080000000002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informal'!$A$431:$B$434</c:f>
              <c:multiLvlStrCache>
                <c:ptCount val="4"/>
                <c:lvl>
                  <c:pt idx="0">
                    <c:v>1980-1990</c:v>
                  </c:pt>
                  <c:pt idx="1">
                    <c:v>2010-2015</c:v>
                  </c:pt>
                  <c:pt idx="2">
                    <c:v>1980-1990</c:v>
                  </c:pt>
                  <c:pt idx="3">
                    <c:v>2010-2015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RC informal'!$H$431:$H$434</c:f>
              <c:numCache>
                <c:formatCode>#,##0.00000</c:formatCode>
                <c:ptCount val="4"/>
                <c:pt idx="0">
                  <c:v>1</c:v>
                </c:pt>
                <c:pt idx="1">
                  <c:v>1.502904</c:v>
                </c:pt>
                <c:pt idx="2" formatCode="#,##0">
                  <c:v>4.0269570000000003</c:v>
                </c:pt>
                <c:pt idx="3" formatCode="#,##0">
                  <c:v>7.1650939999999999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5C-40D8-A3D1-FC7D4B835DDD}"/>
            </c:ext>
          </c:extLst>
        </c:ser>
        <c:ser>
          <c:idx val="6"/>
          <c:order val="6"/>
          <c:tx>
            <c:strRef>
              <c:f>'Outcomes of RC informal'!$I$430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informal'!$R$430:$R$433</c:f>
                <c:numCache>
                  <c:formatCode>General</c:formatCode>
                  <c:ptCount val="4"/>
                  <c:pt idx="0">
                    <c:v>0.10873070000000001</c:v>
                  </c:pt>
                  <c:pt idx="1">
                    <c:v>0.25002650000000004</c:v>
                  </c:pt>
                  <c:pt idx="2">
                    <c:v>0.32357600000000003</c:v>
                  </c:pt>
                  <c:pt idx="3">
                    <c:v>0.47988900000000001</c:v>
                  </c:pt>
                </c:numCache>
              </c:numRef>
            </c:plus>
            <c:minus>
              <c:numRef>
                <c:f>'Outcomes of RC informal'!$Q$430:$Q$433</c:f>
                <c:numCache>
                  <c:formatCode>General</c:formatCode>
                  <c:ptCount val="4"/>
                  <c:pt idx="0">
                    <c:v>5.2091599999999995E-2</c:v>
                  </c:pt>
                  <c:pt idx="1">
                    <c:v>0.15921350000000001</c:v>
                  </c:pt>
                  <c:pt idx="2">
                    <c:v>0.1774367</c:v>
                  </c:pt>
                  <c:pt idx="3">
                    <c:v>0.34126560000000006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informal'!$A$431:$B$434</c:f>
              <c:multiLvlStrCache>
                <c:ptCount val="4"/>
                <c:lvl>
                  <c:pt idx="0">
                    <c:v>1980-1990</c:v>
                  </c:pt>
                  <c:pt idx="1">
                    <c:v>2010-2015</c:v>
                  </c:pt>
                  <c:pt idx="2">
                    <c:v>1980-1990</c:v>
                  </c:pt>
                  <c:pt idx="3">
                    <c:v>2010-2015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RC informal'!$I$431:$I$434</c:f>
              <c:numCache>
                <c:formatCode>#,##0.000000</c:formatCode>
                <c:ptCount val="4"/>
                <c:pt idx="0">
                  <c:v>0.1000007</c:v>
                </c:pt>
                <c:pt idx="1">
                  <c:v>0.43834689999999998</c:v>
                </c:pt>
                <c:pt idx="2">
                  <c:v>0.3928738</c:v>
                </c:pt>
                <c:pt idx="3" formatCode="#,##0">
                  <c:v>1.181397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5C-40D8-A3D1-FC7D4B835DDD}"/>
            </c:ext>
          </c:extLst>
        </c:ser>
        <c:ser>
          <c:idx val="7"/>
          <c:order val="7"/>
          <c:tx>
            <c:strRef>
              <c:f>'Outcomes of RC informal'!$J$430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informal'!$R$434:$R$437</c:f>
                <c:numCache>
                  <c:formatCode>General</c:formatCode>
                  <c:ptCount val="4"/>
                  <c:pt idx="0">
                    <c:v>0.24720880000000001</c:v>
                  </c:pt>
                  <c:pt idx="1">
                    <c:v>0.26304799999999995</c:v>
                  </c:pt>
                  <c:pt idx="2">
                    <c:v>0.20065719999999998</c:v>
                  </c:pt>
                  <c:pt idx="3">
                    <c:v>0.12150450000000002</c:v>
                  </c:pt>
                </c:numCache>
              </c:numRef>
            </c:plus>
            <c:minus>
              <c:numRef>
                <c:f>'Outcomes of RC informal'!$Q$434:$Q$437</c:f>
                <c:numCache>
                  <c:formatCode>General</c:formatCode>
                  <c:ptCount val="4"/>
                  <c:pt idx="0">
                    <c:v>0.16676719999999995</c:v>
                  </c:pt>
                  <c:pt idx="1">
                    <c:v>0.17248150000000001</c:v>
                  </c:pt>
                  <c:pt idx="2">
                    <c:v>4.9368899999999993E-2</c:v>
                  </c:pt>
                  <c:pt idx="3">
                    <c:v>5.2375199999999997E-2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informal'!$A$431:$B$434</c:f>
              <c:multiLvlStrCache>
                <c:ptCount val="4"/>
                <c:lvl>
                  <c:pt idx="0">
                    <c:v>1980-1990</c:v>
                  </c:pt>
                  <c:pt idx="1">
                    <c:v>2010-2015</c:v>
                  </c:pt>
                  <c:pt idx="2">
                    <c:v>1980-1990</c:v>
                  </c:pt>
                  <c:pt idx="3">
                    <c:v>2010-2015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RC informal'!$J$431:$J$434</c:f>
              <c:numCache>
                <c:formatCode>#,##0.000000</c:formatCode>
                <c:ptCount val="4"/>
                <c:pt idx="0">
                  <c:v>0.51249999999999996</c:v>
                </c:pt>
                <c:pt idx="1">
                  <c:v>0.50096790000000002</c:v>
                </c:pt>
                <c:pt idx="2">
                  <c:v>6.5479099999999998E-2</c:v>
                </c:pt>
                <c:pt idx="3" formatCode="General">
                  <c:v>9.2056899999999997E-2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5C-40D8-A3D1-FC7D4B835DDD}"/>
            </c:ext>
          </c:extLst>
        </c:ser>
        <c:ser>
          <c:idx val="8"/>
          <c:order val="8"/>
          <c:tx>
            <c:strRef>
              <c:f>'Outcomes of RC informal'!$K$430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informal'!$R$438:$R$441</c:f>
                <c:numCache>
                  <c:formatCode>General</c:formatCode>
                  <c:ptCount val="4"/>
                  <c:pt idx="0">
                    <c:v>0.31596499999999994</c:v>
                  </c:pt>
                  <c:pt idx="1">
                    <c:v>0.46758199999999994</c:v>
                  </c:pt>
                  <c:pt idx="2">
                    <c:v>0.2358344</c:v>
                  </c:pt>
                  <c:pt idx="3">
                    <c:v>0.24394180000000004</c:v>
                  </c:pt>
                </c:numCache>
              </c:numRef>
            </c:plus>
            <c:minus>
              <c:numRef>
                <c:f>'Outcomes of RC informal'!$Q$438:$Q$441</c:f>
                <c:numCache>
                  <c:formatCode>General</c:formatCode>
                  <c:ptCount val="4"/>
                  <c:pt idx="0">
                    <c:v>0.22005989999999997</c:v>
                  </c:pt>
                  <c:pt idx="1">
                    <c:v>0.33811259999999999</c:v>
                  </c:pt>
                  <c:pt idx="2">
                    <c:v>9.6626799999999999E-2</c:v>
                  </c:pt>
                  <c:pt idx="3">
                    <c:v>0.15755910000000001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informal'!$A$431:$B$434</c:f>
              <c:multiLvlStrCache>
                <c:ptCount val="4"/>
                <c:lvl>
                  <c:pt idx="0">
                    <c:v>1980-1990</c:v>
                  </c:pt>
                  <c:pt idx="1">
                    <c:v>2010-2015</c:v>
                  </c:pt>
                  <c:pt idx="2">
                    <c:v>1980-1990</c:v>
                  </c:pt>
                  <c:pt idx="3">
                    <c:v>2010-2015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RC informal'!$K$431:$K$434</c:f>
              <c:numCache>
                <c:formatCode>#,##0</c:formatCode>
                <c:ptCount val="4"/>
                <c:pt idx="0">
                  <c:v>0.72499999999999998</c:v>
                </c:pt>
                <c:pt idx="1">
                  <c:v>1.221109</c:v>
                </c:pt>
                <c:pt idx="2" formatCode="0.00E+00">
                  <c:v>0.16369739999999999</c:v>
                </c:pt>
                <c:pt idx="3" formatCode="General">
                  <c:v>0.44494159999999999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5C-40D8-A3D1-FC7D4B835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891064"/>
        <c:axId val="588894344"/>
      </c:barChart>
      <c:catAx>
        <c:axId val="58889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94344"/>
        <c:crosses val="autoZero"/>
        <c:auto val="1"/>
        <c:lblAlgn val="ctr"/>
        <c:lblOffset val="100"/>
        <c:noMultiLvlLbl val="0"/>
      </c:catAx>
      <c:valAx>
        <c:axId val="588894344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910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RM informal'!$C$48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of RM informal'!$B$49:$B$52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RM informal'!$C$49:$C$52</c:f>
              <c:numCache>
                <c:formatCode>#,##0.00000</c:formatCode>
                <c:ptCount val="4"/>
                <c:pt idx="0" formatCode="0.000000">
                  <c:v>3.0710600000000001E-2</c:v>
                </c:pt>
                <c:pt idx="1">
                  <c:v>0.14671909999999999</c:v>
                </c:pt>
                <c:pt idx="2">
                  <c:v>0.21628430000000001</c:v>
                </c:pt>
                <c:pt idx="3">
                  <c:v>0.22702929999999999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D-46F8-825D-EC116D92890F}"/>
            </c:ext>
          </c:extLst>
        </c:ser>
        <c:ser>
          <c:idx val="1"/>
          <c:order val="1"/>
          <c:tx>
            <c:strRef>
              <c:f>'Outcomes of RM informal'!$D$48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of RM informal'!$B$49:$B$52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RM informal'!$D$49:$D$52</c:f>
              <c:numCache>
                <c:formatCode>#,##0.00000</c:formatCode>
                <c:ptCount val="4"/>
                <c:pt idx="0">
                  <c:v>0.11708250000000001</c:v>
                </c:pt>
                <c:pt idx="1">
                  <c:v>0.28215210000000002</c:v>
                </c:pt>
                <c:pt idx="2">
                  <c:v>0.3849861</c:v>
                </c:pt>
                <c:pt idx="3">
                  <c:v>0.97298260000000003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D-46F8-825D-EC116D92890F}"/>
            </c:ext>
          </c:extLst>
        </c:ser>
        <c:ser>
          <c:idx val="2"/>
          <c:order val="2"/>
          <c:tx>
            <c:strRef>
              <c:f>'Outcomes of RM informal'!$E$48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of RM informal'!$B$49:$B$52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RM informal'!$E$49:$E$52</c:f>
              <c:numCache>
                <c:formatCode>#,##0.00000</c:formatCode>
                <c:ptCount val="4"/>
                <c:pt idx="0">
                  <c:v>0.81957769999999996</c:v>
                </c:pt>
                <c:pt idx="1">
                  <c:v>1.884776</c:v>
                </c:pt>
                <c:pt idx="2">
                  <c:v>2.7338339999999999</c:v>
                </c:pt>
                <c:pt idx="3">
                  <c:v>3.1459769999999998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7D-46F8-825D-EC116D92890F}"/>
            </c:ext>
          </c:extLst>
        </c:ser>
        <c:ser>
          <c:idx val="3"/>
          <c:order val="3"/>
          <c:tx>
            <c:strRef>
              <c:f>'Outcomes of RM informal'!$F$48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of RM informal'!$B$49:$B$52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RM informal'!$F$49:$F$52</c:f>
              <c:numCache>
                <c:formatCode>#,##0.00000</c:formatCode>
                <c:ptCount val="4"/>
                <c:pt idx="0">
                  <c:v>0.36852210000000002</c:v>
                </c:pt>
                <c:pt idx="1">
                  <c:v>0.81824110000000005</c:v>
                </c:pt>
                <c:pt idx="2">
                  <c:v>0.9992335</c:v>
                </c:pt>
                <c:pt idx="3">
                  <c:v>1.070281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7D-46F8-825D-EC116D92890F}"/>
            </c:ext>
          </c:extLst>
        </c:ser>
        <c:ser>
          <c:idx val="4"/>
          <c:order val="4"/>
          <c:tx>
            <c:strRef>
              <c:f>'Outcomes of RM informal'!$G$48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'Outcomes of RM informal'!$B$49:$B$52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RM informal'!$G$49:$G$52</c:f>
              <c:numCache>
                <c:formatCode>#,##0.00000</c:formatCode>
                <c:ptCount val="4"/>
                <c:pt idx="0">
                  <c:v>1.7332050000000001</c:v>
                </c:pt>
                <c:pt idx="1">
                  <c:v>5.406034</c:v>
                </c:pt>
                <c:pt idx="2">
                  <c:v>7.8165149999999999</c:v>
                </c:pt>
                <c:pt idx="3">
                  <c:v>10.86497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7D-46F8-825D-EC116D92890F}"/>
            </c:ext>
          </c:extLst>
        </c:ser>
        <c:ser>
          <c:idx val="5"/>
          <c:order val="5"/>
          <c:tx>
            <c:strRef>
              <c:f>'Outcomes of RM informal'!$H$48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'Outcomes of RM informal'!$B$49:$B$52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RM informal'!$H$49:$H$52</c:f>
              <c:numCache>
                <c:formatCode>#,##0.00000</c:formatCode>
                <c:ptCount val="4"/>
                <c:pt idx="0">
                  <c:v>1</c:v>
                </c:pt>
                <c:pt idx="1">
                  <c:v>3.171389</c:v>
                </c:pt>
                <c:pt idx="2">
                  <c:v>2.9241640000000002</c:v>
                </c:pt>
                <c:pt idx="3">
                  <c:v>6.7784459999999997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7D-46F8-825D-EC116D92890F}"/>
            </c:ext>
          </c:extLst>
        </c:ser>
        <c:ser>
          <c:idx val="6"/>
          <c:order val="6"/>
          <c:tx>
            <c:strRef>
              <c:f>'Outcomes of RM informal'!$I$48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of RM informal'!$B$49:$B$52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RM informal'!$I$49:$I$52</c:f>
              <c:numCache>
                <c:formatCode>General</c:formatCode>
                <c:ptCount val="4"/>
                <c:pt idx="0">
                  <c:v>9.9808099999999997E-2</c:v>
                </c:pt>
                <c:pt idx="1">
                  <c:v>0.25957989999999997</c:v>
                </c:pt>
                <c:pt idx="2">
                  <c:v>0.33740350000000002</c:v>
                </c:pt>
                <c:pt idx="3">
                  <c:v>0.55135679999999998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7D-46F8-825D-EC116D92890F}"/>
            </c:ext>
          </c:extLst>
        </c:ser>
        <c:ser>
          <c:idx val="7"/>
          <c:order val="7"/>
          <c:tx>
            <c:strRef>
              <c:f>'Outcomes of RM informal'!$J$48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of RM informal'!$B$49:$B$52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RM informal'!$J$49:$J$52</c:f>
              <c:numCache>
                <c:formatCode>#,##0</c:formatCode>
                <c:ptCount val="4"/>
                <c:pt idx="0">
                  <c:v>0.1247601</c:v>
                </c:pt>
                <c:pt idx="1">
                  <c:v>0.3047243</c:v>
                </c:pt>
                <c:pt idx="2">
                  <c:v>0.35038059999999999</c:v>
                </c:pt>
                <c:pt idx="3">
                  <c:v>0.77838609999999997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7D-46F8-825D-EC116D92890F}"/>
            </c:ext>
          </c:extLst>
        </c:ser>
        <c:ser>
          <c:idx val="8"/>
          <c:order val="8"/>
          <c:tx>
            <c:strRef>
              <c:f>'Outcomes of RM informal'!$K$48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of RM informal'!$B$49:$B$52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RM informal'!$K$49:$K$52</c:f>
              <c:numCache>
                <c:formatCode>#,##0</c:formatCode>
                <c:ptCount val="4"/>
                <c:pt idx="0" formatCode="General">
                  <c:v>0.69097889999999995</c:v>
                </c:pt>
                <c:pt idx="1">
                  <c:v>1.80013</c:v>
                </c:pt>
                <c:pt idx="2">
                  <c:v>2.6992280000000002</c:v>
                </c:pt>
                <c:pt idx="3">
                  <c:v>4.7676150000000002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7D-46F8-825D-EC116D928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804776"/>
        <c:axId val="644807072"/>
      </c:barChart>
      <c:catAx>
        <c:axId val="64480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07072"/>
        <c:crosses val="autoZero"/>
        <c:auto val="1"/>
        <c:lblAlgn val="ctr"/>
        <c:lblOffset val="100"/>
        <c:noMultiLvlLbl val="0"/>
      </c:catAx>
      <c:valAx>
        <c:axId val="6448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0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RM informal'!$C$237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informal'!$N$237:$N$240</c:f>
                <c:numCache>
                  <c:formatCode>General</c:formatCode>
                  <c:ptCount val="4"/>
                  <c:pt idx="0">
                    <c:v>3.2103499999999993E-2</c:v>
                  </c:pt>
                  <c:pt idx="1">
                    <c:v>4.5053199999999988E-2</c:v>
                  </c:pt>
                  <c:pt idx="2">
                    <c:v>7.2289700000000012E-2</c:v>
                  </c:pt>
                  <c:pt idx="3">
                    <c:v>0.10475909999999999</c:v>
                  </c:pt>
                </c:numCache>
              </c:numRef>
            </c:plus>
            <c:minus>
              <c:numRef>
                <c:f>'Outcomes of RM informal'!$M$237:$M$240</c:f>
                <c:numCache>
                  <c:formatCode>General</c:formatCode>
                  <c:ptCount val="4"/>
                  <c:pt idx="0">
                    <c:v>2.2304699999999997E-2</c:v>
                  </c:pt>
                  <c:pt idx="1">
                    <c:v>3.2802000000000012E-2</c:v>
                  </c:pt>
                  <c:pt idx="2">
                    <c:v>2.6950499999999999E-2</c:v>
                  </c:pt>
                  <c:pt idx="3">
                    <c:v>5.1728800000000005E-2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informal'!$A$238:$B$241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RM informal'!$C$238:$C$241</c:f>
              <c:numCache>
                <c:formatCode>#,##0.00000</c:formatCode>
                <c:ptCount val="4"/>
                <c:pt idx="0" formatCode="0.000000">
                  <c:v>7.30769E-2</c:v>
                </c:pt>
                <c:pt idx="1">
                  <c:v>0.12062870000000001</c:v>
                </c:pt>
                <c:pt idx="2">
                  <c:v>4.2970399999999999E-2</c:v>
                </c:pt>
                <c:pt idx="3" formatCode="General">
                  <c:v>0.1021881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D-4F15-8C35-6439FDD4095A}"/>
            </c:ext>
          </c:extLst>
        </c:ser>
        <c:ser>
          <c:idx val="1"/>
          <c:order val="1"/>
          <c:tx>
            <c:strRef>
              <c:f>'Outcomes of RM informal'!$D$237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informal'!$N$241:$N$244</c:f>
                <c:numCache>
                  <c:formatCode>General</c:formatCode>
                  <c:ptCount val="4"/>
                  <c:pt idx="0">
                    <c:v>4.9074200000000012E-2</c:v>
                  </c:pt>
                  <c:pt idx="1">
                    <c:v>6.4941599999999988E-2</c:v>
                  </c:pt>
                  <c:pt idx="2">
                    <c:v>0.11443490000000003</c:v>
                  </c:pt>
                  <c:pt idx="3">
                    <c:v>0.1704021</c:v>
                  </c:pt>
                </c:numCache>
              </c:numRef>
            </c:plus>
            <c:minus>
              <c:numRef>
                <c:f>'Outcomes of RM informal'!$M$241:$M$244</c:f>
                <c:numCache>
                  <c:formatCode>General</c:formatCode>
                  <c:ptCount val="4"/>
                  <c:pt idx="0">
                    <c:v>3.85963E-2</c:v>
                  </c:pt>
                  <c:pt idx="1">
                    <c:v>5.0710500000000019E-2</c:v>
                  </c:pt>
                  <c:pt idx="2">
                    <c:v>7.0351599999999986E-2</c:v>
                  </c:pt>
                  <c:pt idx="3">
                    <c:v>0.11111170000000001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informal'!$A$238:$B$241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RM informal'!$D$238:$D$241</c:f>
              <c:numCache>
                <c:formatCode>#,##0.00000</c:formatCode>
                <c:ptCount val="4"/>
                <c:pt idx="0">
                  <c:v>0.18076919999999999</c:v>
                </c:pt>
                <c:pt idx="1">
                  <c:v>0.23141020000000001</c:v>
                </c:pt>
                <c:pt idx="2">
                  <c:v>0.18262419999999999</c:v>
                </c:pt>
                <c:pt idx="3" formatCode="General">
                  <c:v>0.31933790000000001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D-4F15-8C35-6439FDD4095A}"/>
            </c:ext>
          </c:extLst>
        </c:ser>
        <c:ser>
          <c:idx val="2"/>
          <c:order val="2"/>
          <c:tx>
            <c:strRef>
              <c:f>'Outcomes of RM informal'!$E$237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informal'!$N$245:$N$248</c:f>
                <c:numCache>
                  <c:formatCode>General</c:formatCode>
                  <c:ptCount val="4"/>
                  <c:pt idx="0">
                    <c:v>0.21419699999999997</c:v>
                  </c:pt>
                  <c:pt idx="1">
                    <c:v>0.26490299999999989</c:v>
                  </c:pt>
                  <c:pt idx="2">
                    <c:v>0.17303239999999998</c:v>
                  </c:pt>
                  <c:pt idx="3">
                    <c:v>0.25122949999999988</c:v>
                  </c:pt>
                </c:numCache>
              </c:numRef>
            </c:plus>
            <c:minus>
              <c:numRef>
                <c:f>'Outcomes of RM informal'!$M$245:$M$248</c:f>
                <c:numCache>
                  <c:formatCode>General</c:formatCode>
                  <c:ptCount val="4"/>
                  <c:pt idx="0">
                    <c:v>0.18546499999999999</c:v>
                  </c:pt>
                  <c:pt idx="1">
                    <c:v>0.22805600000000004</c:v>
                  </c:pt>
                  <c:pt idx="2">
                    <c:v>0.12506830000000002</c:v>
                  </c:pt>
                  <c:pt idx="3">
                    <c:v>0.19145830000000008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informal'!$A$238:$B$241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RM informal'!$E$238:$E$241</c:f>
              <c:numCache>
                <c:formatCode>#,##0.00000</c:formatCode>
                <c:ptCount val="4"/>
                <c:pt idx="0">
                  <c:v>1.382692</c:v>
                </c:pt>
                <c:pt idx="1">
                  <c:v>1.6395660000000001</c:v>
                </c:pt>
                <c:pt idx="2">
                  <c:v>0.45118910000000001</c:v>
                </c:pt>
                <c:pt idx="3" formatCode="General">
                  <c:v>0.80473150000000004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D-4F15-8C35-6439FDD4095A}"/>
            </c:ext>
          </c:extLst>
        </c:ser>
        <c:ser>
          <c:idx val="3"/>
          <c:order val="3"/>
          <c:tx>
            <c:strRef>
              <c:f>'Outcomes of RM informal'!$F$237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informal'!$P$237:$P$240</c:f>
                <c:numCache>
                  <c:formatCode>General</c:formatCode>
                  <c:ptCount val="4"/>
                  <c:pt idx="0">
                    <c:v>0.10396419999999995</c:v>
                  </c:pt>
                  <c:pt idx="1">
                    <c:v>0.11389579999999999</c:v>
                  </c:pt>
                  <c:pt idx="2">
                    <c:v>0.17705639999999995</c:v>
                  </c:pt>
                  <c:pt idx="3">
                    <c:v>0.18317339999999999</c:v>
                  </c:pt>
                </c:numCache>
              </c:numRef>
            </c:plus>
            <c:minus>
              <c:numRef>
                <c:f>'Outcomes of RM informal'!$O$237:$O$240</c:f>
                <c:numCache>
                  <c:formatCode>General</c:formatCode>
                  <c:ptCount val="4"/>
                  <c:pt idx="0">
                    <c:v>8.7908700000000062E-2</c:v>
                  </c:pt>
                  <c:pt idx="1">
                    <c:v>9.4890999999999948E-2</c:v>
                  </c:pt>
                  <c:pt idx="2">
                    <c:v>0.12628900000000004</c:v>
                  </c:pt>
                  <c:pt idx="3">
                    <c:v>0.1276872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informal'!$A$238:$B$241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RM informal'!$F$238:$F$241</c:f>
              <c:numCache>
                <c:formatCode>#,##0.00000</c:formatCode>
                <c:ptCount val="4"/>
                <c:pt idx="0">
                  <c:v>0.56923080000000004</c:v>
                </c:pt>
                <c:pt idx="1">
                  <c:v>0.56867829999999997</c:v>
                </c:pt>
                <c:pt idx="2">
                  <c:v>0.44044650000000002</c:v>
                </c:pt>
                <c:pt idx="3" formatCode="General">
                  <c:v>0.42152600000000001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0D-4F15-8C35-6439FDD4095A}"/>
            </c:ext>
          </c:extLst>
        </c:ser>
        <c:ser>
          <c:idx val="4"/>
          <c:order val="4"/>
          <c:tx>
            <c:strRef>
              <c:f>'Outcomes of RM informal'!$G$237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informal'!$P$241:$P$244</c:f>
                <c:numCache>
                  <c:formatCode>General</c:formatCode>
                  <c:ptCount val="4"/>
                  <c:pt idx="0">
                    <c:v>0.47878100000000012</c:v>
                  </c:pt>
                  <c:pt idx="1">
                    <c:v>0.59843699999999966</c:v>
                  </c:pt>
                  <c:pt idx="2">
                    <c:v>1.1576020000000007</c:v>
                  </c:pt>
                  <c:pt idx="3">
                    <c:v>1.245150999999999</c:v>
                  </c:pt>
                </c:numCache>
              </c:numRef>
            </c:plus>
            <c:minus>
              <c:numRef>
                <c:f>'Outcomes of RM informal'!$O$241:$O$244</c:f>
                <c:numCache>
                  <c:formatCode>General</c:formatCode>
                  <c:ptCount val="4"/>
                  <c:pt idx="0">
                    <c:v>0.40894900000000023</c:v>
                  </c:pt>
                  <c:pt idx="1">
                    <c:v>0.51963500000000007</c:v>
                  </c:pt>
                  <c:pt idx="2">
                    <c:v>0.91337399999999969</c:v>
                  </c:pt>
                  <c:pt idx="3">
                    <c:v>1.0538510000000008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informal'!$A$238:$B$241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RM informal'!$G$238:$G$241</c:f>
              <c:numCache>
                <c:formatCode>#,##0.00000</c:formatCode>
                <c:ptCount val="4"/>
                <c:pt idx="0">
                  <c:v>2.8038460000000001</c:v>
                </c:pt>
                <c:pt idx="1">
                  <c:v>3.9462820000000001</c:v>
                </c:pt>
                <c:pt idx="2" formatCode="#,##0">
                  <c:v>4.3292669999999998</c:v>
                </c:pt>
                <c:pt idx="3" formatCode="#,##0">
                  <c:v>6.8593780000000004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0D-4F15-8C35-6439FDD4095A}"/>
            </c:ext>
          </c:extLst>
        </c:ser>
        <c:ser>
          <c:idx val="5"/>
          <c:order val="5"/>
          <c:tx>
            <c:strRef>
              <c:f>'Outcomes of RM informal'!$H$237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informal'!$P$245:$P$248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0.21101000000000014</c:v>
                  </c:pt>
                  <c:pt idx="2">
                    <c:v>1.238556</c:v>
                  </c:pt>
                  <c:pt idx="3">
                    <c:v>0.93517000000000028</c:v>
                  </c:pt>
                </c:numCache>
              </c:numRef>
            </c:plus>
            <c:minus>
              <c:numRef>
                <c:f>'Outcomes of RM informal'!$O$245:$O$248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0.17997200000000002</c:v>
                  </c:pt>
                  <c:pt idx="2">
                    <c:v>1.0280310000000004</c:v>
                  </c:pt>
                  <c:pt idx="3">
                    <c:v>0.78672399999999953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informal'!$A$238:$B$241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RM informal'!$H$238:$H$241</c:f>
              <c:numCache>
                <c:formatCode>#,##0.00000</c:formatCode>
                <c:ptCount val="4"/>
                <c:pt idx="0">
                  <c:v>1</c:v>
                </c:pt>
                <c:pt idx="1">
                  <c:v>1.2235199999999999</c:v>
                </c:pt>
                <c:pt idx="2" formatCode="#,##0">
                  <c:v>6.0480830000000001</c:v>
                </c:pt>
                <c:pt idx="3" formatCode="#,##0">
                  <c:v>4.956124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0D-4F15-8C35-6439FDD4095A}"/>
            </c:ext>
          </c:extLst>
        </c:ser>
        <c:ser>
          <c:idx val="6"/>
          <c:order val="6"/>
          <c:tx>
            <c:strRef>
              <c:f>'Outcomes of RM informal'!$I$237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informal'!$R$237:$R$240</c:f>
                <c:numCache>
                  <c:formatCode>General</c:formatCode>
                  <c:ptCount val="4"/>
                  <c:pt idx="0">
                    <c:v>4.4298700000000024E-2</c:v>
                  </c:pt>
                  <c:pt idx="1">
                    <c:v>5.5875399999999992E-2</c:v>
                  </c:pt>
                  <c:pt idx="2">
                    <c:v>0.11614649999999999</c:v>
                  </c:pt>
                  <c:pt idx="3">
                    <c:v>0.14627679999999998</c:v>
                  </c:pt>
                </c:numCache>
              </c:numRef>
            </c:plus>
            <c:minus>
              <c:numRef>
                <c:f>'Outcomes of RM informal'!$Q$237:$Q$240</c:f>
                <c:numCache>
                  <c:formatCode>General</c:formatCode>
                  <c:ptCount val="4"/>
                  <c:pt idx="0">
                    <c:v>3.4394999999999995E-2</c:v>
                  </c:pt>
                  <c:pt idx="1">
                    <c:v>4.3281199999999992E-2</c:v>
                  </c:pt>
                  <c:pt idx="2">
                    <c:v>7.2561899999999999E-2</c:v>
                  </c:pt>
                  <c:pt idx="3">
                    <c:v>8.740139999999999E-2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informal'!$A$238:$B$241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RM informal'!$I$238:$I$241</c:f>
              <c:numCache>
                <c:formatCode>General</c:formatCode>
                <c:ptCount val="4"/>
                <c:pt idx="0">
                  <c:v>0.15384619999999999</c:v>
                </c:pt>
                <c:pt idx="1">
                  <c:v>0.1920212</c:v>
                </c:pt>
                <c:pt idx="2">
                  <c:v>0.19336680000000001</c:v>
                </c:pt>
                <c:pt idx="3" formatCode="0.00E+00">
                  <c:v>0.2171498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0D-4F15-8C35-6439FDD4095A}"/>
            </c:ext>
          </c:extLst>
        </c:ser>
        <c:ser>
          <c:idx val="7"/>
          <c:order val="7"/>
          <c:tx>
            <c:strRef>
              <c:f>'Outcomes of RM informal'!$J$237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informal'!$R$241:$R$244</c:f>
                <c:numCache>
                  <c:formatCode>General</c:formatCode>
                  <c:ptCount val="4"/>
                  <c:pt idx="0">
                    <c:v>5.0004099999999996E-2</c:v>
                  </c:pt>
                  <c:pt idx="1">
                    <c:v>5.5839600000000017E-2</c:v>
                  </c:pt>
                  <c:pt idx="2">
                    <c:v>0.13207820000000001</c:v>
                  </c:pt>
                  <c:pt idx="3">
                    <c:v>0.17747370000000007</c:v>
                  </c:pt>
                </c:numCache>
              </c:numRef>
            </c:plus>
            <c:minus>
              <c:numRef>
                <c:f>'Outcomes of RM informal'!$Q$241:$Q$244</c:f>
                <c:numCache>
                  <c:formatCode>General</c:formatCode>
                  <c:ptCount val="4"/>
                  <c:pt idx="0">
                    <c:v>3.9346800000000015E-2</c:v>
                  </c:pt>
                  <c:pt idx="1">
                    <c:v>4.2873399999999978E-2</c:v>
                  </c:pt>
                  <c:pt idx="2">
                    <c:v>8.6069299999999987E-2</c:v>
                  </c:pt>
                  <c:pt idx="3">
                    <c:v>0.1212974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informal'!$A$238:$B$241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RM informal'!$J$238:$J$241</c:f>
              <c:numCache>
                <c:formatCode>#,##0</c:formatCode>
                <c:ptCount val="4"/>
                <c:pt idx="0">
                  <c:v>0.18461540000000001</c:v>
                </c:pt>
                <c:pt idx="1">
                  <c:v>0.18463579999999999</c:v>
                </c:pt>
                <c:pt idx="2">
                  <c:v>0.24707979999999999</c:v>
                </c:pt>
                <c:pt idx="3" formatCode="General">
                  <c:v>0.38320549999999998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0D-4F15-8C35-6439FDD4095A}"/>
            </c:ext>
          </c:extLst>
        </c:ser>
        <c:ser>
          <c:idx val="8"/>
          <c:order val="8"/>
          <c:tx>
            <c:strRef>
              <c:f>'Outcomes of RM informal'!$K$237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informal'!$R$245:$R$248</c:f>
                <c:numCache>
                  <c:formatCode>General</c:formatCode>
                  <c:ptCount val="4"/>
                  <c:pt idx="0">
                    <c:v>0.19710300000000003</c:v>
                  </c:pt>
                  <c:pt idx="1">
                    <c:v>0.25993899999999992</c:v>
                  </c:pt>
                  <c:pt idx="2">
                    <c:v>0.65056100000000017</c:v>
                  </c:pt>
                  <c:pt idx="3">
                    <c:v>0.49194699999999991</c:v>
                  </c:pt>
                </c:numCache>
              </c:numRef>
            </c:plus>
            <c:minus>
              <c:numRef>
                <c:f>'Outcomes of RM informal'!$Q$245:$Q$248</c:f>
                <c:numCache>
                  <c:formatCode>General</c:formatCode>
                  <c:ptCount val="4"/>
                  <c:pt idx="0">
                    <c:v>0.16536380000000006</c:v>
                  </c:pt>
                  <c:pt idx="1">
                    <c:v>0.22247299999999992</c:v>
                  </c:pt>
                  <c:pt idx="2">
                    <c:v>0.45890199999999992</c:v>
                  </c:pt>
                  <c:pt idx="3">
                    <c:v>0.38813799999999987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informal'!$A$238:$B$241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RM informal'!$K$238:$K$241</c:f>
              <c:numCache>
                <c:formatCode>#,##0</c:formatCode>
                <c:ptCount val="4"/>
                <c:pt idx="0" formatCode="General">
                  <c:v>1.026923</c:v>
                </c:pt>
                <c:pt idx="1">
                  <c:v>1.543555</c:v>
                </c:pt>
                <c:pt idx="2" formatCode="General">
                  <c:v>1.557677</c:v>
                </c:pt>
                <c:pt idx="3">
                  <c:v>1.839386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0D-4F15-8C35-6439FDD40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39152"/>
        <c:axId val="597536528"/>
      </c:barChart>
      <c:catAx>
        <c:axId val="59753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36528"/>
        <c:crosses val="autoZero"/>
        <c:auto val="1"/>
        <c:lblAlgn val="ctr"/>
        <c:lblOffset val="100"/>
        <c:noMultiLvlLbl val="0"/>
      </c:catAx>
      <c:valAx>
        <c:axId val="5975365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391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RM informal'!$C$322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informal'!$N$322:$N$325</c:f>
                <c:numCache>
                  <c:formatCode>General</c:formatCode>
                  <c:ptCount val="4"/>
                  <c:pt idx="0">
                    <c:v>2.2268899999999994E-2</c:v>
                  </c:pt>
                  <c:pt idx="1">
                    <c:v>2.6855400000000001E-2</c:v>
                  </c:pt>
                  <c:pt idx="2">
                    <c:v>1.3018399999999999E-2</c:v>
                  </c:pt>
                  <c:pt idx="3">
                    <c:v>3.3607199999999997E-2</c:v>
                  </c:pt>
                </c:numCache>
              </c:numRef>
            </c:plus>
            <c:minus>
              <c:numRef>
                <c:f>'Outcomes of RM informal'!$M$322:$M$325</c:f>
                <c:numCache>
                  <c:formatCode>General</c:formatCode>
                  <c:ptCount val="4"/>
                  <c:pt idx="0">
                    <c:v>1.4881800000000001E-2</c:v>
                  </c:pt>
                  <c:pt idx="1">
                    <c:v>1.9781899999999991E-2</c:v>
                  </c:pt>
                  <c:pt idx="2">
                    <c:v>7.1430000000000018E-3</c:v>
                  </c:pt>
                  <c:pt idx="3">
                    <c:v>1.2526799999999999E-2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informal'!$A$323:$B$326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RM informal'!$C$323:$C$326</c:f>
              <c:numCache>
                <c:formatCode>#,##0.00000</c:formatCode>
                <c:ptCount val="4"/>
                <c:pt idx="0" formatCode="0.000000">
                  <c:v>4.48625E-2</c:v>
                </c:pt>
                <c:pt idx="1">
                  <c:v>7.5104099999999993E-2</c:v>
                </c:pt>
                <c:pt idx="2">
                  <c:v>1.5826900000000001E-2</c:v>
                </c:pt>
                <c:pt idx="3" formatCode="0.00E+00">
                  <c:v>1.99709E-2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0-4822-84ED-631BDAC9449B}"/>
            </c:ext>
          </c:extLst>
        </c:ser>
        <c:ser>
          <c:idx val="1"/>
          <c:order val="1"/>
          <c:tx>
            <c:strRef>
              <c:f>'Outcomes of RM informal'!$D$322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informal'!$N$326:$N$329</c:f>
                <c:numCache>
                  <c:formatCode>General</c:formatCode>
                  <c:ptCount val="4"/>
                  <c:pt idx="0">
                    <c:v>3.4873399999999985E-2</c:v>
                  </c:pt>
                  <c:pt idx="1">
                    <c:v>4.0559299999999993E-2</c:v>
                  </c:pt>
                  <c:pt idx="2">
                    <c:v>1.8194099999999998E-2</c:v>
                  </c:pt>
                  <c:pt idx="3">
                    <c:v>4.7647900000000007E-2</c:v>
                  </c:pt>
                </c:numCache>
              </c:numRef>
            </c:plus>
            <c:minus>
              <c:numRef>
                <c:f>'Outcomes of RM informal'!$M$326:$M$329</c:f>
                <c:numCache>
                  <c:formatCode>General</c:formatCode>
                  <c:ptCount val="4"/>
                  <c:pt idx="0">
                    <c:v>2.7240500000000001E-2</c:v>
                  </c:pt>
                  <c:pt idx="1">
                    <c:v>3.224479999999999E-2</c:v>
                  </c:pt>
                  <c:pt idx="2">
                    <c:v>1.2082400000000004E-2</c:v>
                  </c:pt>
                  <c:pt idx="3">
                    <c:v>2.1727899999999998E-2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informal'!$A$323:$B$326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RM informal'!$D$323:$D$326</c:f>
              <c:numCache>
                <c:formatCode>#,##0.00000</c:formatCode>
                <c:ptCount val="4"/>
                <c:pt idx="0">
                  <c:v>0.12445730000000001</c:v>
                </c:pt>
                <c:pt idx="1">
                  <c:v>0.1572935</c:v>
                </c:pt>
                <c:pt idx="2">
                  <c:v>3.5969300000000003E-2</c:v>
                </c:pt>
                <c:pt idx="3" formatCode="0.00E+00">
                  <c:v>3.99418E-2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0-4822-84ED-631BDAC9449B}"/>
            </c:ext>
          </c:extLst>
        </c:ser>
        <c:ser>
          <c:idx val="2"/>
          <c:order val="2"/>
          <c:tx>
            <c:strRef>
              <c:f>'Outcomes of RM informal'!$E$322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informal'!$N$330:$N$333</c:f>
                <c:numCache>
                  <c:formatCode>General</c:formatCode>
                  <c:ptCount val="4"/>
                  <c:pt idx="0">
                    <c:v>0.12500849999999997</c:v>
                  </c:pt>
                  <c:pt idx="1">
                    <c:v>0.13807920000000007</c:v>
                  </c:pt>
                  <c:pt idx="2">
                    <c:v>6.3042399999999998E-2</c:v>
                  </c:pt>
                  <c:pt idx="3">
                    <c:v>0.1457077</c:v>
                  </c:pt>
                </c:numCache>
              </c:numRef>
            </c:plus>
            <c:minus>
              <c:numRef>
                <c:f>'Outcomes of RM informal'!$M$330:$M$333</c:f>
                <c:numCache>
                  <c:formatCode>General</c:formatCode>
                  <c:ptCount val="4"/>
                  <c:pt idx="0">
                    <c:v>0.10779680000000003</c:v>
                  </c:pt>
                  <c:pt idx="1">
                    <c:v>0.11914049999999998</c:v>
                  </c:pt>
                  <c:pt idx="2">
                    <c:v>5.26895E-2</c:v>
                  </c:pt>
                  <c:pt idx="3">
                    <c:v>0.11701139999999999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informal'!$A$323:$B$326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RM informal'!$E$323:$E$326</c:f>
              <c:numCache>
                <c:formatCode>#,##0.00000</c:formatCode>
                <c:ptCount val="4"/>
                <c:pt idx="0">
                  <c:v>0.78292329999999999</c:v>
                </c:pt>
                <c:pt idx="1">
                  <c:v>0.86865680000000001</c:v>
                </c:pt>
                <c:pt idx="2">
                  <c:v>0.32084659999999998</c:v>
                </c:pt>
                <c:pt idx="3" formatCode="General">
                  <c:v>0.59413499999999997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20-4822-84ED-631BDAC9449B}"/>
            </c:ext>
          </c:extLst>
        </c:ser>
        <c:ser>
          <c:idx val="3"/>
          <c:order val="3"/>
          <c:tx>
            <c:strRef>
              <c:f>'Outcomes of RM informal'!$F$322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informal'!$P$322:$P$325</c:f>
                <c:numCache>
                  <c:formatCode>General</c:formatCode>
                  <c:ptCount val="4"/>
                  <c:pt idx="0">
                    <c:v>6.6975200000000013E-2</c:v>
                  </c:pt>
                  <c:pt idx="1">
                    <c:v>6.4460200000000023E-2</c:v>
                  </c:pt>
                  <c:pt idx="2">
                    <c:v>3.5017099999999995E-2</c:v>
                  </c:pt>
                  <c:pt idx="3">
                    <c:v>6.8263900000000016E-2</c:v>
                  </c:pt>
                </c:numCache>
              </c:numRef>
            </c:plus>
            <c:minus>
              <c:numRef>
                <c:f>'Outcomes of RM informal'!$O$322:$O$325</c:f>
                <c:numCache>
                  <c:formatCode>General</c:formatCode>
                  <c:ptCount val="4"/>
                  <c:pt idx="0">
                    <c:v>5.6333899999999992E-2</c:v>
                  </c:pt>
                  <c:pt idx="1">
                    <c:v>5.3893299999999977E-2</c:v>
                  </c:pt>
                  <c:pt idx="2">
                    <c:v>2.7497599999999997E-2</c:v>
                  </c:pt>
                  <c:pt idx="3">
                    <c:v>4.6892400000000001E-2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informal'!$A$323:$B$326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RM informal'!$F$323:$F$326</c:f>
              <c:numCache>
                <c:formatCode>#,##0.00000</c:formatCode>
                <c:ptCount val="4"/>
                <c:pt idx="0">
                  <c:v>0.3545586</c:v>
                </c:pt>
                <c:pt idx="1">
                  <c:v>0.32875759999999998</c:v>
                </c:pt>
                <c:pt idx="2">
                  <c:v>0.1280509</c:v>
                </c:pt>
                <c:pt idx="3" formatCode="General">
                  <c:v>0.1497819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20-4822-84ED-631BDAC9449B}"/>
            </c:ext>
          </c:extLst>
        </c:ser>
        <c:ser>
          <c:idx val="4"/>
          <c:order val="4"/>
          <c:tx>
            <c:strRef>
              <c:f>'Outcomes of RM informal'!$G$322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informal'!$P$326:$P$329</c:f>
                <c:numCache>
                  <c:formatCode>General</c:formatCode>
                  <c:ptCount val="4"/>
                  <c:pt idx="0">
                    <c:v>0.33005499999999977</c:v>
                  </c:pt>
                  <c:pt idx="1">
                    <c:v>0.36304199999999964</c:v>
                  </c:pt>
                  <c:pt idx="2">
                    <c:v>0.18652089999999999</c:v>
                  </c:pt>
                  <c:pt idx="3">
                    <c:v>0.33914199999999983</c:v>
                  </c:pt>
                </c:numCache>
              </c:numRef>
            </c:plus>
            <c:minus>
              <c:numRef>
                <c:f>'Outcomes of RM informal'!$O$326:$O$329</c:f>
                <c:numCache>
                  <c:formatCode>General</c:formatCode>
                  <c:ptCount val="4"/>
                  <c:pt idx="0">
                    <c:v>0.28076100000000004</c:v>
                  </c:pt>
                  <c:pt idx="1">
                    <c:v>0.3176540000000001</c:v>
                  </c:pt>
                  <c:pt idx="2">
                    <c:v>0.15176079999999992</c:v>
                  </c:pt>
                  <c:pt idx="3">
                    <c:v>0.28362200000000004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informal'!$A$323:$B$326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RM informal'!$G$323:$G$326</c:f>
              <c:numCache>
                <c:formatCode>#,##0.00000</c:formatCode>
                <c:ptCount val="4"/>
                <c:pt idx="0">
                  <c:v>1.8798840000000001</c:v>
                </c:pt>
                <c:pt idx="1">
                  <c:v>2.5407860000000002</c:v>
                </c:pt>
                <c:pt idx="2">
                  <c:v>0.81434609999999996</c:v>
                </c:pt>
                <c:pt idx="3" formatCode="#,##0">
                  <c:v>1.732478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20-4822-84ED-631BDAC9449B}"/>
            </c:ext>
          </c:extLst>
        </c:ser>
        <c:ser>
          <c:idx val="5"/>
          <c:order val="5"/>
          <c:tx>
            <c:strRef>
              <c:f>'Outcomes of RM informal'!$H$322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informal'!$P$330:$P$333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0.14581149999999987</c:v>
                  </c:pt>
                  <c:pt idx="2">
                    <c:v>0.1290171</c:v>
                  </c:pt>
                  <c:pt idx="3">
                    <c:v>0.21629900000000002</c:v>
                  </c:pt>
                </c:numCache>
              </c:numRef>
            </c:plus>
            <c:minus>
              <c:numRef>
                <c:f>'Outcomes of RM informal'!$O$330:$O$333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0.12652440000000009</c:v>
                  </c:pt>
                  <c:pt idx="2">
                    <c:v>0.10479720000000003</c:v>
                  </c:pt>
                  <c:pt idx="3">
                    <c:v>0.17901370000000005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informal'!$A$323:$B$326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RM informal'!$H$323:$H$326</c:f>
              <c:numCache>
                <c:formatCode>#,##0.00000</c:formatCode>
                <c:ptCount val="4"/>
                <c:pt idx="0">
                  <c:v>1</c:v>
                </c:pt>
                <c:pt idx="1">
                  <c:v>0.95651450000000005</c:v>
                </c:pt>
                <c:pt idx="2">
                  <c:v>0.55824430000000003</c:v>
                </c:pt>
                <c:pt idx="3" formatCode="General">
                  <c:v>1.0384880000000001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20-4822-84ED-631BDAC9449B}"/>
            </c:ext>
          </c:extLst>
        </c:ser>
        <c:ser>
          <c:idx val="6"/>
          <c:order val="6"/>
          <c:tx>
            <c:strRef>
              <c:f>'Outcomes of RM informal'!$I$322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informal'!$R$322:$R$325</c:f>
                <c:numCache>
                  <c:formatCode>General</c:formatCode>
                  <c:ptCount val="4"/>
                  <c:pt idx="0">
                    <c:v>2.756560000000001E-2</c:v>
                  </c:pt>
                  <c:pt idx="1">
                    <c:v>3.1132499999999994E-2</c:v>
                  </c:pt>
                  <c:pt idx="2">
                    <c:v>2.2774200000000001E-2</c:v>
                  </c:pt>
                  <c:pt idx="3">
                    <c:v>5.7061999999999988E-2</c:v>
                  </c:pt>
                </c:numCache>
              </c:numRef>
            </c:plus>
            <c:minus>
              <c:numRef>
                <c:f>'Outcomes of RM informal'!$Q$322:$Q$325</c:f>
                <c:numCache>
                  <c:formatCode>General</c:formatCode>
                  <c:ptCount val="4"/>
                  <c:pt idx="0">
                    <c:v>2.0661099999999995E-2</c:v>
                  </c:pt>
                  <c:pt idx="1">
                    <c:v>2.4005499999999999E-2</c:v>
                  </c:pt>
                  <c:pt idx="2">
                    <c:v>1.6430699999999999E-2</c:v>
                  </c:pt>
                  <c:pt idx="3">
                    <c:v>3.6311599999999999E-2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informal'!$A$323:$B$326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RM informal'!$I$323:$I$326</c:f>
              <c:numCache>
                <c:formatCode>General</c:formatCode>
                <c:ptCount val="4"/>
                <c:pt idx="0">
                  <c:v>8.2489099999999996E-2</c:v>
                </c:pt>
                <c:pt idx="1">
                  <c:v>0.10486230000000001</c:v>
                </c:pt>
                <c:pt idx="2">
                  <c:v>5.8989699999999999E-2</c:v>
                </c:pt>
                <c:pt idx="3">
                  <c:v>9.9854600000000002E-2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20-4822-84ED-631BDAC9449B}"/>
            </c:ext>
          </c:extLst>
        </c:ser>
        <c:ser>
          <c:idx val="7"/>
          <c:order val="7"/>
          <c:tx>
            <c:strRef>
              <c:f>'Outcomes of RM informal'!$J$322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informal'!$R$326:$R$329</c:f>
                <c:numCache>
                  <c:formatCode>General</c:formatCode>
                  <c:ptCount val="4"/>
                  <c:pt idx="0">
                    <c:v>3.3794900000000017E-2</c:v>
                  </c:pt>
                  <c:pt idx="1">
                    <c:v>3.5002599999999995E-2</c:v>
                  </c:pt>
                  <c:pt idx="2">
                    <c:v>2.1960400000000005E-2</c:v>
                  </c:pt>
                  <c:pt idx="3">
                    <c:v>5.2488499999999993E-2</c:v>
                  </c:pt>
                </c:numCache>
              </c:numRef>
            </c:plus>
            <c:minus>
              <c:numRef>
                <c:f>'Outcomes of RM informal'!$Q$326:$Q$329</c:f>
                <c:numCache>
                  <c:formatCode>General</c:formatCode>
                  <c:ptCount val="4"/>
                  <c:pt idx="0">
                    <c:v>2.6158899999999999E-2</c:v>
                  </c:pt>
                  <c:pt idx="1">
                    <c:v>2.739850000000002E-2</c:v>
                  </c:pt>
                  <c:pt idx="2">
                    <c:v>1.5667399999999998E-2</c:v>
                  </c:pt>
                  <c:pt idx="3">
                    <c:v>3.1675700000000001E-2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informal'!$A$323:$B$326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RM informal'!$J$323:$J$326</c:f>
              <c:numCache>
                <c:formatCode>#,##0</c:formatCode>
                <c:ptCount val="4"/>
                <c:pt idx="0">
                  <c:v>0.11577419999999999</c:v>
                </c:pt>
                <c:pt idx="1">
                  <c:v>0.12611820000000001</c:v>
                </c:pt>
                <c:pt idx="2">
                  <c:v>5.4673399999999997E-2</c:v>
                </c:pt>
                <c:pt idx="3" formatCode="General">
                  <c:v>7.9883700000000002E-2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20-4822-84ED-631BDAC9449B}"/>
            </c:ext>
          </c:extLst>
        </c:ser>
        <c:ser>
          <c:idx val="8"/>
          <c:order val="8"/>
          <c:tx>
            <c:strRef>
              <c:f>'Outcomes of RM informal'!$K$322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informal'!$R$330:$R$333</c:f>
                <c:numCache>
                  <c:formatCode>General</c:formatCode>
                  <c:ptCount val="4"/>
                  <c:pt idx="0">
                    <c:v>0.14952349999999992</c:v>
                  </c:pt>
                  <c:pt idx="1">
                    <c:v>0.14792980000000011</c:v>
                  </c:pt>
                  <c:pt idx="2">
                    <c:v>7.0320300000000002E-2</c:v>
                  </c:pt>
                  <c:pt idx="3">
                    <c:v>0.16510840000000004</c:v>
                  </c:pt>
                </c:numCache>
              </c:numRef>
            </c:plus>
            <c:minus>
              <c:numRef>
                <c:f>'Outcomes of RM informal'!$Q$330:$Q$333</c:f>
                <c:numCache>
                  <c:formatCode>General</c:formatCode>
                  <c:ptCount val="4"/>
                  <c:pt idx="0">
                    <c:v>0.12248290000000006</c:v>
                  </c:pt>
                  <c:pt idx="1">
                    <c:v>0.12707259999999998</c:v>
                  </c:pt>
                  <c:pt idx="2">
                    <c:v>5.7043899999999981E-2</c:v>
                  </c:pt>
                  <c:pt idx="3">
                    <c:v>0.13222999999999996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informal'!$A$323:$B$326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RM informal'!$K$323:$K$326</c:f>
              <c:numCache>
                <c:formatCode>#,##0</c:formatCode>
                <c:ptCount val="4"/>
                <c:pt idx="0" formatCode="General">
                  <c:v>0.67727930000000003</c:v>
                </c:pt>
                <c:pt idx="1">
                  <c:v>0.90124919999999997</c:v>
                </c:pt>
                <c:pt idx="2" formatCode="General">
                  <c:v>0.30214249999999998</c:v>
                </c:pt>
                <c:pt idx="3" formatCode="General">
                  <c:v>0.66403319999999999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20-4822-84ED-631BDAC94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101016"/>
        <c:axId val="764102328"/>
      </c:barChart>
      <c:catAx>
        <c:axId val="76410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02328"/>
        <c:crosses val="autoZero"/>
        <c:auto val="1"/>
        <c:lblAlgn val="ctr"/>
        <c:lblOffset val="100"/>
        <c:noMultiLvlLbl val="0"/>
      </c:catAx>
      <c:valAx>
        <c:axId val="76410232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0101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RM informal'!$C$433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informal'!$N$433:$N$436</c:f>
                <c:numCache>
                  <c:formatCode>General</c:formatCode>
                  <c:ptCount val="4"/>
                  <c:pt idx="0">
                    <c:v>1.1321499999999998E-2</c:v>
                  </c:pt>
                  <c:pt idx="1">
                    <c:v>2.01748E-2</c:v>
                  </c:pt>
                  <c:pt idx="2">
                    <c:v>0.63071759999999999</c:v>
                  </c:pt>
                  <c:pt idx="3">
                    <c:v>0.52837899999999993</c:v>
                  </c:pt>
                </c:numCache>
              </c:numRef>
            </c:plus>
            <c:minus>
              <c:numRef>
                <c:f>'Outcomes of RM informal'!$M$433:$M$436</c:f>
                <c:numCache>
                  <c:formatCode>General</c:formatCode>
                  <c:ptCount val="4"/>
                  <c:pt idx="0">
                    <c:v>3.6144999999999997E-3</c:v>
                  </c:pt>
                  <c:pt idx="1">
                    <c:v>7.4793000000000004E-3</c:v>
                  </c:pt>
                  <c:pt idx="2">
                    <c:v>0.22493550000000001</c:v>
                  </c:pt>
                  <c:pt idx="3">
                    <c:v>0.24862440000000002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informal'!$A$434:$B$437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RM informal'!$C$434:$C$437</c:f>
              <c:numCache>
                <c:formatCode>#,##0.00000</c:formatCode>
                <c:ptCount val="4"/>
                <c:pt idx="0" formatCode="0.000000">
                  <c:v>5.3096999999999997E-3</c:v>
                </c:pt>
                <c:pt idx="1">
                  <c:v>1.1885700000000001E-2</c:v>
                </c:pt>
                <c:pt idx="2">
                  <c:v>0.34962320000000002</c:v>
                </c:pt>
                <c:pt idx="3" formatCode="General">
                  <c:v>0.46958270000000002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7-4E10-9957-64D1FE4081A7}"/>
            </c:ext>
          </c:extLst>
        </c:ser>
        <c:ser>
          <c:idx val="1"/>
          <c:order val="1"/>
          <c:tx>
            <c:strRef>
              <c:f>'Outcomes of RM informal'!$D$433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informal'!$N$437:$N$440</c:f>
                <c:numCache>
                  <c:formatCode>General</c:formatCode>
                  <c:ptCount val="4"/>
                  <c:pt idx="0">
                    <c:v>2.1338599999999999E-2</c:v>
                  </c:pt>
                  <c:pt idx="1">
                    <c:v>3.7677200000000008E-2</c:v>
                  </c:pt>
                  <c:pt idx="2">
                    <c:v>0.3355416</c:v>
                  </c:pt>
                  <c:pt idx="3">
                    <c:v>0.30376950000000003</c:v>
                  </c:pt>
                </c:numCache>
              </c:numRef>
            </c:plus>
            <c:minus>
              <c:numRef>
                <c:f>'Outcomes of RM informal'!$M$437:$M$440</c:f>
                <c:numCache>
                  <c:formatCode>General</c:formatCode>
                  <c:ptCount val="4"/>
                  <c:pt idx="0">
                    <c:v>1.3555900000000003E-2</c:v>
                  </c:pt>
                  <c:pt idx="1">
                    <c:v>1.9770799999999998E-2</c:v>
                  </c:pt>
                  <c:pt idx="2">
                    <c:v>0.12522470000000002</c:v>
                  </c:pt>
                  <c:pt idx="3">
                    <c:v>0.12536069999999999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informal'!$A$434:$B$437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RM informal'!$D$434:$D$437</c:f>
              <c:numCache>
                <c:formatCode>#,##0.00000</c:formatCode>
                <c:ptCount val="4"/>
                <c:pt idx="0">
                  <c:v>3.7168100000000003E-2</c:v>
                </c:pt>
                <c:pt idx="1">
                  <c:v>4.1599999999999998E-2</c:v>
                </c:pt>
                <c:pt idx="2">
                  <c:v>0.19978470000000001</c:v>
                </c:pt>
                <c:pt idx="3" formatCode="General">
                  <c:v>0.21344669999999999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7-4E10-9957-64D1FE4081A7}"/>
            </c:ext>
          </c:extLst>
        </c:ser>
        <c:ser>
          <c:idx val="2"/>
          <c:order val="2"/>
          <c:tx>
            <c:strRef>
              <c:f>'Outcomes of RM informal'!$E$433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informal'!$N$441:$N$444</c:f>
                <c:numCache>
                  <c:formatCode>General</c:formatCode>
                  <c:ptCount val="4"/>
                  <c:pt idx="0">
                    <c:v>0.11639080000000002</c:v>
                  </c:pt>
                  <c:pt idx="1">
                    <c:v>0.15634270000000006</c:v>
                  </c:pt>
                  <c:pt idx="2">
                    <c:v>0.59563519999999992</c:v>
                  </c:pt>
                  <c:pt idx="3">
                    <c:v>0.55044619999999989</c:v>
                  </c:pt>
                </c:numCache>
              </c:numRef>
            </c:plus>
            <c:minus>
              <c:numRef>
                <c:f>'Outcomes of RM informal'!$M$441:$M$444</c:f>
                <c:numCache>
                  <c:formatCode>General</c:formatCode>
                  <c:ptCount val="4"/>
                  <c:pt idx="0">
                    <c:v>9.6075699999999931E-2</c:v>
                  </c:pt>
                  <c:pt idx="1">
                    <c:v>0.12713249999999998</c:v>
                  </c:pt>
                  <c:pt idx="2">
                    <c:v>0.34127030000000003</c:v>
                  </c:pt>
                  <c:pt idx="3">
                    <c:v>0.35271000000000008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informal'!$A$434:$B$437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RM informal'!$E$434:$E$437</c:f>
              <c:numCache>
                <c:formatCode>#,##0.00000</c:formatCode>
                <c:ptCount val="4"/>
                <c:pt idx="0">
                  <c:v>0.55044249999999995</c:v>
                </c:pt>
                <c:pt idx="1">
                  <c:v>0.68045699999999998</c:v>
                </c:pt>
                <c:pt idx="2">
                  <c:v>0.79913880000000004</c:v>
                </c:pt>
                <c:pt idx="3" formatCode="General">
                  <c:v>0.98185480000000003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E7-4E10-9957-64D1FE4081A7}"/>
            </c:ext>
          </c:extLst>
        </c:ser>
        <c:ser>
          <c:idx val="3"/>
          <c:order val="3"/>
          <c:tx>
            <c:strRef>
              <c:f>'Outcomes of RM informal'!$F$433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informal'!$P$433:$P$436</c:f>
                <c:numCache>
                  <c:formatCode>General</c:formatCode>
                  <c:ptCount val="4"/>
                  <c:pt idx="0">
                    <c:v>6.1706800000000034E-2</c:v>
                  </c:pt>
                  <c:pt idx="1">
                    <c:v>9.2054999999999998E-2</c:v>
                  </c:pt>
                  <c:pt idx="2">
                    <c:v>0.41379609999999994</c:v>
                  </c:pt>
                  <c:pt idx="3">
                    <c:v>0.33324809999999994</c:v>
                  </c:pt>
                </c:numCache>
              </c:numRef>
            </c:plus>
            <c:minus>
              <c:numRef>
                <c:f>'Outcomes of RM informal'!$O$433:$O$436</c:f>
                <c:numCache>
                  <c:formatCode>General</c:formatCode>
                  <c:ptCount val="4"/>
                  <c:pt idx="0">
                    <c:v>4.9261399999999983E-2</c:v>
                  </c:pt>
                  <c:pt idx="1">
                    <c:v>7.2247600000000023E-2</c:v>
                  </c:pt>
                  <c:pt idx="2">
                    <c:v>0.20327910000000002</c:v>
                  </c:pt>
                  <c:pt idx="3">
                    <c:v>0.15754970000000001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informal'!$A$434:$B$437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RM informal'!$F$434:$F$437</c:f>
              <c:numCache>
                <c:formatCode>#,##0.00000</c:formatCode>
                <c:ptCount val="4"/>
                <c:pt idx="0">
                  <c:v>0.24424779999999999</c:v>
                </c:pt>
                <c:pt idx="1">
                  <c:v>0.3357714</c:v>
                </c:pt>
                <c:pt idx="2">
                  <c:v>0.39956940000000002</c:v>
                </c:pt>
                <c:pt idx="3" formatCode="General">
                  <c:v>0.29882540000000002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E7-4E10-9957-64D1FE4081A7}"/>
            </c:ext>
          </c:extLst>
        </c:ser>
        <c:ser>
          <c:idx val="4"/>
          <c:order val="4"/>
          <c:tx>
            <c:strRef>
              <c:f>'Outcomes of RM informal'!$G$433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informal'!$P$437:$P$440</c:f>
                <c:numCache>
                  <c:formatCode>General</c:formatCode>
                  <c:ptCount val="4"/>
                  <c:pt idx="0">
                    <c:v>0.42272200000000004</c:v>
                  </c:pt>
                  <c:pt idx="1">
                    <c:v>0.49704299999999968</c:v>
                  </c:pt>
                  <c:pt idx="2">
                    <c:v>1.2172800000000001</c:v>
                  </c:pt>
                  <c:pt idx="3">
                    <c:v>0.8501660000000002</c:v>
                  </c:pt>
                </c:numCache>
              </c:numRef>
            </c:plus>
            <c:minus>
              <c:numRef>
                <c:f>'Outcomes of RM informal'!$O$437:$O$440</c:f>
                <c:numCache>
                  <c:formatCode>General</c:formatCode>
                  <c:ptCount val="4"/>
                  <c:pt idx="0">
                    <c:v>0.34714199999999984</c:v>
                  </c:pt>
                  <c:pt idx="1">
                    <c:v>0.41795500000000008</c:v>
                  </c:pt>
                  <c:pt idx="2">
                    <c:v>0.63977799999999996</c:v>
                  </c:pt>
                  <c:pt idx="3">
                    <c:v>0.58934500000000001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informal'!$A$434:$B$437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RM informal'!$G$434:$G$437</c:f>
              <c:numCache>
                <c:formatCode>#,##0.00000</c:formatCode>
                <c:ptCount val="4"/>
                <c:pt idx="0">
                  <c:v>1.9415929999999999</c:v>
                </c:pt>
                <c:pt idx="1">
                  <c:v>2.6267420000000001</c:v>
                </c:pt>
                <c:pt idx="2">
                  <c:v>1.3485469999999999</c:v>
                </c:pt>
                <c:pt idx="3" formatCode="#,##0">
                  <c:v>1.9210199999999999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E7-4E10-9957-64D1FE4081A7}"/>
            </c:ext>
          </c:extLst>
        </c:ser>
        <c:ser>
          <c:idx val="5"/>
          <c:order val="5"/>
          <c:tx>
            <c:strRef>
              <c:f>'Outcomes of RM informal'!$H$433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informal'!$P$441:$P$444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0.19971690000000009</c:v>
                  </c:pt>
                  <c:pt idx="2">
                    <c:v>1.2696640000000001</c:v>
                  </c:pt>
                  <c:pt idx="3">
                    <c:v>1.3560240000000001</c:v>
                  </c:pt>
                </c:numCache>
              </c:numRef>
            </c:plus>
            <c:minus>
              <c:numRef>
                <c:f>'Outcomes of RM informal'!$O$441:$O$444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0.16609199999999991</c:v>
                  </c:pt>
                  <c:pt idx="2">
                    <c:v>0.84732099999999977</c:v>
                  </c:pt>
                  <c:pt idx="3">
                    <c:v>0.99934700000000021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informal'!$A$434:$B$437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RM informal'!$H$434:$H$437</c:f>
              <c:numCache>
                <c:formatCode>#,##0.00000</c:formatCode>
                <c:ptCount val="4"/>
                <c:pt idx="0">
                  <c:v>1</c:v>
                </c:pt>
                <c:pt idx="1">
                  <c:v>0.98651409999999995</c:v>
                </c:pt>
                <c:pt idx="2">
                  <c:v>2.5472549999999998</c:v>
                </c:pt>
                <c:pt idx="3" formatCode="#,##0">
                  <c:v>3.7993510000000001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E7-4E10-9957-64D1FE4081A7}"/>
            </c:ext>
          </c:extLst>
        </c:ser>
        <c:ser>
          <c:idx val="6"/>
          <c:order val="6"/>
          <c:tx>
            <c:strRef>
              <c:f>'Outcomes of RM informal'!$I$433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informal'!$R$433:$R$436</c:f>
                <c:numCache>
                  <c:formatCode>General</c:formatCode>
                  <c:ptCount val="4"/>
                  <c:pt idx="0">
                    <c:v>2.1255099999999999E-2</c:v>
                  </c:pt>
                  <c:pt idx="1">
                    <c:v>3.0140700000000006E-2</c:v>
                  </c:pt>
                  <c:pt idx="2">
                    <c:v>0.4521423</c:v>
                  </c:pt>
                  <c:pt idx="3">
                    <c:v>0.44490790000000002</c:v>
                  </c:pt>
                </c:numCache>
              </c:numRef>
            </c:plus>
            <c:minus>
              <c:numRef>
                <c:f>'Outcomes of RM informal'!$Q$433:$Q$436</c:f>
                <c:numCache>
                  <c:formatCode>General</c:formatCode>
                  <c:ptCount val="4"/>
                  <c:pt idx="0">
                    <c:v>1.3522200000000002E-2</c:v>
                  </c:pt>
                  <c:pt idx="1">
                    <c:v>1.7477599999999999E-2</c:v>
                  </c:pt>
                  <c:pt idx="2">
                    <c:v>0.28197120000000003</c:v>
                  </c:pt>
                  <c:pt idx="3">
                    <c:v>0.26251369999999996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informal'!$A$434:$B$437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RM informal'!$I$434:$I$437</c:f>
              <c:numCache>
                <c:formatCode>General</c:formatCode>
                <c:ptCount val="4"/>
                <c:pt idx="0">
                  <c:v>3.7168100000000003E-2</c:v>
                </c:pt>
                <c:pt idx="1">
                  <c:v>4.1599999999999998E-2</c:v>
                </c:pt>
                <c:pt idx="2">
                  <c:v>0.74919270000000004</c:v>
                </c:pt>
                <c:pt idx="3">
                  <c:v>0.64034009999999997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E7-4E10-9957-64D1FE4081A7}"/>
            </c:ext>
          </c:extLst>
        </c:ser>
        <c:ser>
          <c:idx val="7"/>
          <c:order val="7"/>
          <c:tx>
            <c:strRef>
              <c:f>'Outcomes of RM informal'!$J$433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informal'!$R$437:$R$440</c:f>
                <c:numCache>
                  <c:formatCode>General</c:formatCode>
                  <c:ptCount val="4"/>
                  <c:pt idx="0">
                    <c:v>2.9057200000000005E-2</c:v>
                  </c:pt>
                  <c:pt idx="1">
                    <c:v>3.5015699999999997E-2</c:v>
                  </c:pt>
                  <c:pt idx="2">
                    <c:v>0.36817260000000007</c:v>
                  </c:pt>
                  <c:pt idx="3">
                    <c:v>0.37957740000000001</c:v>
                  </c:pt>
                </c:numCache>
              </c:numRef>
            </c:plus>
            <c:minus>
              <c:numRef>
                <c:f>'Outcomes of RM informal'!$Q$437:$Q$440</c:f>
                <c:numCache>
                  <c:formatCode>General</c:formatCode>
                  <c:ptCount val="4"/>
                  <c:pt idx="0">
                    <c:v>2.0290799999999998E-2</c:v>
                  </c:pt>
                  <c:pt idx="1">
                    <c:v>2.2033499999999998E-2</c:v>
                  </c:pt>
                  <c:pt idx="2">
                    <c:v>0.14880009999999999</c:v>
                  </c:pt>
                  <c:pt idx="3">
                    <c:v>0.19093839999999998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informal'!$A$434:$B$437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RM informal'!$J$434:$J$437</c:f>
              <c:numCache>
                <c:formatCode>#,##0</c:formatCode>
                <c:ptCount val="4"/>
                <c:pt idx="0">
                  <c:v>6.72566E-2</c:v>
                </c:pt>
                <c:pt idx="1">
                  <c:v>5.9428599999999998E-2</c:v>
                </c:pt>
                <c:pt idx="2">
                  <c:v>0.24973090000000001</c:v>
                </c:pt>
                <c:pt idx="3" formatCode="General">
                  <c:v>0.38420409999999999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E7-4E10-9957-64D1FE4081A7}"/>
            </c:ext>
          </c:extLst>
        </c:ser>
        <c:ser>
          <c:idx val="8"/>
          <c:order val="8"/>
          <c:tx>
            <c:strRef>
              <c:f>'Outcomes of RM informal'!$K$433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informal'!$R$441:$R$444</c:f>
                <c:numCache>
                  <c:formatCode>General</c:formatCode>
                  <c:ptCount val="4"/>
                  <c:pt idx="0">
                    <c:v>0.1777936</c:v>
                  </c:pt>
                  <c:pt idx="1">
                    <c:v>0.24894600000000011</c:v>
                  </c:pt>
                  <c:pt idx="2">
                    <c:v>0.32374619999999998</c:v>
                  </c:pt>
                  <c:pt idx="3">
                    <c:v>0.38109760000000004</c:v>
                  </c:pt>
                </c:numCache>
              </c:numRef>
            </c:plus>
            <c:minus>
              <c:numRef>
                <c:f>'Outcomes of RM informal'!$Q$441:$Q$444</c:f>
                <c:numCache>
                  <c:formatCode>General</c:formatCode>
                  <c:ptCount val="4"/>
                  <c:pt idx="0">
                    <c:v>0.14259830000000007</c:v>
                  </c:pt>
                  <c:pt idx="1">
                    <c:v>0.20473770000000002</c:v>
                  </c:pt>
                  <c:pt idx="2">
                    <c:v>0.10243070000000001</c:v>
                  </c:pt>
                  <c:pt idx="3">
                    <c:v>0.20134879999999997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RM informal'!$A$434:$B$437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RM informal'!$K$434:$K$437</c:f>
              <c:numCache>
                <c:formatCode>#,##0</c:formatCode>
                <c:ptCount val="4"/>
                <c:pt idx="0" formatCode="General">
                  <c:v>0.72035400000000005</c:v>
                </c:pt>
                <c:pt idx="1">
                  <c:v>1.152914</c:v>
                </c:pt>
                <c:pt idx="2" formatCode="General">
                  <c:v>0.14983850000000001</c:v>
                </c:pt>
                <c:pt idx="3" formatCode="General">
                  <c:v>0.42689339999999998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E7-4E10-9957-64D1FE408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367216"/>
        <c:axId val="629370496"/>
      </c:barChart>
      <c:catAx>
        <c:axId val="6293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70496"/>
        <c:crosses val="autoZero"/>
        <c:auto val="1"/>
        <c:lblAlgn val="ctr"/>
        <c:lblOffset val="100"/>
        <c:noMultiLvlLbl val="0"/>
      </c:catAx>
      <c:valAx>
        <c:axId val="62937049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6721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RM informal'!$C$143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informal'!$G$103:$G$106</c:f>
                <c:numCache>
                  <c:formatCode>General</c:formatCode>
                  <c:ptCount val="4"/>
                  <c:pt idx="0">
                    <c:v>2.0122299999999999E-2</c:v>
                  </c:pt>
                  <c:pt idx="1">
                    <c:v>4.4903600000000002E-2</c:v>
                  </c:pt>
                  <c:pt idx="2">
                    <c:v>3.5370200000000004E-2</c:v>
                  </c:pt>
                  <c:pt idx="3">
                    <c:v>8.1813600000000014E-2</c:v>
                  </c:pt>
                </c:numCache>
              </c:numRef>
            </c:plus>
            <c:minus>
              <c:numRef>
                <c:f>'Outcomes of RM informal'!$F$103:$F$106</c:f>
                <c:numCache>
                  <c:formatCode>General</c:formatCode>
                  <c:ptCount val="4"/>
                  <c:pt idx="0">
                    <c:v>1.2156800000000002E-2</c:v>
                  </c:pt>
                  <c:pt idx="1">
                    <c:v>2.8794399999999998E-2</c:v>
                  </c:pt>
                  <c:pt idx="2">
                    <c:v>2.568949999999999E-2</c:v>
                  </c:pt>
                  <c:pt idx="3">
                    <c:v>3.8539799999999999E-2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RM informal'!$B$144:$B$147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RM informal'!$C$144:$C$147</c:f>
              <c:numCache>
                <c:formatCode>#,##0.00000</c:formatCode>
                <c:ptCount val="4"/>
                <c:pt idx="0" formatCode="0.000000">
                  <c:v>3.0710600000000001E-2</c:v>
                </c:pt>
                <c:pt idx="1">
                  <c:v>8.0262500000000001E-2</c:v>
                </c:pt>
                <c:pt idx="2">
                  <c:v>9.3861299999999995E-2</c:v>
                </c:pt>
                <c:pt idx="3">
                  <c:v>7.2863499999999998E-2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F-4720-B954-3B8EF6850555}"/>
            </c:ext>
          </c:extLst>
        </c:ser>
        <c:ser>
          <c:idx val="1"/>
          <c:order val="1"/>
          <c:tx>
            <c:strRef>
              <c:f>'Outcomes of RM informal'!$D$143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informal'!$G$107:$G$110</c:f>
                <c:numCache>
                  <c:formatCode>General</c:formatCode>
                  <c:ptCount val="4"/>
                  <c:pt idx="0">
                    <c:v>3.7324899999999994E-2</c:v>
                  </c:pt>
                  <c:pt idx="1">
                    <c:v>5.59558E-2</c:v>
                  </c:pt>
                  <c:pt idx="2">
                    <c:v>4.7036899999999993E-2</c:v>
                  </c:pt>
                  <c:pt idx="3">
                    <c:v>0.14973959999999997</c:v>
                  </c:pt>
                </c:numCache>
              </c:numRef>
            </c:plus>
            <c:minus>
              <c:numRef>
                <c:f>'Outcomes of RM informal'!$F$107:$F$110</c:f>
                <c:numCache>
                  <c:formatCode>General</c:formatCode>
                  <c:ptCount val="4"/>
                  <c:pt idx="0">
                    <c:v>2.8302300000000002E-2</c:v>
                  </c:pt>
                  <c:pt idx="1">
                    <c:v>4.1067800000000015E-2</c:v>
                  </c:pt>
                  <c:pt idx="2">
                    <c:v>3.6703600000000003E-2</c:v>
                  </c:pt>
                  <c:pt idx="3">
                    <c:v>0.10120850000000001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RM informal'!$B$144:$B$147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RM informal'!$D$144:$D$147</c:f>
              <c:numCache>
                <c:formatCode>#,##0.00000</c:formatCode>
                <c:ptCount val="4"/>
                <c:pt idx="0">
                  <c:v>0.11708250000000001</c:v>
                </c:pt>
                <c:pt idx="1">
                  <c:v>0.15435090000000001</c:v>
                </c:pt>
                <c:pt idx="2">
                  <c:v>0.1670731</c:v>
                </c:pt>
                <c:pt idx="3">
                  <c:v>0.3122723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F-4720-B954-3B8EF6850555}"/>
            </c:ext>
          </c:extLst>
        </c:ser>
        <c:ser>
          <c:idx val="2"/>
          <c:order val="2"/>
          <c:tx>
            <c:strRef>
              <c:f>'Outcomes of RM informal'!$E$143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informal'!$G$111:$G$114</c:f>
                <c:numCache>
                  <c:formatCode>General</c:formatCode>
                  <c:ptCount val="4"/>
                  <c:pt idx="0">
                    <c:v>0.13408930000000008</c:v>
                  </c:pt>
                  <c:pt idx="1">
                    <c:v>0.18696599999999997</c:v>
                  </c:pt>
                  <c:pt idx="2">
                    <c:v>0.19666300000000003</c:v>
                  </c:pt>
                  <c:pt idx="3">
                    <c:v>0.27879399999999999</c:v>
                  </c:pt>
                </c:numCache>
              </c:numRef>
            </c:plus>
            <c:minus>
              <c:numRef>
                <c:f>'Outcomes of RM informal'!$F$111:$F$114</c:f>
                <c:numCache>
                  <c:formatCode>General</c:formatCode>
                  <c:ptCount val="4"/>
                  <c:pt idx="0">
                    <c:v>0.1152358</c:v>
                  </c:pt>
                  <c:pt idx="1">
                    <c:v>0.15826669999999998</c:v>
                  </c:pt>
                  <c:pt idx="2">
                    <c:v>0.16870000000000007</c:v>
                  </c:pt>
                  <c:pt idx="3">
                    <c:v>0.21846939999999992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RM informal'!$B$144:$B$147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RM informal'!$E$144:$E$147</c:f>
              <c:numCache>
                <c:formatCode>#,##0.00000</c:formatCode>
                <c:ptCount val="4"/>
                <c:pt idx="0">
                  <c:v>0.81957769999999996</c:v>
                </c:pt>
                <c:pt idx="1">
                  <c:v>1.031064</c:v>
                </c:pt>
                <c:pt idx="2">
                  <c:v>1.186407</c:v>
                </c:pt>
                <c:pt idx="3">
                  <c:v>1.0096799999999999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AF-4720-B954-3B8EF6850555}"/>
            </c:ext>
          </c:extLst>
        </c:ser>
        <c:ser>
          <c:idx val="3"/>
          <c:order val="3"/>
          <c:tx>
            <c:strRef>
              <c:f>'Outcomes of RM informal'!$F$143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informal'!$G$115:$G$118</c:f>
                <c:numCache>
                  <c:formatCode>General</c:formatCode>
                  <c:ptCount val="4"/>
                  <c:pt idx="0">
                    <c:v>7.3937199999999981E-2</c:v>
                  </c:pt>
                  <c:pt idx="1">
                    <c:v>0.10277620000000004</c:v>
                  </c:pt>
                  <c:pt idx="2">
                    <c:v>8.7452200000000035E-2</c:v>
                  </c:pt>
                  <c:pt idx="3">
                    <c:v>0.1508275</c:v>
                  </c:pt>
                </c:numCache>
              </c:numRef>
            </c:plus>
            <c:minus>
              <c:numRef>
                <c:f>'Outcomes of RM informal'!$F$115:$F$118</c:f>
                <c:numCache>
                  <c:formatCode>General</c:formatCode>
                  <c:ptCount val="4"/>
                  <c:pt idx="0">
                    <c:v>6.1582000000000026E-2</c:v>
                  </c:pt>
                  <c:pt idx="1">
                    <c:v>8.3584600000000009E-2</c:v>
                  </c:pt>
                  <c:pt idx="2">
                    <c:v>7.2775499999999993E-2</c:v>
                  </c:pt>
                  <c:pt idx="3">
                    <c:v>0.10480750000000003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RM informal'!$B$144:$B$147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RM informal'!$F$144:$F$147</c:f>
              <c:numCache>
                <c:formatCode>#,##0.00000</c:formatCode>
                <c:ptCount val="4"/>
                <c:pt idx="0">
                  <c:v>0.36852210000000002</c:v>
                </c:pt>
                <c:pt idx="1">
                  <c:v>0.4476176</c:v>
                </c:pt>
                <c:pt idx="2">
                  <c:v>0.4336391</c:v>
                </c:pt>
                <c:pt idx="3">
                  <c:v>0.34349950000000001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AF-4720-B954-3B8EF6850555}"/>
            </c:ext>
          </c:extLst>
        </c:ser>
        <c:ser>
          <c:idx val="4"/>
          <c:order val="4"/>
          <c:tx>
            <c:strRef>
              <c:f>'Outcomes of RM informal'!$G$143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informal'!$G$119:$G$122</c:f>
                <c:numCache>
                  <c:formatCode>General</c:formatCode>
                  <c:ptCount val="4"/>
                  <c:pt idx="0">
                    <c:v>0.30858800000000008</c:v>
                  </c:pt>
                  <c:pt idx="1">
                    <c:v>0.48887100000000006</c:v>
                  </c:pt>
                  <c:pt idx="2">
                    <c:v>0.51092099999999974</c:v>
                  </c:pt>
                  <c:pt idx="3">
                    <c:v>0.732294</c:v>
                  </c:pt>
                </c:numCache>
              </c:numRef>
            </c:plus>
            <c:minus>
              <c:numRef>
                <c:f>'Outcomes of RM informal'!$F$119:$F$122</c:f>
                <c:numCache>
                  <c:formatCode>General</c:formatCode>
                  <c:ptCount val="4"/>
                  <c:pt idx="0">
                    <c:v>0.26194900000000021</c:v>
                  </c:pt>
                  <c:pt idx="1">
                    <c:v>0.41952100000000003</c:v>
                  </c:pt>
                  <c:pt idx="2">
                    <c:v>0.44397600000000015</c:v>
                  </c:pt>
                  <c:pt idx="3">
                    <c:v>0.60519899999999982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RM informal'!$B$144:$B$147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RM informal'!$G$144:$G$147</c:f>
              <c:numCache>
                <c:formatCode>#,##0.00000</c:formatCode>
                <c:ptCount val="4"/>
                <c:pt idx="0">
                  <c:v>1.7332050000000001</c:v>
                </c:pt>
                <c:pt idx="1">
                  <c:v>2.957363</c:v>
                </c:pt>
                <c:pt idx="2">
                  <c:v>3.3883920000000001</c:v>
                </c:pt>
                <c:pt idx="3">
                  <c:v>3.4870399999999999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AF-4720-B954-3B8EF6850555}"/>
            </c:ext>
          </c:extLst>
        </c:ser>
        <c:ser>
          <c:idx val="5"/>
          <c:order val="5"/>
          <c:tx>
            <c:strRef>
              <c:f>'Outcomes of RM informal'!$H$143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informal'!$G$123:$G$126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0.2867900000000001</c:v>
                  </c:pt>
                  <c:pt idx="2">
                    <c:v>0.20741699999999996</c:v>
                  </c:pt>
                  <c:pt idx="3">
                    <c:v>0.51678900000000016</c:v>
                  </c:pt>
                </c:numCache>
              </c:numRef>
            </c:plus>
            <c:minus>
              <c:numRef>
                <c:f>'Outcomes of RM informal'!$F$123:$F$126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0.24610700000000008</c:v>
                  </c:pt>
                  <c:pt idx="2">
                    <c:v>0.17827700000000002</c:v>
                  </c:pt>
                  <c:pt idx="3">
                    <c:v>0.41759100000000005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RM informal'!$B$144:$B$147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RM informal'!$H$144:$H$147</c:f>
              <c:numCache>
                <c:formatCode>#,##0.00000</c:formatCode>
                <c:ptCount val="4"/>
                <c:pt idx="0">
                  <c:v>1</c:v>
                </c:pt>
                <c:pt idx="1">
                  <c:v>1.734904</c:v>
                </c:pt>
                <c:pt idx="2">
                  <c:v>1.269004</c:v>
                </c:pt>
                <c:pt idx="3">
                  <c:v>2.175497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AF-4720-B954-3B8EF6850555}"/>
            </c:ext>
          </c:extLst>
        </c:ser>
        <c:ser>
          <c:idx val="6"/>
          <c:order val="6"/>
          <c:tx>
            <c:strRef>
              <c:f>'Outcomes of RM informal'!$I$143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informal'!$G$127:$G$130</c:f>
                <c:numCache>
                  <c:formatCode>General</c:formatCode>
                  <c:ptCount val="4"/>
                  <c:pt idx="0">
                    <c:v>3.401620000000001E-2</c:v>
                  </c:pt>
                  <c:pt idx="1">
                    <c:v>5.2744399999999997E-2</c:v>
                  </c:pt>
                  <c:pt idx="2">
                    <c:v>4.3082500000000024E-2</c:v>
                  </c:pt>
                  <c:pt idx="3">
                    <c:v>0.11219289999999998</c:v>
                  </c:pt>
                </c:numCache>
              </c:numRef>
            </c:plus>
            <c:minus>
              <c:numRef>
                <c:f>'Outcomes of RM informal'!$F$127:$F$130</c:f>
                <c:numCache>
                  <c:formatCode>General</c:formatCode>
                  <c:ptCount val="4"/>
                  <c:pt idx="0">
                    <c:v>2.5369900000000001E-2</c:v>
                  </c:pt>
                  <c:pt idx="1">
                    <c:v>3.8459300000000016E-2</c:v>
                  </c:pt>
                  <c:pt idx="2">
                    <c:v>3.3288099999999987E-2</c:v>
                  </c:pt>
                  <c:pt idx="3">
                    <c:v>6.8660600000000002E-2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RM informal'!$B$144:$B$147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RM informal'!$I$144:$I$147</c:f>
              <c:numCache>
                <c:formatCode>General</c:formatCode>
                <c:ptCount val="4"/>
                <c:pt idx="0">
                  <c:v>9.9808099999999997E-2</c:v>
                </c:pt>
                <c:pt idx="1">
                  <c:v>0.14200280000000001</c:v>
                </c:pt>
                <c:pt idx="2">
                  <c:v>0.14642359999999999</c:v>
                </c:pt>
                <c:pt idx="3">
                  <c:v>0.17695430000000001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AF-4720-B954-3B8EF6850555}"/>
            </c:ext>
          </c:extLst>
        </c:ser>
        <c:ser>
          <c:idx val="7"/>
          <c:order val="7"/>
          <c:tx>
            <c:strRef>
              <c:f>'Outcomes of RM informal'!$J$143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informal'!$G$131:$G$134</c:f>
                <c:numCache>
                  <c:formatCode>General</c:formatCode>
                  <c:ptCount val="4"/>
                  <c:pt idx="0">
                    <c:v>3.97734E-2</c:v>
                  </c:pt>
                  <c:pt idx="1">
                    <c:v>5.8145699999999995E-2</c:v>
                  </c:pt>
                  <c:pt idx="2">
                    <c:v>4.4226399999999999E-2</c:v>
                  </c:pt>
                  <c:pt idx="3">
                    <c:v>0.13086909999999999</c:v>
                  </c:pt>
                </c:numCache>
              </c:numRef>
            </c:plus>
            <c:minus>
              <c:numRef>
                <c:f>'Outcomes of RM informal'!$F$131:$F$134</c:f>
                <c:numCache>
                  <c:formatCode>General</c:formatCode>
                  <c:ptCount val="4"/>
                  <c:pt idx="0">
                    <c:v>3.0158799999999999E-2</c:v>
                  </c:pt>
                  <c:pt idx="1">
                    <c:v>4.3109100000000011E-2</c:v>
                  </c:pt>
                  <c:pt idx="2">
                    <c:v>3.4261300000000008E-2</c:v>
                  </c:pt>
                  <c:pt idx="3">
                    <c:v>8.5880100000000015E-2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RM informal'!$B$144:$B$147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RM informal'!$J$144:$J$147</c:f>
              <c:numCache>
                <c:formatCode>#,##0</c:formatCode>
                <c:ptCount val="4"/>
                <c:pt idx="0">
                  <c:v>0.1247601</c:v>
                </c:pt>
                <c:pt idx="1">
                  <c:v>0.16669900000000001</c:v>
                </c:pt>
                <c:pt idx="2">
                  <c:v>0.1520553</c:v>
                </c:pt>
                <c:pt idx="3">
                  <c:v>0.24981780000000001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AF-4720-B954-3B8EF6850555}"/>
            </c:ext>
          </c:extLst>
        </c:ser>
        <c:ser>
          <c:idx val="8"/>
          <c:order val="8"/>
          <c:tx>
            <c:strRef>
              <c:f>'Outcomes of RM informal'!$K$143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RM informal'!$G$135:$G$138</c:f>
                <c:numCache>
                  <c:formatCode>General</c:formatCode>
                  <c:ptCount val="4"/>
                  <c:pt idx="0">
                    <c:v>0.14020589999999999</c:v>
                  </c:pt>
                  <c:pt idx="1">
                    <c:v>0.21247729999999998</c:v>
                  </c:pt>
                  <c:pt idx="2">
                    <c:v>0.19600499999999998</c:v>
                  </c:pt>
                  <c:pt idx="3">
                    <c:v>0.41509399999999985</c:v>
                  </c:pt>
                </c:numCache>
              </c:numRef>
            </c:plus>
            <c:minus>
              <c:numRef>
                <c:f>'Outcomes of RM informal'!$F$135:$F$138</c:f>
                <c:numCache>
                  <c:formatCode>General</c:formatCode>
                  <c:ptCount val="4"/>
                  <c:pt idx="0">
                    <c:v>0.11655569999999993</c:v>
                  </c:pt>
                  <c:pt idx="1">
                    <c:v>0.17476839999999993</c:v>
                  </c:pt>
                  <c:pt idx="2">
                    <c:v>0.16791</c:v>
                  </c:pt>
                  <c:pt idx="3">
                    <c:v>0.32651700000000017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RM informal'!$B$144:$B$147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RM informal'!$K$144:$K$147</c:f>
              <c:numCache>
                <c:formatCode>#,##0</c:formatCode>
                <c:ptCount val="4"/>
                <c:pt idx="0" formatCode="General">
                  <c:v>0.69097889999999995</c:v>
                </c:pt>
                <c:pt idx="1">
                  <c:v>0.98475869999999999</c:v>
                </c:pt>
                <c:pt idx="2">
                  <c:v>1.171389</c:v>
                </c:pt>
                <c:pt idx="3">
                  <c:v>1.5301340000000001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F-4720-B954-3B8EF6850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804776"/>
        <c:axId val="644807072"/>
      </c:barChart>
      <c:catAx>
        <c:axId val="64480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07072"/>
        <c:crosses val="autoZero"/>
        <c:auto val="1"/>
        <c:lblAlgn val="ctr"/>
        <c:lblOffset val="100"/>
        <c:noMultiLvlLbl val="0"/>
      </c:catAx>
      <c:valAx>
        <c:axId val="64480707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047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NRM informal'!$B$48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of NRM informal'!$A$49:$A$52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NRM informal'!$B$49:$B$52</c:f>
              <c:numCache>
                <c:formatCode>#,##0.00000</c:formatCode>
                <c:ptCount val="4"/>
                <c:pt idx="0" formatCode="0.000000">
                  <c:v>2.1204500000000001E-2</c:v>
                </c:pt>
                <c:pt idx="1">
                  <c:v>6.5497299999999994E-2</c:v>
                </c:pt>
                <c:pt idx="2">
                  <c:v>0.1004892</c:v>
                </c:pt>
                <c:pt idx="3">
                  <c:v>0.2279834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4-4DA4-874D-9ABEE0CCAFC9}"/>
            </c:ext>
          </c:extLst>
        </c:ser>
        <c:ser>
          <c:idx val="1"/>
          <c:order val="1"/>
          <c:tx>
            <c:strRef>
              <c:f>'Outcomes of NRM informal'!$C$48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of NRM informal'!$A$49:$A$52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NRM informal'!$C$49:$C$52</c:f>
              <c:numCache>
                <c:formatCode>#,##0.00000</c:formatCode>
                <c:ptCount val="4"/>
                <c:pt idx="0">
                  <c:v>7.2095000000000006E-2</c:v>
                </c:pt>
                <c:pt idx="1">
                  <c:v>0.24843799999999999</c:v>
                </c:pt>
                <c:pt idx="2">
                  <c:v>0.2276908</c:v>
                </c:pt>
                <c:pt idx="3">
                  <c:v>0.50290449999999998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4-4DA4-874D-9ABEE0CCAFC9}"/>
            </c:ext>
          </c:extLst>
        </c:ser>
        <c:ser>
          <c:idx val="2"/>
          <c:order val="2"/>
          <c:tx>
            <c:strRef>
              <c:f>'Outcomes of NRM informal'!$D$48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of NRM informal'!$A$49:$A$52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NRM informal'!$D$49:$D$52</c:f>
              <c:numCache>
                <c:formatCode>#,##0.00000</c:formatCode>
                <c:ptCount val="4"/>
                <c:pt idx="0">
                  <c:v>0.1391009</c:v>
                </c:pt>
                <c:pt idx="1">
                  <c:v>0.2416624</c:v>
                </c:pt>
                <c:pt idx="2">
                  <c:v>0.38160470000000002</c:v>
                </c:pt>
                <c:pt idx="3">
                  <c:v>0.36879669999999998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4-4DA4-874D-9ABEE0CCAFC9}"/>
            </c:ext>
          </c:extLst>
        </c:ser>
        <c:ser>
          <c:idx val="3"/>
          <c:order val="3"/>
          <c:tx>
            <c:strRef>
              <c:f>'Outcomes of NRM informal'!$E$48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of NRM informal'!$A$49:$A$52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NRM informal'!$E$49:$E$52</c:f>
              <c:numCache>
                <c:formatCode>#,##0.00000</c:formatCode>
                <c:ptCount val="4"/>
                <c:pt idx="0">
                  <c:v>0.3494487</c:v>
                </c:pt>
                <c:pt idx="1">
                  <c:v>0.79048439999999998</c:v>
                </c:pt>
                <c:pt idx="2">
                  <c:v>1.278376</c:v>
                </c:pt>
                <c:pt idx="3">
                  <c:v>1.0594520000000001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4-4DA4-874D-9ABEE0CCAFC9}"/>
            </c:ext>
          </c:extLst>
        </c:ser>
        <c:ser>
          <c:idx val="4"/>
          <c:order val="4"/>
          <c:tx>
            <c:strRef>
              <c:f>'Outcomes of NRM informal'!$F$48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'Outcomes of NRM informal'!$A$49:$A$52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NRM informal'!$F$49:$F$52</c:f>
              <c:numCache>
                <c:formatCode>#,##0.00000</c:formatCode>
                <c:ptCount val="4"/>
                <c:pt idx="0">
                  <c:v>0.99745550000000005</c:v>
                </c:pt>
                <c:pt idx="1">
                  <c:v>3.2997079999999999</c:v>
                </c:pt>
                <c:pt idx="2">
                  <c:v>3.8898239999999999</c:v>
                </c:pt>
                <c:pt idx="3">
                  <c:v>5.3978419999999998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4-4DA4-874D-9ABEE0CCAFC9}"/>
            </c:ext>
          </c:extLst>
        </c:ser>
        <c:ser>
          <c:idx val="5"/>
          <c:order val="5"/>
          <c:tx>
            <c:strRef>
              <c:f>'Outcomes of NRM informal'!$G$48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'Outcomes of NRM informal'!$A$49:$A$52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NRM informal'!$G$49:$G$52</c:f>
              <c:numCache>
                <c:formatCode>#,##0.00000</c:formatCode>
                <c:ptCount val="4"/>
                <c:pt idx="0">
                  <c:v>1</c:v>
                </c:pt>
                <c:pt idx="1">
                  <c:v>2.7057150000000001</c:v>
                </c:pt>
                <c:pt idx="2">
                  <c:v>2.4002940000000001</c:v>
                </c:pt>
                <c:pt idx="3">
                  <c:v>6.0884980000000004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4-4DA4-874D-9ABEE0CCAFC9}"/>
            </c:ext>
          </c:extLst>
        </c:ser>
        <c:ser>
          <c:idx val="6"/>
          <c:order val="6"/>
          <c:tx>
            <c:strRef>
              <c:f>'Outcomes of NRM informal'!$H$48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of NRM informal'!$A$49:$A$52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NRM informal'!$H$49:$H$52</c:f>
              <c:numCache>
                <c:formatCode>#,##0.000000</c:formatCode>
                <c:ptCount val="4"/>
                <c:pt idx="0">
                  <c:v>3.3078900000000001E-2</c:v>
                </c:pt>
                <c:pt idx="1">
                  <c:v>9.0341099999999994E-2</c:v>
                </c:pt>
                <c:pt idx="2">
                  <c:v>0.14119380000000001</c:v>
                </c:pt>
                <c:pt idx="3">
                  <c:v>0.221278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14-4DA4-874D-9ABEE0CCAFC9}"/>
            </c:ext>
          </c:extLst>
        </c:ser>
        <c:ser>
          <c:idx val="7"/>
          <c:order val="7"/>
          <c:tx>
            <c:strRef>
              <c:f>'Outcomes of NRM informal'!$I$48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of NRM informal'!$A$49:$A$52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NRM informal'!$I$49:$I$52</c:f>
              <c:numCache>
                <c:formatCode>#,##0.000000</c:formatCode>
                <c:ptCount val="4"/>
                <c:pt idx="0">
                  <c:v>9.4995800000000005E-2</c:v>
                </c:pt>
                <c:pt idx="1">
                  <c:v>0.28005730000000001</c:v>
                </c:pt>
                <c:pt idx="2">
                  <c:v>0.27221139999999999</c:v>
                </c:pt>
                <c:pt idx="3">
                  <c:v>0.69065560000000004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14-4DA4-874D-9ABEE0CCAFC9}"/>
            </c:ext>
          </c:extLst>
        </c:ser>
        <c:ser>
          <c:idx val="8"/>
          <c:order val="8"/>
          <c:tx>
            <c:strRef>
              <c:f>'Outcomes of NRM informal'!$J$48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of NRM informal'!$A$49:$A$52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NRM informal'!$J$49:$J$52</c:f>
              <c:numCache>
                <c:formatCode>#,##0</c:formatCode>
                <c:ptCount val="4"/>
                <c:pt idx="0" formatCode="General">
                  <c:v>0.27905000000000002</c:v>
                </c:pt>
                <c:pt idx="1">
                  <c:v>0.61431930000000001</c:v>
                </c:pt>
                <c:pt idx="2">
                  <c:v>0.79628189999999999</c:v>
                </c:pt>
                <c:pt idx="3">
                  <c:v>1.046041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14-4DA4-874D-9ABEE0CCA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644488"/>
        <c:axId val="438646784"/>
      </c:barChart>
      <c:catAx>
        <c:axId val="43864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46784"/>
        <c:crosses val="autoZero"/>
        <c:auto val="1"/>
        <c:lblAlgn val="ctr"/>
        <c:lblOffset val="100"/>
        <c:noMultiLvlLbl val="0"/>
      </c:catAx>
      <c:valAx>
        <c:axId val="4386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4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NRM informal'!$B$142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informal'!$G$103:$G$106</c:f>
                <c:numCache>
                  <c:formatCode>General</c:formatCode>
                  <c:ptCount val="4"/>
                  <c:pt idx="0">
                    <c:v>1.05553E-2</c:v>
                  </c:pt>
                  <c:pt idx="1">
                    <c:v>1.4899500000000003E-2</c:v>
                  </c:pt>
                  <c:pt idx="2">
                    <c:v>1.1479999999999997E-2</c:v>
                  </c:pt>
                  <c:pt idx="3">
                    <c:v>2.7996599999999996E-2</c:v>
                  </c:pt>
                </c:numCache>
              </c:numRef>
            </c:plus>
            <c:minus>
              <c:numRef>
                <c:f>'Outcomes of NRM informal'!$F$103:$F$106</c:f>
                <c:numCache>
                  <c:formatCode>General</c:formatCode>
                  <c:ptCount val="4"/>
                  <c:pt idx="0">
                    <c:v>7.0472000000000017E-3</c:v>
                  </c:pt>
                  <c:pt idx="1">
                    <c:v>1.0219199999999998E-2</c:v>
                  </c:pt>
                  <c:pt idx="2">
                    <c:v>8.9691999999999966E-3</c:v>
                  </c:pt>
                  <c:pt idx="3">
                    <c:v>1.9522800000000007E-2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NRM informal'!$A$143:$A$146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NRM informal'!$B$143:$B$146</c:f>
              <c:numCache>
                <c:formatCode>#,##0.00000</c:formatCode>
                <c:ptCount val="4"/>
                <c:pt idx="0" formatCode="0.000000">
                  <c:v>2.1204400000000002E-2</c:v>
                </c:pt>
                <c:pt idx="1">
                  <c:v>3.2532499999999999E-2</c:v>
                </c:pt>
                <c:pt idx="2">
                  <c:v>4.10091E-2</c:v>
                </c:pt>
                <c:pt idx="3">
                  <c:v>6.4500600000000005E-2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9-4CCA-8BDA-35A4ECD43A5D}"/>
            </c:ext>
          </c:extLst>
        </c:ser>
        <c:ser>
          <c:idx val="1"/>
          <c:order val="1"/>
          <c:tx>
            <c:strRef>
              <c:f>'Outcomes of NRM informal'!$C$142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informal'!$G$107:$G$110</c:f>
                <c:numCache>
                  <c:formatCode>General</c:formatCode>
                  <c:ptCount val="4"/>
                  <c:pt idx="0">
                    <c:v>1.8987599999999993E-2</c:v>
                  </c:pt>
                  <c:pt idx="1">
                    <c:v>2.9386599999999999E-2</c:v>
                  </c:pt>
                  <c:pt idx="2">
                    <c:v>1.8175499999999997E-2</c:v>
                  </c:pt>
                  <c:pt idx="3">
                    <c:v>4.03279E-2</c:v>
                  </c:pt>
                </c:numCache>
              </c:numRef>
            </c:plus>
            <c:minus>
              <c:numRef>
                <c:f>'Outcomes of NRM informal'!$F$107:$F$110</c:f>
                <c:numCache>
                  <c:formatCode>General</c:formatCode>
                  <c:ptCount val="4"/>
                  <c:pt idx="0">
                    <c:v>1.5029300000000009E-2</c:v>
                  </c:pt>
                  <c:pt idx="1">
                    <c:v>2.3734500000000006E-2</c:v>
                  </c:pt>
                  <c:pt idx="2">
                    <c:v>1.5201999999999993E-2</c:v>
                  </c:pt>
                  <c:pt idx="3">
                    <c:v>3.1421700000000011E-2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NRM informal'!$A$143:$A$146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NRM informal'!$C$143:$C$146</c:f>
              <c:numCache>
                <c:formatCode>#,##0.00000</c:formatCode>
                <c:ptCount val="4"/>
                <c:pt idx="0">
                  <c:v>7.2095000000000006E-2</c:v>
                </c:pt>
                <c:pt idx="1">
                  <c:v>0.1233993</c:v>
                </c:pt>
                <c:pt idx="2">
                  <c:v>9.2919399999999999E-2</c:v>
                </c:pt>
                <c:pt idx="3">
                  <c:v>0.14228060000000001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9-4CCA-8BDA-35A4ECD43A5D}"/>
            </c:ext>
          </c:extLst>
        </c:ser>
        <c:ser>
          <c:idx val="2"/>
          <c:order val="2"/>
          <c:tx>
            <c:strRef>
              <c:f>'Outcomes of NRM informal'!$D$142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informal'!$G$111:$G$114</c:f>
                <c:numCache>
                  <c:formatCode>General</c:formatCode>
                  <c:ptCount val="4"/>
                  <c:pt idx="0">
                    <c:v>2.7955499999999994E-2</c:v>
                  </c:pt>
                  <c:pt idx="1">
                    <c:v>2.9092599999999996E-2</c:v>
                  </c:pt>
                  <c:pt idx="2">
                    <c:v>2.5524899999999989E-2</c:v>
                  </c:pt>
                  <c:pt idx="3">
                    <c:v>3.3971899999999985E-2</c:v>
                  </c:pt>
                </c:numCache>
              </c:numRef>
            </c:plus>
            <c:minus>
              <c:numRef>
                <c:f>'Outcomes of NRM informal'!$F$111:$F$114</c:f>
                <c:numCache>
                  <c:formatCode>General</c:formatCode>
                  <c:ptCount val="4"/>
                  <c:pt idx="0">
                    <c:v>2.3277300000000001E-2</c:v>
                  </c:pt>
                  <c:pt idx="1">
                    <c:v>2.3416999999999993E-2</c:v>
                  </c:pt>
                  <c:pt idx="2">
                    <c:v>2.1930499999999992E-2</c:v>
                  </c:pt>
                  <c:pt idx="3">
                    <c:v>2.5627700000000003E-2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NRM informal'!$A$143:$A$146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NRM informal'!$D$143:$D$146</c:f>
              <c:numCache>
                <c:formatCode>#,##0.00000</c:formatCode>
                <c:ptCount val="4"/>
                <c:pt idx="0">
                  <c:v>0.1391009</c:v>
                </c:pt>
                <c:pt idx="1">
                  <c:v>0.1200338</c:v>
                </c:pt>
                <c:pt idx="2">
                  <c:v>0.1557308</c:v>
                </c:pt>
                <c:pt idx="3">
                  <c:v>0.1043391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9-4CCA-8BDA-35A4ECD43A5D}"/>
            </c:ext>
          </c:extLst>
        </c:ser>
        <c:ser>
          <c:idx val="3"/>
          <c:order val="3"/>
          <c:tx>
            <c:strRef>
              <c:f>'Outcomes of NRM informal'!$E$142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informal'!$G$115:$G$118</c:f>
                <c:numCache>
                  <c:formatCode>General</c:formatCode>
                  <c:ptCount val="4"/>
                  <c:pt idx="0">
                    <c:v>5.1349499999999992E-2</c:v>
                  </c:pt>
                  <c:pt idx="1">
                    <c:v>6.2287700000000001E-2</c:v>
                  </c:pt>
                  <c:pt idx="2">
                    <c:v>6.536900000000001E-2</c:v>
                  </c:pt>
                  <c:pt idx="3">
                    <c:v>6.2459500000000001E-2</c:v>
                  </c:pt>
                </c:numCache>
              </c:numRef>
            </c:plus>
            <c:minus>
              <c:numRef>
                <c:f>'Outcomes of NRM informal'!$F$115:$F$118</c:f>
                <c:numCache>
                  <c:formatCode>General</c:formatCode>
                  <c:ptCount val="4"/>
                  <c:pt idx="0">
                    <c:v>4.4770699999999997E-2</c:v>
                  </c:pt>
                  <c:pt idx="1">
                    <c:v>5.375930000000001E-2</c:v>
                  </c:pt>
                  <c:pt idx="2">
                    <c:v>5.8083799999999963E-2</c:v>
                  </c:pt>
                  <c:pt idx="3">
                    <c:v>5.1688600000000001E-2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NRM informal'!$A$143:$A$146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NRM informal'!$E$143:$E$146</c:f>
              <c:numCache>
                <c:formatCode>#,##0.00000</c:formatCode>
                <c:ptCount val="4"/>
                <c:pt idx="0">
                  <c:v>0.3494487</c:v>
                </c:pt>
                <c:pt idx="1">
                  <c:v>0.39263399999999998</c:v>
                </c:pt>
                <c:pt idx="2">
                  <c:v>0.52117899999999995</c:v>
                </c:pt>
                <c:pt idx="3">
                  <c:v>0.2997379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19-4CCA-8BDA-35A4ECD43A5D}"/>
            </c:ext>
          </c:extLst>
        </c:ser>
        <c:ser>
          <c:idx val="4"/>
          <c:order val="4"/>
          <c:tx>
            <c:strRef>
              <c:f>'Outcomes of NRM informal'!$F$142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informal'!$G$119:$G$122</c:f>
                <c:numCache>
                  <c:formatCode>General</c:formatCode>
                  <c:ptCount val="4"/>
                  <c:pt idx="0">
                    <c:v>0.1559934999999999</c:v>
                  </c:pt>
                  <c:pt idx="1">
                    <c:v>0.22712299999999996</c:v>
                  </c:pt>
                  <c:pt idx="2">
                    <c:v>0.18105600000000011</c:v>
                  </c:pt>
                  <c:pt idx="3">
                    <c:v>0.22440300000000013</c:v>
                  </c:pt>
                </c:numCache>
              </c:numRef>
            </c:plus>
            <c:minus>
              <c:numRef>
                <c:f>'Outcomes of NRM informal'!$F$119:$F$122</c:f>
                <c:numCache>
                  <c:formatCode>General</c:formatCode>
                  <c:ptCount val="4"/>
                  <c:pt idx="0">
                    <c:v>0.13489700000000004</c:v>
                  </c:pt>
                  <c:pt idx="1">
                    <c:v>0.19948100000000002</c:v>
                  </c:pt>
                  <c:pt idx="2">
                    <c:v>0.16252</c:v>
                  </c:pt>
                  <c:pt idx="3">
                    <c:v>0.19565399999999999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NRM informal'!$A$143:$A$146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NRM informal'!$F$143:$F$146</c:f>
              <c:numCache>
                <c:formatCode>#,##0.00000</c:formatCode>
                <c:ptCount val="4"/>
                <c:pt idx="0">
                  <c:v>0.99745550000000005</c:v>
                </c:pt>
                <c:pt idx="1">
                  <c:v>1.6389670000000001</c:v>
                </c:pt>
                <c:pt idx="2">
                  <c:v>1.5874159999999999</c:v>
                </c:pt>
                <c:pt idx="3">
                  <c:v>1.5271459999999999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19-4CCA-8BDA-35A4ECD43A5D}"/>
            </c:ext>
          </c:extLst>
        </c:ser>
        <c:ser>
          <c:idx val="5"/>
          <c:order val="5"/>
          <c:tx>
            <c:strRef>
              <c:f>'Outcomes of NRM informal'!$G$142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informal'!$G$123:$G$126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0.15556099999999984</c:v>
                  </c:pt>
                  <c:pt idx="2">
                    <c:v>0.11499330000000008</c:v>
                  </c:pt>
                  <c:pt idx="3">
                    <c:v>0.24646699999999999</c:v>
                  </c:pt>
                </c:numCache>
              </c:numRef>
            </c:plus>
            <c:minus>
              <c:numRef>
                <c:f>'Outcomes of NRM informal'!$F$123:$F$126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0.13942300000000007</c:v>
                  </c:pt>
                  <c:pt idx="2">
                    <c:v>0.102912</c:v>
                  </c:pt>
                  <c:pt idx="3">
                    <c:v>0.21558600000000006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NRM informal'!$A$143:$A$146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NRM informal'!$G$143:$G$146</c:f>
              <c:numCache>
                <c:formatCode>#,##0.00000</c:formatCode>
                <c:ptCount val="4"/>
                <c:pt idx="0">
                  <c:v>1</c:v>
                </c:pt>
                <c:pt idx="1">
                  <c:v>1.3439300000000001</c:v>
                </c:pt>
                <c:pt idx="2">
                  <c:v>0.97954669999999999</c:v>
                </c:pt>
                <c:pt idx="3">
                  <c:v>1.720647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19-4CCA-8BDA-35A4ECD43A5D}"/>
            </c:ext>
          </c:extLst>
        </c:ser>
        <c:ser>
          <c:idx val="6"/>
          <c:order val="6"/>
          <c:tx>
            <c:strRef>
              <c:f>'Outcomes of NRM informal'!$H$142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informal'!$G$127:$G$130</c:f>
                <c:numCache>
                  <c:formatCode>General</c:formatCode>
                  <c:ptCount val="4"/>
                  <c:pt idx="0">
                    <c:v>1.2861199999999996E-2</c:v>
                  </c:pt>
                  <c:pt idx="1">
                    <c:v>1.7279599999999999E-2</c:v>
                  </c:pt>
                  <c:pt idx="2">
                    <c:v>1.3508900000000004E-2</c:v>
                  </c:pt>
                  <c:pt idx="3">
                    <c:v>2.6713699999999993E-2</c:v>
                  </c:pt>
                </c:numCache>
              </c:numRef>
            </c:plus>
            <c:minus>
              <c:numRef>
                <c:f>'Outcomes of NRM informal'!$F$127:$F$130</c:f>
                <c:numCache>
                  <c:formatCode>General</c:formatCode>
                  <c:ptCount val="4"/>
                  <c:pt idx="0">
                    <c:v>9.2606000000000008E-3</c:v>
                  </c:pt>
                  <c:pt idx="1">
                    <c:v>1.2475600000000003E-2</c:v>
                  </c:pt>
                  <c:pt idx="2">
                    <c:v>1.0943300000000003E-2</c:v>
                  </c:pt>
                  <c:pt idx="3">
                    <c:v>1.8724000000000005E-2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NRM informal'!$A$143:$A$146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NRM informal'!$H$143:$H$146</c:f>
              <c:numCache>
                <c:formatCode>#,##0.000000</c:formatCode>
                <c:ptCount val="4"/>
                <c:pt idx="0">
                  <c:v>3.3078900000000001E-2</c:v>
                </c:pt>
                <c:pt idx="1">
                  <c:v>4.4872500000000003E-2</c:v>
                </c:pt>
                <c:pt idx="2">
                  <c:v>5.7620400000000002E-2</c:v>
                </c:pt>
                <c:pt idx="3">
                  <c:v>6.2603500000000006E-2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19-4CCA-8BDA-35A4ECD43A5D}"/>
            </c:ext>
          </c:extLst>
        </c:ser>
        <c:ser>
          <c:idx val="7"/>
          <c:order val="7"/>
          <c:tx>
            <c:strRef>
              <c:f>'Outcomes of NRM informal'!$I$142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informal'!$G$131:$G$134</c:f>
                <c:numCache>
                  <c:formatCode>General</c:formatCode>
                  <c:ptCount val="4"/>
                  <c:pt idx="0">
                    <c:v>2.2794700000000001E-2</c:v>
                  </c:pt>
                  <c:pt idx="1">
                    <c:v>3.1104400000000004E-2</c:v>
                  </c:pt>
                  <c:pt idx="2">
                    <c:v>2.0458099999999993E-2</c:v>
                  </c:pt>
                  <c:pt idx="3">
                    <c:v>4.9038499999999985E-2</c:v>
                  </c:pt>
                </c:numCache>
              </c:numRef>
            </c:plus>
            <c:minus>
              <c:numRef>
                <c:f>'Outcomes of NRM informal'!$F$131:$F$134</c:f>
                <c:numCache>
                  <c:formatCode>General</c:formatCode>
                  <c:ptCount val="4"/>
                  <c:pt idx="0">
                    <c:v>1.8383500000000011E-2</c:v>
                  </c:pt>
                  <c:pt idx="1">
                    <c:v>2.5420299999999993E-2</c:v>
                  </c:pt>
                  <c:pt idx="2">
                    <c:v>1.72765E-2</c:v>
                  </c:pt>
                  <c:pt idx="3">
                    <c:v>3.9200399999999996E-2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NRM informal'!$A$143:$A$146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NRM informal'!$I$143:$I$146</c:f>
              <c:numCache>
                <c:formatCode>#,##0.000000</c:formatCode>
                <c:ptCount val="4"/>
                <c:pt idx="0">
                  <c:v>9.4995800000000005E-2</c:v>
                </c:pt>
                <c:pt idx="1">
                  <c:v>0.13910459999999999</c:v>
                </c:pt>
                <c:pt idx="2">
                  <c:v>0.11108800000000001</c:v>
                </c:pt>
                <c:pt idx="3">
                  <c:v>0.19539870000000001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19-4CCA-8BDA-35A4ECD43A5D}"/>
            </c:ext>
          </c:extLst>
        </c:ser>
        <c:ser>
          <c:idx val="8"/>
          <c:order val="8"/>
          <c:tx>
            <c:strRef>
              <c:f>'Outcomes of NRM informal'!$J$142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informal'!$G$135:$G$138</c:f>
                <c:numCache>
                  <c:formatCode>General</c:formatCode>
                  <c:ptCount val="4"/>
                  <c:pt idx="0">
                    <c:v>5.2557999999999994E-2</c:v>
                  </c:pt>
                  <c:pt idx="1">
                    <c:v>6.7030800000000001E-2</c:v>
                  </c:pt>
                  <c:pt idx="2">
                    <c:v>4.5339300000000027E-2</c:v>
                  </c:pt>
                  <c:pt idx="3">
                    <c:v>7.4713300000000038E-2</c:v>
                  </c:pt>
                </c:numCache>
              </c:numRef>
            </c:plus>
            <c:minus>
              <c:numRef>
                <c:f>'Outcomes of NRM informal'!$F$135:$F$138</c:f>
                <c:numCache>
                  <c:formatCode>General</c:formatCode>
                  <c:ptCount val="4"/>
                  <c:pt idx="0">
                    <c:v>4.4227800000000012E-2</c:v>
                  </c:pt>
                  <c:pt idx="1">
                    <c:v>5.4957800000000001E-2</c:v>
                  </c:pt>
                  <c:pt idx="2">
                    <c:v>3.9787899999999987E-2</c:v>
                  </c:pt>
                  <c:pt idx="3">
                    <c:v>5.9653299999999965E-2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NRM informal'!$A$143:$A$146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NRM informal'!$J$143:$J$146</c:f>
              <c:numCache>
                <c:formatCode>#,##0</c:formatCode>
                <c:ptCount val="4"/>
                <c:pt idx="0" formatCode="General">
                  <c:v>0.27905000000000002</c:v>
                </c:pt>
                <c:pt idx="1">
                  <c:v>0.30513269999999998</c:v>
                </c:pt>
                <c:pt idx="2">
                  <c:v>0.32495819999999997</c:v>
                </c:pt>
                <c:pt idx="3">
                  <c:v>0.29594369999999998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19-4CCA-8BDA-35A4ECD43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099080"/>
        <c:axId val="630098096"/>
      </c:barChart>
      <c:catAx>
        <c:axId val="63009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98096"/>
        <c:crosses val="autoZero"/>
        <c:auto val="1"/>
        <c:lblAlgn val="ctr"/>
        <c:lblOffset val="100"/>
        <c:noMultiLvlLbl val="0"/>
      </c:catAx>
      <c:valAx>
        <c:axId val="63009809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9908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NRC formal'!$C$323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formal'!$O$322:$O$325</c:f>
                <c:numCache>
                  <c:formatCode>General</c:formatCode>
                  <c:ptCount val="4"/>
                  <c:pt idx="0">
                    <c:v>0.2016825000000001</c:v>
                  </c:pt>
                  <c:pt idx="1">
                    <c:v>0.31351199999999979</c:v>
                  </c:pt>
                  <c:pt idx="2">
                    <c:v>8.4267700000000001E-2</c:v>
                  </c:pt>
                  <c:pt idx="3">
                    <c:v>0.61798799999999998</c:v>
                  </c:pt>
                </c:numCache>
              </c:numRef>
            </c:plus>
            <c:minus>
              <c:numRef>
                <c:f>'Outcomes of NRC formal'!$N$322:$N$325</c:f>
                <c:numCache>
                  <c:formatCode>General</c:formatCode>
                  <c:ptCount val="4"/>
                  <c:pt idx="0">
                    <c:v>0.16425719999999999</c:v>
                  </c:pt>
                  <c:pt idx="1">
                    <c:v>0.26050300000000015</c:v>
                  </c:pt>
                  <c:pt idx="2">
                    <c:v>6.7111100000000035E-2</c:v>
                  </c:pt>
                  <c:pt idx="3">
                    <c:v>0.46726199999999984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formal'!$A$324:$B$327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NRC formal'!$C$324:$C$327</c:f>
              <c:numCache>
                <c:formatCode>#,##0.00000</c:formatCode>
                <c:ptCount val="4"/>
                <c:pt idx="0" formatCode="0.000000">
                  <c:v>0.8851675</c:v>
                </c:pt>
                <c:pt idx="1">
                  <c:v>1.5406740000000001</c:v>
                </c:pt>
                <c:pt idx="2">
                  <c:v>0.32962970000000003</c:v>
                </c:pt>
                <c:pt idx="3" formatCode="0.00E+00">
                  <c:v>1.9158189999999999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6-421A-BB6B-6B543D8D6FA2}"/>
            </c:ext>
          </c:extLst>
        </c:ser>
        <c:ser>
          <c:idx val="1"/>
          <c:order val="1"/>
          <c:tx>
            <c:strRef>
              <c:f>'Outcomes of NRC formal'!$D$323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formal'!$O$326:$O$329</c:f>
                <c:numCache>
                  <c:formatCode>General</c:formatCode>
                  <c:ptCount val="4"/>
                  <c:pt idx="0">
                    <c:v>7.6826100000000036E-2</c:v>
                  </c:pt>
                  <c:pt idx="1">
                    <c:v>0.13015450000000001</c:v>
                  </c:pt>
                  <c:pt idx="2">
                    <c:v>3.52074E-2</c:v>
                  </c:pt>
                  <c:pt idx="3">
                    <c:v>0.27776930000000005</c:v>
                  </c:pt>
                </c:numCache>
              </c:numRef>
            </c:plus>
            <c:minus>
              <c:numRef>
                <c:f>'Outcomes of NRC formal'!$N$326:$N$329</c:f>
                <c:numCache>
                  <c:formatCode>General</c:formatCode>
                  <c:ptCount val="4"/>
                  <c:pt idx="0">
                    <c:v>5.4420699999999989E-2</c:v>
                  </c:pt>
                  <c:pt idx="1">
                    <c:v>0.10188520000000001</c:v>
                  </c:pt>
                  <c:pt idx="2">
                    <c:v>2.3656600000000007E-2</c:v>
                  </c:pt>
                  <c:pt idx="3">
                    <c:v>0.16200419999999999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formal'!$A$324:$B$327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NRC formal'!$D$324:$D$327</c:f>
              <c:numCache>
                <c:formatCode>#,##0.00000</c:formatCode>
                <c:ptCount val="4"/>
                <c:pt idx="0">
                  <c:v>0.18660289999999999</c:v>
                </c:pt>
                <c:pt idx="1">
                  <c:v>0.4690878</c:v>
                </c:pt>
                <c:pt idx="2">
                  <c:v>7.2106500000000004E-2</c:v>
                </c:pt>
                <c:pt idx="3" formatCode="#,##0">
                  <c:v>0.38871689999999998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6-421A-BB6B-6B543D8D6FA2}"/>
            </c:ext>
          </c:extLst>
        </c:ser>
        <c:ser>
          <c:idx val="2"/>
          <c:order val="2"/>
          <c:tx>
            <c:strRef>
              <c:f>'Outcomes of NRC formal'!$E$323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formal'!$O$330:$O$333</c:f>
                <c:numCache>
                  <c:formatCode>General</c:formatCode>
                  <c:ptCount val="4"/>
                  <c:pt idx="0">
                    <c:v>9.0445399999999981E-2</c:v>
                  </c:pt>
                  <c:pt idx="1">
                    <c:v>0.13570590000000005</c:v>
                  </c:pt>
                  <c:pt idx="2">
                    <c:v>4.8274899999999982E-2</c:v>
                  </c:pt>
                  <c:pt idx="3">
                    <c:v>0.3712936</c:v>
                  </c:pt>
                </c:numCache>
              </c:numRef>
            </c:plus>
            <c:minus>
              <c:numRef>
                <c:f>'Outcomes of NRC formal'!$N$330:$N$333</c:f>
                <c:numCache>
                  <c:formatCode>General</c:formatCode>
                  <c:ptCount val="4"/>
                  <c:pt idx="0">
                    <c:v>6.633219999999998E-2</c:v>
                  </c:pt>
                  <c:pt idx="1">
                    <c:v>0.1072785</c:v>
                  </c:pt>
                  <c:pt idx="2">
                    <c:v>3.5834900000000003E-2</c:v>
                  </c:pt>
                  <c:pt idx="3">
                    <c:v>0.24831100000000006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formal'!$A$324:$B$327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NRC formal'!$E$324:$E$327</c:f>
              <c:numCache>
                <c:formatCode>#,##0.00000</c:formatCode>
                <c:ptCount val="4"/>
                <c:pt idx="0">
                  <c:v>0.24880379999999999</c:v>
                </c:pt>
                <c:pt idx="1">
                  <c:v>0.51212340000000001</c:v>
                </c:pt>
                <c:pt idx="2">
                  <c:v>0.13906250000000001</c:v>
                </c:pt>
                <c:pt idx="3" formatCode="0.00E+00">
                  <c:v>0.74966840000000001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26-421A-BB6B-6B543D8D6FA2}"/>
            </c:ext>
          </c:extLst>
        </c:ser>
        <c:ser>
          <c:idx val="3"/>
          <c:order val="3"/>
          <c:tx>
            <c:strRef>
              <c:f>'Outcomes of NRC formal'!$F$323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formal'!$Q$322:$Q$325</c:f>
                <c:numCache>
                  <c:formatCode>General</c:formatCode>
                  <c:ptCount val="4"/>
                  <c:pt idx="0">
                    <c:v>0.28806200000000004</c:v>
                  </c:pt>
                  <c:pt idx="1">
                    <c:v>0.35286400000000007</c:v>
                  </c:pt>
                  <c:pt idx="2">
                    <c:v>8.918029999999999E-2</c:v>
                  </c:pt>
                  <c:pt idx="3">
                    <c:v>0.49809600000000009</c:v>
                  </c:pt>
                </c:numCache>
              </c:numRef>
            </c:plus>
            <c:minus>
              <c:numRef>
                <c:f>'Outcomes of NRC formal'!$P$322:$P$325</c:f>
                <c:numCache>
                  <c:formatCode>General</c:formatCode>
                  <c:ptCount val="4"/>
                  <c:pt idx="0">
                    <c:v>0.23616999999999999</c:v>
                  </c:pt>
                  <c:pt idx="1">
                    <c:v>0.29393699999999989</c:v>
                  </c:pt>
                  <c:pt idx="2">
                    <c:v>6.9954100000000019E-2</c:v>
                  </c:pt>
                  <c:pt idx="3">
                    <c:v>0.34648979999999996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formal'!$A$324:$B$327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NRC formal'!$F$324:$F$327</c:f>
              <c:numCache>
                <c:formatCode>#,##0.00000</c:formatCode>
                <c:ptCount val="4"/>
                <c:pt idx="0">
                  <c:v>1.311005</c:v>
                </c:pt>
                <c:pt idx="1">
                  <c:v>1.7601549999999999</c:v>
                </c:pt>
                <c:pt idx="2">
                  <c:v>0.32447930000000003</c:v>
                </c:pt>
                <c:pt idx="3" formatCode="#,##0">
                  <c:v>1.138385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26-421A-BB6B-6B543D8D6FA2}"/>
            </c:ext>
          </c:extLst>
        </c:ser>
        <c:ser>
          <c:idx val="4"/>
          <c:order val="4"/>
          <c:tx>
            <c:strRef>
              <c:f>'Outcomes of NRC formal'!$G$323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formal'!$Q$326:$Q$329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0.23522699999999985</c:v>
                  </c:pt>
                  <c:pt idx="2">
                    <c:v>0.11072880000000002</c:v>
                  </c:pt>
                  <c:pt idx="3">
                    <c:v>0.60234399999999999</c:v>
                  </c:pt>
                </c:numCache>
              </c:numRef>
            </c:plus>
            <c:minus>
              <c:numRef>
                <c:f>'Outcomes of NRC formal'!$P$326:$P$329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0.19302400000000008</c:v>
                  </c:pt>
                  <c:pt idx="2">
                    <c:v>9.0206700000000029E-2</c:v>
                  </c:pt>
                  <c:pt idx="3">
                    <c:v>0.44985699999999995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formal'!$A$324:$B$327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NRC formal'!$G$324:$G$327</c:f>
              <c:numCache>
                <c:formatCode>#,##0.00000</c:formatCode>
                <c:ptCount val="4"/>
                <c:pt idx="0">
                  <c:v>1</c:v>
                </c:pt>
                <c:pt idx="1">
                  <c:v>1.0758890000000001</c:v>
                </c:pt>
                <c:pt idx="2">
                  <c:v>0.48671890000000001</c:v>
                </c:pt>
                <c:pt idx="3" formatCode="0.00E+00">
                  <c:v>1.7769919999999999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26-421A-BB6B-6B543D8D6FA2}"/>
            </c:ext>
          </c:extLst>
        </c:ser>
        <c:ser>
          <c:idx val="5"/>
          <c:order val="5"/>
          <c:tx>
            <c:strRef>
              <c:f>'Outcomes of NRC formal'!$H$323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formal'!$Q$330:$Q$333</c:f>
                <c:numCache>
                  <c:formatCode>General</c:formatCode>
                  <c:ptCount val="4"/>
                  <c:pt idx="0">
                    <c:v>0.17027799999999993</c:v>
                  </c:pt>
                  <c:pt idx="1">
                    <c:v>0.19203179999999986</c:v>
                  </c:pt>
                  <c:pt idx="2">
                    <c:v>9.8300899999999969E-2</c:v>
                  </c:pt>
                  <c:pt idx="3">
                    <c:v>0.42879460000000003</c:v>
                  </c:pt>
                </c:numCache>
              </c:numRef>
            </c:plus>
            <c:minus>
              <c:numRef>
                <c:f>'Outcomes of NRC formal'!$P$330:$P$333</c:f>
                <c:numCache>
                  <c:formatCode>General</c:formatCode>
                  <c:ptCount val="4"/>
                  <c:pt idx="0">
                    <c:v>0.13727010000000006</c:v>
                  </c:pt>
                  <c:pt idx="1">
                    <c:v>0.15612239999999999</c:v>
                  </c:pt>
                  <c:pt idx="2">
                    <c:v>7.8976199999999996E-2</c:v>
                  </c:pt>
                  <c:pt idx="3">
                    <c:v>0.29209779999999996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formal'!$A$324:$B$327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NRC formal'!$H$324:$H$327</c:f>
              <c:numCache>
                <c:formatCode>#,##0.00000</c:formatCode>
                <c:ptCount val="4"/>
                <c:pt idx="0">
                  <c:v>0.70813400000000004</c:v>
                </c:pt>
                <c:pt idx="1">
                  <c:v>0.83489020000000003</c:v>
                </c:pt>
                <c:pt idx="2">
                  <c:v>0.40173629999999999</c:v>
                </c:pt>
                <c:pt idx="3" formatCode="0.00E+00">
                  <c:v>0.9162614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26-421A-BB6B-6B543D8D6FA2}"/>
            </c:ext>
          </c:extLst>
        </c:ser>
        <c:ser>
          <c:idx val="6"/>
          <c:order val="6"/>
          <c:tx>
            <c:strRef>
              <c:f>'Outcomes of NRC formal'!$I$323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formal'!$S$322:$S$325</c:f>
                <c:numCache>
                  <c:formatCode>General</c:formatCode>
                  <c:ptCount val="4"/>
                  <c:pt idx="0">
                    <c:v>7.3375699999999988E-2</c:v>
                  </c:pt>
                  <c:pt idx="1">
                    <c:v>8.2239699999999971E-2</c:v>
                  </c:pt>
                  <c:pt idx="2">
                    <c:v>2.7543699999999997E-2</c:v>
                  </c:pt>
                  <c:pt idx="3">
                    <c:v>0.21966180000000002</c:v>
                  </c:pt>
                </c:numCache>
              </c:numRef>
            </c:plus>
            <c:minus>
              <c:numRef>
                <c:f>'Outcomes of NRC formal'!$R$322:$R$325</c:f>
                <c:numCache>
                  <c:formatCode>General</c:formatCode>
                  <c:ptCount val="4"/>
                  <c:pt idx="0">
                    <c:v>5.1020599999999999E-2</c:v>
                  </c:pt>
                  <c:pt idx="1">
                    <c:v>6.0138999999999998E-2</c:v>
                  </c:pt>
                  <c:pt idx="2">
                    <c:v>1.6508300000000004E-2</c:v>
                  </c:pt>
                  <c:pt idx="3">
                    <c:v>0.10311849999999999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formal'!$A$324:$B$327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NRC formal'!$I$324:$I$327</c:f>
              <c:numCache>
                <c:formatCode>#,##0.000000</c:formatCode>
                <c:ptCount val="4"/>
                <c:pt idx="0">
                  <c:v>0.1674641</c:v>
                </c:pt>
                <c:pt idx="1">
                  <c:v>0.22378500000000001</c:v>
                </c:pt>
                <c:pt idx="2">
                  <c:v>4.1203700000000003E-2</c:v>
                </c:pt>
                <c:pt idx="3" formatCode="0.00E+00">
                  <c:v>0.19435849999999999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26-421A-BB6B-6B543D8D6FA2}"/>
            </c:ext>
          </c:extLst>
        </c:ser>
        <c:ser>
          <c:idx val="7"/>
          <c:order val="7"/>
          <c:tx>
            <c:strRef>
              <c:f>'Outcomes of NRC formal'!$J$323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formal'!$S$326:$S$329</c:f>
                <c:numCache>
                  <c:formatCode>General</c:formatCode>
                  <c:ptCount val="4"/>
                  <c:pt idx="0">
                    <c:v>6.4619699999999988E-2</c:v>
                  </c:pt>
                  <c:pt idx="1">
                    <c:v>7.0577000000000001E-2</c:v>
                  </c:pt>
                  <c:pt idx="2">
                    <c:v>2.8725500000000001E-2</c:v>
                  </c:pt>
                  <c:pt idx="3">
                    <c:v>0.1984476</c:v>
                  </c:pt>
                </c:numCache>
              </c:numRef>
            </c:plus>
            <c:minus>
              <c:numRef>
                <c:f>'Outcomes of NRC formal'!$R$326:$R$329</c:f>
                <c:numCache>
                  <c:formatCode>General</c:formatCode>
                  <c:ptCount val="4"/>
                  <c:pt idx="0">
                    <c:v>3.7771300000000008E-2</c:v>
                  </c:pt>
                  <c:pt idx="1">
                    <c:v>4.9300399999999994E-2</c:v>
                  </c:pt>
                  <c:pt idx="2">
                    <c:v>1.7735099999999997E-2</c:v>
                  </c:pt>
                  <c:pt idx="3">
                    <c:v>8.1683999999999993E-2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formal'!$A$324:$B$327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NRC formal'!$J$324:$J$327</c:f>
              <c:numCache>
                <c:formatCode>#,##0.000000</c:formatCode>
                <c:ptCount val="4"/>
                <c:pt idx="0">
                  <c:v>9.0909100000000007E-2</c:v>
                </c:pt>
                <c:pt idx="1">
                  <c:v>0.16353519999999999</c:v>
                </c:pt>
                <c:pt idx="2">
                  <c:v>4.6354199999999998E-2</c:v>
                </c:pt>
                <c:pt idx="3" formatCode="0.00E+00">
                  <c:v>0.13882749999999999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26-421A-BB6B-6B543D8D6FA2}"/>
            </c:ext>
          </c:extLst>
        </c:ser>
        <c:ser>
          <c:idx val="8"/>
          <c:order val="8"/>
          <c:tx>
            <c:strRef>
              <c:f>'Outcomes of NRC formal'!$K$323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formal'!$S$330:$S$333</c:f>
                <c:numCache>
                  <c:formatCode>General</c:formatCode>
                  <c:ptCount val="4"/>
                  <c:pt idx="0">
                    <c:v>8.4596699999999969E-2</c:v>
                  </c:pt>
                  <c:pt idx="1">
                    <c:v>9.9521299999999979E-2</c:v>
                  </c:pt>
                  <c:pt idx="2">
                    <c:v>3.9024699999999996E-2</c:v>
                  </c:pt>
                  <c:pt idx="3">
                    <c:v>0.28102940000000004</c:v>
                  </c:pt>
                </c:numCache>
              </c:numRef>
            </c:plus>
            <c:minus>
              <c:numRef>
                <c:f>'Outcomes of NRC formal'!$R$330:$R$333</c:f>
                <c:numCache>
                  <c:formatCode>General</c:formatCode>
                  <c:ptCount val="4"/>
                  <c:pt idx="0">
                    <c:v>6.1108800000000019E-2</c:v>
                  </c:pt>
                  <c:pt idx="1">
                    <c:v>7.5327300000000014E-2</c:v>
                  </c:pt>
                  <c:pt idx="2">
                    <c:v>2.7233399999999991E-2</c:v>
                  </c:pt>
                  <c:pt idx="3">
                    <c:v>0.16310779999999997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formal'!$A$324:$B$327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NRC formal'!$K$324:$K$327</c:f>
              <c:numCache>
                <c:formatCode>#,##0</c:formatCode>
                <c:ptCount val="4"/>
                <c:pt idx="0" formatCode="General">
                  <c:v>0.22009570000000001</c:v>
                </c:pt>
                <c:pt idx="1">
                  <c:v>0.30985620000000003</c:v>
                </c:pt>
                <c:pt idx="2" formatCode="General">
                  <c:v>9.0133099999999994E-2</c:v>
                </c:pt>
                <c:pt idx="3" formatCode="0.00E+00">
                  <c:v>0.38871689999999998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26-421A-BB6B-6B543D8D6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241616"/>
        <c:axId val="734242600"/>
      </c:barChart>
      <c:catAx>
        <c:axId val="7342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42600"/>
        <c:crosses val="autoZero"/>
        <c:auto val="1"/>
        <c:lblAlgn val="ctr"/>
        <c:lblOffset val="100"/>
        <c:noMultiLvlLbl val="0"/>
      </c:catAx>
      <c:valAx>
        <c:axId val="734242600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4161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NRM informal'!$C$234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informal'!$N$234:$N$237</c:f>
                <c:numCache>
                  <c:formatCode>General</c:formatCode>
                  <c:ptCount val="4"/>
                  <c:pt idx="0">
                    <c:v>2.9458099999999987E-2</c:v>
                  </c:pt>
                  <c:pt idx="1">
                    <c:v>3.0950900000000003E-2</c:v>
                  </c:pt>
                  <c:pt idx="2">
                    <c:v>2.0761499999999999E-2</c:v>
                  </c:pt>
                  <c:pt idx="3">
                    <c:v>3.1673599999999996E-2</c:v>
                  </c:pt>
                </c:numCache>
              </c:numRef>
            </c:plus>
            <c:minus>
              <c:numRef>
                <c:f>'Outcomes of NRM informal'!$M$234:$M$237</c:f>
                <c:numCache>
                  <c:formatCode>General</c:formatCode>
                  <c:ptCount val="4"/>
                  <c:pt idx="0">
                    <c:v>2.1125300000000007E-2</c:v>
                  </c:pt>
                  <c:pt idx="1">
                    <c:v>2.3122299999999998E-2</c:v>
                  </c:pt>
                  <c:pt idx="2">
                    <c:v>1.1892E-2</c:v>
                  </c:pt>
                  <c:pt idx="3">
                    <c:v>2.3343600000000006E-2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informal'!$A$235:$B$238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NRM informal'!$C$235:$C$238</c:f>
              <c:numCache>
                <c:formatCode>#,##0.00000</c:formatCode>
                <c:ptCount val="4"/>
                <c:pt idx="0" formatCode="0.000000">
                  <c:v>7.4681300000000006E-2</c:v>
                </c:pt>
                <c:pt idx="1">
                  <c:v>9.1415099999999999E-2</c:v>
                </c:pt>
                <c:pt idx="2">
                  <c:v>2.78366E-2</c:v>
                </c:pt>
                <c:pt idx="3" formatCode="General">
                  <c:v>8.87598E-2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A-4368-A877-1735926543C5}"/>
            </c:ext>
          </c:extLst>
        </c:ser>
        <c:ser>
          <c:idx val="1"/>
          <c:order val="1"/>
          <c:tx>
            <c:strRef>
              <c:f>'Outcomes of NRM informal'!$D$234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informal'!$N$238:$N$241</c:f>
                <c:numCache>
                  <c:formatCode>General</c:formatCode>
                  <c:ptCount val="4"/>
                  <c:pt idx="0">
                    <c:v>5.1378200000000013E-2</c:v>
                  </c:pt>
                  <c:pt idx="1">
                    <c:v>4.9354800000000032E-2</c:v>
                  </c:pt>
                  <c:pt idx="2">
                    <c:v>5.2425300000000008E-2</c:v>
                  </c:pt>
                  <c:pt idx="3">
                    <c:v>5.0112400000000001E-2</c:v>
                  </c:pt>
                </c:numCache>
              </c:numRef>
            </c:plus>
            <c:minus>
              <c:numRef>
                <c:f>'Outcomes of NRM informal'!$M$238:$M$241</c:f>
                <c:numCache>
                  <c:formatCode>General</c:formatCode>
                  <c:ptCount val="4"/>
                  <c:pt idx="0">
                    <c:v>4.0815999999999991E-2</c:v>
                  </c:pt>
                  <c:pt idx="1">
                    <c:v>3.9993099999999976E-2</c:v>
                  </c:pt>
                  <c:pt idx="2">
                    <c:v>4.0807599999999999E-2</c:v>
                  </c:pt>
                  <c:pt idx="3">
                    <c:v>3.9790600000000009E-2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informal'!$A$235:$B$238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NRM informal'!$D$235:$D$238</c:f>
              <c:numCache>
                <c:formatCode>#,##0.00000</c:formatCode>
                <c:ptCount val="4"/>
                <c:pt idx="0">
                  <c:v>0.19854279999999999</c:v>
                </c:pt>
                <c:pt idx="1">
                  <c:v>0.21084439999999999</c:v>
                </c:pt>
                <c:pt idx="2">
                  <c:v>0.18414659999999999</c:v>
                </c:pt>
                <c:pt idx="3" formatCode="General">
                  <c:v>0.1931831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A-4368-A877-1735926543C5}"/>
            </c:ext>
          </c:extLst>
        </c:ser>
        <c:ser>
          <c:idx val="2"/>
          <c:order val="2"/>
          <c:tx>
            <c:strRef>
              <c:f>'Outcomes of NRM informal'!$E$234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informal'!$N$242:$N$245</c:f>
                <c:numCache>
                  <c:formatCode>General</c:formatCode>
                  <c:ptCount val="4"/>
                  <c:pt idx="0">
                    <c:v>8.5722900000000046E-2</c:v>
                  </c:pt>
                  <c:pt idx="1">
                    <c:v>8.5313699999999992E-2</c:v>
                  </c:pt>
                  <c:pt idx="2">
                    <c:v>3.1137299999999993E-2</c:v>
                  </c:pt>
                  <c:pt idx="3">
                    <c:v>3.1231200000000001E-2</c:v>
                  </c:pt>
                </c:numCache>
              </c:numRef>
            </c:plus>
            <c:minus>
              <c:numRef>
                <c:f>'Outcomes of NRM informal'!$M$242:$M$245</c:f>
                <c:numCache>
                  <c:formatCode>General</c:formatCode>
                  <c:ptCount val="4"/>
                  <c:pt idx="0">
                    <c:v>7.1669299999999991E-2</c:v>
                  </c:pt>
                  <c:pt idx="1">
                    <c:v>7.1747000000000005E-2</c:v>
                  </c:pt>
                  <c:pt idx="2">
                    <c:v>2.1194900000000003E-2</c:v>
                  </c:pt>
                  <c:pt idx="3">
                    <c:v>2.2859399999999995E-2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informal'!$A$235:$B$238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NRM informal'!$E$235:$E$238</c:f>
              <c:numCache>
                <c:formatCode>#,##0.00000</c:formatCode>
                <c:ptCount val="4"/>
                <c:pt idx="0">
                  <c:v>0.43715850000000001</c:v>
                </c:pt>
                <c:pt idx="1">
                  <c:v>0.45117760000000001</c:v>
                </c:pt>
                <c:pt idx="2">
                  <c:v>6.6378400000000004E-2</c:v>
                </c:pt>
                <c:pt idx="3" formatCode="General">
                  <c:v>8.5278999999999994E-2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A-4368-A877-1735926543C5}"/>
            </c:ext>
          </c:extLst>
        </c:ser>
        <c:ser>
          <c:idx val="3"/>
          <c:order val="3"/>
          <c:tx>
            <c:strRef>
              <c:f>'Outcomes of NRM informal'!$F$234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informal'!$P$234:$P$237</c:f>
                <c:numCache>
                  <c:formatCode>General</c:formatCode>
                  <c:ptCount val="4"/>
                  <c:pt idx="0">
                    <c:v>0.15310010000000007</c:v>
                  </c:pt>
                  <c:pt idx="1">
                    <c:v>0.17502700000000004</c:v>
                  </c:pt>
                  <c:pt idx="2">
                    <c:v>0.11565780000000003</c:v>
                  </c:pt>
                  <c:pt idx="3">
                    <c:v>0.13156230000000002</c:v>
                  </c:pt>
                </c:numCache>
              </c:numRef>
            </c:plus>
            <c:minus>
              <c:numRef>
                <c:f>'Outcomes of NRM informal'!$O$234:$O$237</c:f>
                <c:numCache>
                  <c:formatCode>General</c:formatCode>
                  <c:ptCount val="4"/>
                  <c:pt idx="0">
                    <c:v>0.13036639999999999</c:v>
                  </c:pt>
                  <c:pt idx="1">
                    <c:v>0.15074709999999991</c:v>
                  </c:pt>
                  <c:pt idx="2">
                    <c:v>9.6954399999999996E-2</c:v>
                  </c:pt>
                  <c:pt idx="3">
                    <c:v>0.11169530000000005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informal'!$A$235:$B$238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NRM informal'!$F$235:$F$238</c:f>
              <c:numCache>
                <c:formatCode>#,##0.00000</c:formatCode>
                <c:ptCount val="4"/>
                <c:pt idx="0">
                  <c:v>0.87795990000000002</c:v>
                </c:pt>
                <c:pt idx="1">
                  <c:v>1.08666</c:v>
                </c:pt>
                <c:pt idx="2">
                  <c:v>0.59954719999999995</c:v>
                </c:pt>
                <c:pt idx="3" formatCode="General">
                  <c:v>0.73966500000000002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A-4368-A877-1735926543C5}"/>
            </c:ext>
          </c:extLst>
        </c:ser>
        <c:ser>
          <c:idx val="4"/>
          <c:order val="4"/>
          <c:tx>
            <c:strRef>
              <c:f>'Outcomes of NRM informal'!$G$234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informal'!$P$238:$P$241</c:f>
                <c:numCache>
                  <c:formatCode>General</c:formatCode>
                  <c:ptCount val="4"/>
                  <c:pt idx="0">
                    <c:v>0.4512830000000001</c:v>
                  </c:pt>
                  <c:pt idx="1">
                    <c:v>0.43528899999999959</c:v>
                  </c:pt>
                  <c:pt idx="2">
                    <c:v>0.52263200000000021</c:v>
                  </c:pt>
                  <c:pt idx="3">
                    <c:v>0.53115700000000032</c:v>
                  </c:pt>
                </c:numCache>
              </c:numRef>
            </c:plus>
            <c:minus>
              <c:numRef>
                <c:f>'Outcomes of NRM informal'!$O$238:$O$241</c:f>
                <c:numCache>
                  <c:formatCode>General</c:formatCode>
                  <c:ptCount val="4"/>
                  <c:pt idx="0">
                    <c:v>0.37996700000000017</c:v>
                  </c:pt>
                  <c:pt idx="1">
                    <c:v>0.37669700000000006</c:v>
                  </c:pt>
                  <c:pt idx="2">
                    <c:v>0.44091600000000009</c:v>
                  </c:pt>
                  <c:pt idx="3">
                    <c:v>0.4597509999999998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informal'!$A$235:$B$238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NRM informal'!$G$235:$G$238</c:f>
              <c:numCache>
                <c:formatCode>#,##0.00000</c:formatCode>
                <c:ptCount val="4"/>
                <c:pt idx="0">
                  <c:v>2.404372</c:v>
                </c:pt>
                <c:pt idx="1">
                  <c:v>2.7984810000000002</c:v>
                </c:pt>
                <c:pt idx="2">
                  <c:v>2.8200129999999999</c:v>
                </c:pt>
                <c:pt idx="3" formatCode="#,##0">
                  <c:v>3.4198629999999999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8A-4368-A877-1735926543C5}"/>
            </c:ext>
          </c:extLst>
        </c:ser>
        <c:ser>
          <c:idx val="5"/>
          <c:order val="5"/>
          <c:tx>
            <c:strRef>
              <c:f>'Outcomes of NRM informal'!$H$234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informal'!$P$242:$P$245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0.21568399999999999</c:v>
                  </c:pt>
                  <c:pt idx="2">
                    <c:v>0.6361049999999997</c:v>
                  </c:pt>
                  <c:pt idx="3">
                    <c:v>0.51140100000000022</c:v>
                  </c:pt>
                </c:numCache>
              </c:numRef>
            </c:plus>
            <c:minus>
              <c:numRef>
                <c:f>'Outcomes of NRM informal'!$O$242:$O$245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0.18555800000000011</c:v>
                  </c:pt>
                  <c:pt idx="2">
                    <c:v>0.54718200000000028</c:v>
                  </c:pt>
                  <c:pt idx="3">
                    <c:v>0.442685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informal'!$A$235:$B$238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NRM informal'!$H$235:$H$238</c:f>
              <c:numCache>
                <c:formatCode>#,##0.00000</c:formatCode>
                <c:ptCount val="4"/>
                <c:pt idx="0">
                  <c:v>1</c:v>
                </c:pt>
                <c:pt idx="1">
                  <c:v>1.3284670000000001</c:v>
                </c:pt>
                <c:pt idx="2" formatCode="#,##0">
                  <c:v>3.9141870000000001</c:v>
                </c:pt>
                <c:pt idx="3" formatCode="#,##0">
                  <c:v>3.2945549999999999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8A-4368-A877-1735926543C5}"/>
            </c:ext>
          </c:extLst>
        </c:ser>
        <c:ser>
          <c:idx val="6"/>
          <c:order val="6"/>
          <c:tx>
            <c:strRef>
              <c:f>'Outcomes of NRM informal'!$I$234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informal'!$R$234:$R$237</c:f>
                <c:numCache>
                  <c:formatCode>General</c:formatCode>
                  <c:ptCount val="4"/>
                  <c:pt idx="0">
                    <c:v>3.2912100000000014E-2</c:v>
                  </c:pt>
                  <c:pt idx="1">
                    <c:v>3.5853799999999991E-2</c:v>
                  </c:pt>
                  <c:pt idx="2">
                    <c:v>2.8719999999999996E-2</c:v>
                  </c:pt>
                  <c:pt idx="3">
                    <c:v>3.3790499999999987E-2</c:v>
                  </c:pt>
                </c:numCache>
              </c:numRef>
            </c:plus>
            <c:minus>
              <c:numRef>
                <c:f>'Outcomes of NRM informal'!$Q$234:$Q$237</c:f>
                <c:numCache>
                  <c:formatCode>General</c:formatCode>
                  <c:ptCount val="4"/>
                  <c:pt idx="0">
                    <c:v>2.4302099999999993E-2</c:v>
                  </c:pt>
                  <c:pt idx="1">
                    <c:v>2.7950600000000006E-2</c:v>
                  </c:pt>
                  <c:pt idx="2">
                    <c:v>1.9418200000000004E-2</c:v>
                  </c:pt>
                  <c:pt idx="3">
                    <c:v>2.5316000000000005E-2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informal'!$A$235:$B$238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NRM informal'!$I$235:$I$238</c:f>
              <c:numCache>
                <c:formatCode>#,##0.000000</c:formatCode>
                <c:ptCount val="4"/>
                <c:pt idx="0">
                  <c:v>9.2896199999999998E-2</c:v>
                </c:pt>
                <c:pt idx="1">
                  <c:v>0.12680150000000001</c:v>
                </c:pt>
                <c:pt idx="2">
                  <c:v>5.9954800000000003E-2</c:v>
                </c:pt>
                <c:pt idx="3" formatCode="General">
                  <c:v>0.1009425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8A-4368-A877-1735926543C5}"/>
            </c:ext>
          </c:extLst>
        </c:ser>
        <c:ser>
          <c:idx val="7"/>
          <c:order val="7"/>
          <c:tx>
            <c:strRef>
              <c:f>'Outcomes of NRM informal'!$J$234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informal'!$R$238:$R$241</c:f>
                <c:numCache>
                  <c:formatCode>General</c:formatCode>
                  <c:ptCount val="4"/>
                  <c:pt idx="0">
                    <c:v>5.7019599999999976E-2</c:v>
                  </c:pt>
                  <c:pt idx="1">
                    <c:v>4.6610600000000002E-2</c:v>
                  </c:pt>
                  <c:pt idx="2">
                    <c:v>6.2158400000000003E-2</c:v>
                  </c:pt>
                  <c:pt idx="3">
                    <c:v>7.1782400000000024E-2</c:v>
                  </c:pt>
                </c:numCache>
              </c:numRef>
            </c:plus>
            <c:minus>
              <c:numRef>
                <c:f>'Outcomes of NRM informal'!$Q$238:$Q$241</c:f>
                <c:numCache>
                  <c:formatCode>General</c:formatCode>
                  <c:ptCount val="4"/>
                  <c:pt idx="0">
                    <c:v>4.5222499999999999E-2</c:v>
                  </c:pt>
                  <c:pt idx="1">
                    <c:v>3.7493200000000004E-2</c:v>
                  </c:pt>
                  <c:pt idx="2">
                    <c:v>4.9716799999999978E-2</c:v>
                  </c:pt>
                  <c:pt idx="3">
                    <c:v>5.8810899999999999E-2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informal'!$A$235:$B$238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NRM informal'!$J$235:$J$238</c:f>
              <c:numCache>
                <c:formatCode>#,##0.000000</c:formatCode>
                <c:ptCount val="4"/>
                <c:pt idx="0">
                  <c:v>0.2185792</c:v>
                </c:pt>
                <c:pt idx="1">
                  <c:v>0.19167670000000001</c:v>
                </c:pt>
                <c:pt idx="2">
                  <c:v>0.24838389999999999</c:v>
                </c:pt>
                <c:pt idx="3" formatCode="General">
                  <c:v>0.32545259999999998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8A-4368-A877-1735926543C5}"/>
            </c:ext>
          </c:extLst>
        </c:ser>
        <c:ser>
          <c:idx val="8"/>
          <c:order val="8"/>
          <c:tx>
            <c:strRef>
              <c:f>'Outcomes of NRM informal'!$K$234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informal'!$R$242:$R$245</c:f>
                <c:numCache>
                  <c:formatCode>General</c:formatCode>
                  <c:ptCount val="4"/>
                  <c:pt idx="0">
                    <c:v>0.17943060000000011</c:v>
                  </c:pt>
                  <c:pt idx="1">
                    <c:v>0.16290429999999989</c:v>
                  </c:pt>
                  <c:pt idx="2">
                    <c:v>0.1084252</c:v>
                  </c:pt>
                  <c:pt idx="3">
                    <c:v>6.3818800000000009E-2</c:v>
                  </c:pt>
                </c:numCache>
              </c:numRef>
            </c:plus>
            <c:minus>
              <c:numRef>
                <c:f>'Outcomes of NRM informal'!$Q$242:$Q$245</c:f>
                <c:numCache>
                  <c:formatCode>General</c:formatCode>
                  <c:ptCount val="4"/>
                  <c:pt idx="0">
                    <c:v>0.14913889999999996</c:v>
                  </c:pt>
                  <c:pt idx="1">
                    <c:v>0.13872830000000003</c:v>
                  </c:pt>
                  <c:pt idx="2">
                    <c:v>7.5477599999999978E-2</c:v>
                  </c:pt>
                  <c:pt idx="3">
                    <c:v>5.1146500000000011E-2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informal'!$A$235:$B$238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NRM informal'!$K$235:$K$238</c:f>
              <c:numCache>
                <c:formatCode>#,##0</c:formatCode>
                <c:ptCount val="4"/>
                <c:pt idx="0" formatCode="General">
                  <c:v>0.8834244</c:v>
                </c:pt>
                <c:pt idx="1">
                  <c:v>0.93479270000000003</c:v>
                </c:pt>
                <c:pt idx="2" formatCode="General">
                  <c:v>0.24838389999999999</c:v>
                </c:pt>
                <c:pt idx="3" formatCode="General">
                  <c:v>0.25757750000000001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8A-4368-A877-173592654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175992"/>
        <c:axId val="451177304"/>
      </c:barChart>
      <c:catAx>
        <c:axId val="45117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77304"/>
        <c:crosses val="autoZero"/>
        <c:auto val="1"/>
        <c:lblAlgn val="ctr"/>
        <c:lblOffset val="100"/>
        <c:noMultiLvlLbl val="0"/>
      </c:catAx>
      <c:valAx>
        <c:axId val="45117730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7599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NRM informal'!$C$318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informal'!$O$318:$O$321</c:f>
                <c:numCache>
                  <c:formatCode>General</c:formatCode>
                  <c:ptCount val="4"/>
                  <c:pt idx="0">
                    <c:v>8.9207000000000002E-3</c:v>
                  </c:pt>
                  <c:pt idx="1">
                    <c:v>9.3241999999999978E-3</c:v>
                  </c:pt>
                  <c:pt idx="2">
                    <c:v>7.2894999999999991E-3</c:v>
                  </c:pt>
                  <c:pt idx="3">
                    <c:v>1.7055500000000001E-2</c:v>
                  </c:pt>
                </c:numCache>
              </c:numRef>
            </c:plus>
            <c:minus>
              <c:numRef>
                <c:f>'Outcomes of NRM informal'!$N$318:$N$321</c:f>
                <c:numCache>
                  <c:formatCode>General</c:formatCode>
                  <c:ptCount val="4"/>
                  <c:pt idx="0">
                    <c:v>6.4758999999999997E-3</c:v>
                  </c:pt>
                  <c:pt idx="1">
                    <c:v>7.4240000000000035E-3</c:v>
                  </c:pt>
                  <c:pt idx="2">
                    <c:v>4.2121999999999993E-3</c:v>
                  </c:pt>
                  <c:pt idx="3">
                    <c:v>1.08199E-2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informal'!$A$319:$B$322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NRM informal'!$C$319:$C$322</c:f>
              <c:numCache>
                <c:formatCode>#,##0.00000</c:formatCode>
                <c:ptCount val="4"/>
                <c:pt idx="0" formatCode="0.000000">
                  <c:v>2.3631099999999999E-2</c:v>
                </c:pt>
                <c:pt idx="1">
                  <c:v>3.6428500000000003E-2</c:v>
                </c:pt>
                <c:pt idx="2">
                  <c:v>9.9778999999999996E-3</c:v>
                </c:pt>
                <c:pt idx="3" formatCode="General">
                  <c:v>2.9594700000000002E-2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E-4D43-A339-E715224575EE}"/>
            </c:ext>
          </c:extLst>
        </c:ser>
        <c:ser>
          <c:idx val="1"/>
          <c:order val="1"/>
          <c:tx>
            <c:strRef>
              <c:f>'Outcomes of NRM informal'!$D$318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informal'!$O$322:$O$325</c:f>
                <c:numCache>
                  <c:formatCode>General</c:formatCode>
                  <c:ptCount val="4"/>
                  <c:pt idx="0">
                    <c:v>1.8549099999999999E-2</c:v>
                  </c:pt>
                  <c:pt idx="1">
                    <c:v>1.5908500000000006E-2</c:v>
                  </c:pt>
                  <c:pt idx="2">
                    <c:v>1.0765799999999999E-2</c:v>
                  </c:pt>
                  <c:pt idx="3">
                    <c:v>1.4894300000000003E-2</c:v>
                  </c:pt>
                </c:numCache>
              </c:numRef>
            </c:plus>
            <c:minus>
              <c:numRef>
                <c:f>'Outcomes of NRM informal'!$N$322:$N$325</c:f>
                <c:numCache>
                  <c:formatCode>General</c:formatCode>
                  <c:ptCount val="4"/>
                  <c:pt idx="0">
                    <c:v>1.5459000000000001E-2</c:v>
                  </c:pt>
                  <c:pt idx="1">
                    <c:v>1.3622200000000001E-2</c:v>
                  </c:pt>
                  <c:pt idx="2">
                    <c:v>7.6214999999999998E-3</c:v>
                  </c:pt>
                  <c:pt idx="3">
                    <c:v>8.5817999999999988E-3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informal'!$A$319:$B$322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NRM informal'!$D$319:$D$322</c:f>
              <c:numCache>
                <c:formatCode>#,##0.00000</c:formatCode>
                <c:ptCount val="4"/>
                <c:pt idx="0">
                  <c:v>9.27954E-2</c:v>
                </c:pt>
                <c:pt idx="1">
                  <c:v>9.4792399999999999E-2</c:v>
                </c:pt>
                <c:pt idx="2">
                  <c:v>2.6096000000000001E-2</c:v>
                </c:pt>
                <c:pt idx="3" formatCode="General">
                  <c:v>2.0249E-2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8E-4D43-A339-E715224575EE}"/>
            </c:ext>
          </c:extLst>
        </c:ser>
        <c:ser>
          <c:idx val="2"/>
          <c:order val="2"/>
          <c:tx>
            <c:strRef>
              <c:f>'Outcomes of NRM informal'!$E$318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informal'!$O$326:$O$329</c:f>
                <c:numCache>
                  <c:formatCode>General</c:formatCode>
                  <c:ptCount val="4"/>
                  <c:pt idx="0">
                    <c:v>2.2378200000000015E-2</c:v>
                  </c:pt>
                  <c:pt idx="1">
                    <c:v>1.8801800000000007E-2</c:v>
                  </c:pt>
                  <c:pt idx="2">
                    <c:v>1.3445599999999995E-2</c:v>
                  </c:pt>
                  <c:pt idx="3">
                    <c:v>2.4911800000000012E-2</c:v>
                  </c:pt>
                </c:numCache>
              </c:numRef>
            </c:plus>
            <c:minus>
              <c:numRef>
                <c:f>'Outcomes of NRM informal'!$N$326:$N$329</c:f>
                <c:numCache>
                  <c:formatCode>General</c:formatCode>
                  <c:ptCount val="4"/>
                  <c:pt idx="0">
                    <c:v>1.8995099999999987E-2</c:v>
                  </c:pt>
                  <c:pt idx="1">
                    <c:v>1.6273799999999991E-2</c:v>
                  </c:pt>
                  <c:pt idx="2">
                    <c:v>1.0105500000000003E-2</c:v>
                  </c:pt>
                  <c:pt idx="3">
                    <c:v>1.8379499999999993E-2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informal'!$A$319:$B$322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NRM informal'!$E$319:$E$322</c:f>
              <c:numCache>
                <c:formatCode>#,##0.00000</c:formatCode>
                <c:ptCount val="4"/>
                <c:pt idx="0">
                  <c:v>0.12564839999999999</c:v>
                </c:pt>
                <c:pt idx="1">
                  <c:v>0.12103659999999999</c:v>
                </c:pt>
                <c:pt idx="2">
                  <c:v>4.0679100000000003E-2</c:v>
                </c:pt>
                <c:pt idx="3" formatCode="0.00E+00">
                  <c:v>7.0092699999999994E-2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8E-4D43-A339-E715224575EE}"/>
            </c:ext>
          </c:extLst>
        </c:ser>
        <c:ser>
          <c:idx val="3"/>
          <c:order val="3"/>
          <c:tx>
            <c:strRef>
              <c:f>'Outcomes of NRM informal'!$F$318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informal'!$Q$318:$Q$321</c:f>
                <c:numCache>
                  <c:formatCode>General</c:formatCode>
                  <c:ptCount val="4"/>
                  <c:pt idx="0">
                    <c:v>4.3520000000000003E-2</c:v>
                  </c:pt>
                  <c:pt idx="1">
                    <c:v>4.3459199999999976E-2</c:v>
                  </c:pt>
                  <c:pt idx="2">
                    <c:v>2.7976000000000001E-2</c:v>
                  </c:pt>
                  <c:pt idx="3">
                    <c:v>5.5867400000000011E-2</c:v>
                  </c:pt>
                </c:numCache>
              </c:numRef>
            </c:plus>
            <c:minus>
              <c:numRef>
                <c:f>'Outcomes of NRM informal'!$P$318:$P$321</c:f>
                <c:numCache>
                  <c:formatCode>General</c:formatCode>
                  <c:ptCount val="4"/>
                  <c:pt idx="0">
                    <c:v>3.8291600000000037E-2</c:v>
                  </c:pt>
                  <c:pt idx="1">
                    <c:v>3.8923000000000041E-2</c:v>
                  </c:pt>
                  <c:pt idx="2">
                    <c:v>2.3821499999999995E-2</c:v>
                  </c:pt>
                  <c:pt idx="3">
                    <c:v>4.7443299999999966E-2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informal'!$A$319:$B$322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NRM informal'!$F$319:$F$322</c:f>
              <c:numCache>
                <c:formatCode>#,##0.00000</c:formatCode>
                <c:ptCount val="4"/>
                <c:pt idx="0">
                  <c:v>0.31873200000000002</c:v>
                </c:pt>
                <c:pt idx="1">
                  <c:v>0.37290250000000003</c:v>
                </c:pt>
                <c:pt idx="2">
                  <c:v>0.16041359999999999</c:v>
                </c:pt>
                <c:pt idx="3" formatCode="General">
                  <c:v>0.31463839999999998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8E-4D43-A339-E715224575EE}"/>
            </c:ext>
          </c:extLst>
        </c:ser>
        <c:ser>
          <c:idx val="4"/>
          <c:order val="4"/>
          <c:tx>
            <c:strRef>
              <c:f>'Outcomes of NRM informal'!$G$318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informal'!$Q$322:$Q$325</c:f>
                <c:numCache>
                  <c:formatCode>General</c:formatCode>
                  <c:ptCount val="4"/>
                  <c:pt idx="0">
                    <c:v>0.17308199999999996</c:v>
                  </c:pt>
                  <c:pt idx="1">
                    <c:v>0.13206300000000004</c:v>
                  </c:pt>
                  <c:pt idx="2">
                    <c:v>8.6933700000000003E-2</c:v>
                  </c:pt>
                  <c:pt idx="3">
                    <c:v>0.14381339999999998</c:v>
                  </c:pt>
                </c:numCache>
              </c:numRef>
            </c:plus>
            <c:minus>
              <c:numRef>
                <c:f>'Outcomes of NRM informal'!$P$322:$P$325</c:f>
                <c:numCache>
                  <c:formatCode>General</c:formatCode>
                  <c:ptCount val="4"/>
                  <c:pt idx="0">
                    <c:v>0.1513730000000002</c:v>
                  </c:pt>
                  <c:pt idx="1">
                    <c:v>0.119645</c:v>
                  </c:pt>
                  <c:pt idx="2">
                    <c:v>7.1906899999999996E-2</c:v>
                  </c:pt>
                  <c:pt idx="3">
                    <c:v>0.12512040000000002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informal'!$A$319:$B$322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NRM informal'!$G$319:$G$322</c:f>
              <c:numCache>
                <c:formatCode>#,##0.00000</c:formatCode>
                <c:ptCount val="4"/>
                <c:pt idx="0">
                  <c:v>1.2069160000000001</c:v>
                </c:pt>
                <c:pt idx="1">
                  <c:v>1.2722560000000001</c:v>
                </c:pt>
                <c:pt idx="2">
                  <c:v>0.41600090000000001</c:v>
                </c:pt>
                <c:pt idx="3" formatCode="#,##0">
                  <c:v>0.96260659999999998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8E-4D43-A339-E715224575EE}"/>
            </c:ext>
          </c:extLst>
        </c:ser>
        <c:ser>
          <c:idx val="5"/>
          <c:order val="5"/>
          <c:tx>
            <c:strRef>
              <c:f>'Outcomes of NRM informal'!$H$318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informal'!$Q$326:$Q$329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9.3419299999999983E-2</c:v>
                  </c:pt>
                  <c:pt idx="2">
                    <c:v>8.9239999999999986E-2</c:v>
                  </c:pt>
                  <c:pt idx="3">
                    <c:v>0.10622830000000005</c:v>
                  </c:pt>
                </c:numCache>
              </c:numRef>
            </c:plus>
            <c:minus>
              <c:numRef>
                <c:f>'Outcomes of NRM informal'!$P$326:$P$329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8.4714099999999903E-2</c:v>
                  </c:pt>
                  <c:pt idx="2">
                    <c:v>7.568159999999996E-2</c:v>
                  </c:pt>
                  <c:pt idx="3">
                    <c:v>9.3084899999999915E-2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informal'!$A$319:$B$322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NRM informal'!$H$319:$H$322</c:f>
              <c:numCache>
                <c:formatCode>#,##0.00000</c:formatCode>
                <c:ptCount val="4"/>
                <c:pt idx="0">
                  <c:v>1</c:v>
                </c:pt>
                <c:pt idx="1">
                  <c:v>0.90914569999999995</c:v>
                </c:pt>
                <c:pt idx="2">
                  <c:v>0.49812659999999997</c:v>
                </c:pt>
                <c:pt idx="3" formatCode="#,##0">
                  <c:v>0.75232849999999996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8E-4D43-A339-E715224575EE}"/>
            </c:ext>
          </c:extLst>
        </c:ser>
        <c:ser>
          <c:idx val="6"/>
          <c:order val="6"/>
          <c:tx>
            <c:strRef>
              <c:f>'Outcomes of NRM informal'!$I$318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informal'!$S$318:$S$321</c:f>
                <c:numCache>
                  <c:formatCode>General</c:formatCode>
                  <c:ptCount val="4"/>
                  <c:pt idx="0">
                    <c:v>9.1994999999999993E-3</c:v>
                  </c:pt>
                  <c:pt idx="1">
                    <c:v>1.0589100000000004E-2</c:v>
                  </c:pt>
                  <c:pt idx="2">
                    <c:v>1.07096E-2</c:v>
                  </c:pt>
                  <c:pt idx="3">
                    <c:v>1.7085499999999997E-2</c:v>
                  </c:pt>
                </c:numCache>
              </c:numRef>
            </c:plus>
            <c:minus>
              <c:numRef>
                <c:f>'Outcomes of NRM informal'!$R$318:$R$321</c:f>
                <c:numCache>
                  <c:formatCode>General</c:formatCode>
                  <c:ptCount val="4"/>
                  <c:pt idx="0">
                    <c:v>6.750599999999999E-3</c:v>
                  </c:pt>
                  <c:pt idx="1">
                    <c:v>8.6936999999999987E-3</c:v>
                  </c:pt>
                  <c:pt idx="2">
                    <c:v>7.5933000000000007E-3</c:v>
                  </c:pt>
                  <c:pt idx="3">
                    <c:v>1.0832000000000001E-2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informal'!$A$319:$B$322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NRM informal'!$I$319:$I$322</c:f>
              <c:numCache>
                <c:formatCode>#,##0.000000</c:formatCode>
                <c:ptCount val="4"/>
                <c:pt idx="0">
                  <c:v>2.5360199999999999E-2</c:v>
                </c:pt>
                <c:pt idx="1">
                  <c:v>4.8571299999999998E-2</c:v>
                </c:pt>
                <c:pt idx="2">
                  <c:v>2.6096000000000001E-2</c:v>
                </c:pt>
                <c:pt idx="3" formatCode="General">
                  <c:v>2.9594700000000002E-2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8E-4D43-A339-E715224575EE}"/>
            </c:ext>
          </c:extLst>
        </c:ser>
        <c:ser>
          <c:idx val="7"/>
          <c:order val="7"/>
          <c:tx>
            <c:strRef>
              <c:f>'Outcomes of NRM informal'!$J$318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informal'!$S$322:$S$325</c:f>
                <c:numCache>
                  <c:formatCode>General</c:formatCode>
                  <c:ptCount val="4"/>
                  <c:pt idx="0">
                    <c:v>1.9056500000000004E-2</c:v>
                  </c:pt>
                  <c:pt idx="1">
                    <c:v>1.7710400000000001E-2</c:v>
                  </c:pt>
                  <c:pt idx="2">
                    <c:v>1.5728899999999997E-2</c:v>
                  </c:pt>
                  <c:pt idx="3">
                    <c:v>2.2988399999999992E-2</c:v>
                  </c:pt>
                </c:numCache>
              </c:numRef>
            </c:plus>
            <c:minus>
              <c:numRef>
                <c:f>'Outcomes of NRM informal'!$R$322:$R$325</c:f>
                <c:numCache>
                  <c:formatCode>General</c:formatCode>
                  <c:ptCount val="4"/>
                  <c:pt idx="0">
                    <c:v>1.5792899999999999E-2</c:v>
                  </c:pt>
                  <c:pt idx="1">
                    <c:v>1.5240599999999993E-2</c:v>
                  </c:pt>
                  <c:pt idx="2">
                    <c:v>1.2422799999999998E-2</c:v>
                  </c:pt>
                  <c:pt idx="3">
                    <c:v>1.6557600000000006E-2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informal'!$A$319:$B$322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NRM informal'!$J$319:$J$322</c:f>
              <c:numCache>
                <c:formatCode>#,##0.000000</c:formatCode>
                <c:ptCount val="4"/>
                <c:pt idx="0">
                  <c:v>9.2218999999999995E-2</c:v>
                </c:pt>
                <c:pt idx="1">
                  <c:v>0.10928549999999999</c:v>
                </c:pt>
                <c:pt idx="2">
                  <c:v>5.9099800000000001E-2</c:v>
                </c:pt>
                <c:pt idx="3" formatCode="General">
                  <c:v>5.9189400000000003E-2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8E-4D43-A339-E715224575EE}"/>
            </c:ext>
          </c:extLst>
        </c:ser>
        <c:ser>
          <c:idx val="8"/>
          <c:order val="8"/>
          <c:tx>
            <c:strRef>
              <c:f>'Outcomes of NRM informal'!$K$318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informal'!$S$326:$S$329</c:f>
                <c:numCache>
                  <c:formatCode>General</c:formatCode>
                  <c:ptCount val="4"/>
                  <c:pt idx="0">
                    <c:v>5.0256699999999987E-2</c:v>
                  </c:pt>
                  <c:pt idx="1">
                    <c:v>3.3424700000000029E-2</c:v>
                  </c:pt>
                  <c:pt idx="2">
                    <c:v>3.0529799999999996E-2</c:v>
                  </c:pt>
                  <c:pt idx="3">
                    <c:v>5.1422699999999988E-2</c:v>
                  </c:pt>
                </c:numCache>
              </c:numRef>
            </c:plus>
            <c:minus>
              <c:numRef>
                <c:f>'Outcomes of NRM informal'!$R$326:$R$329</c:f>
                <c:numCache>
                  <c:formatCode>General</c:formatCode>
                  <c:ptCount val="4"/>
                  <c:pt idx="0">
                    <c:v>4.2022699999999996E-2</c:v>
                  </c:pt>
                  <c:pt idx="1">
                    <c:v>2.936359999999999E-2</c:v>
                  </c:pt>
                  <c:pt idx="2">
                    <c:v>2.4389600000000011E-2</c:v>
                  </c:pt>
                  <c:pt idx="3">
                    <c:v>4.2627100000000001E-2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informal'!$A$319:$B$322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NRM informal'!$K$319:$K$322</c:f>
              <c:numCache>
                <c:formatCode>#,##0</c:formatCode>
                <c:ptCount val="4"/>
                <c:pt idx="0" formatCode="General">
                  <c:v>0.2564842</c:v>
                </c:pt>
                <c:pt idx="1">
                  <c:v>0.24168149999999999</c:v>
                </c:pt>
                <c:pt idx="2" formatCode="General">
                  <c:v>0.12126960000000001</c:v>
                </c:pt>
                <c:pt idx="3" formatCode="General">
                  <c:v>0.24921850000000001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8E-4D43-A339-E71522457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383912"/>
        <c:axId val="511377352"/>
      </c:barChart>
      <c:catAx>
        <c:axId val="51138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77352"/>
        <c:crosses val="autoZero"/>
        <c:auto val="1"/>
        <c:lblAlgn val="ctr"/>
        <c:lblOffset val="100"/>
        <c:noMultiLvlLbl val="0"/>
      </c:catAx>
      <c:valAx>
        <c:axId val="51137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839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NRM informal'!$C$427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informal'!$N$427:$N$430</c:f>
                <c:numCache>
                  <c:formatCode>General</c:formatCode>
                  <c:ptCount val="4"/>
                  <c:pt idx="0">
                    <c:v>4.6582000000000004E-3</c:v>
                  </c:pt>
                  <c:pt idx="1">
                    <c:v>6.6354000000000005E-3</c:v>
                  </c:pt>
                  <c:pt idx="2">
                    <c:v>0.24319179999999996</c:v>
                  </c:pt>
                  <c:pt idx="3">
                    <c:v>0.10070440000000003</c:v>
                  </c:pt>
                </c:numCache>
              </c:numRef>
            </c:plus>
            <c:minus>
              <c:numRef>
                <c:f>'Outcomes of NRM informal'!$M$427:$M$430</c:f>
                <c:numCache>
                  <c:formatCode>General</c:formatCode>
                  <c:ptCount val="4"/>
                  <c:pt idx="0">
                    <c:v>1.1593999999999999E-3</c:v>
                  </c:pt>
                  <c:pt idx="1">
                    <c:v>2.9610000000000001E-3</c:v>
                  </c:pt>
                  <c:pt idx="2">
                    <c:v>0.14993389999999998</c:v>
                  </c:pt>
                  <c:pt idx="3">
                    <c:v>6.5063399999999993E-2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informal'!$A$428:$B$431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NRM informal'!$C$428:$C$431</c:f>
              <c:numCache>
                <c:formatCode>#,##0.00000</c:formatCode>
                <c:ptCount val="4"/>
                <c:pt idx="0" formatCode="0.000000">
                  <c:v>1.5435E-3</c:v>
                </c:pt>
                <c:pt idx="1">
                  <c:v>5.3470000000000002E-3</c:v>
                </c:pt>
                <c:pt idx="2">
                  <c:v>0.39098759999999999</c:v>
                </c:pt>
                <c:pt idx="3" formatCode="General">
                  <c:v>0.18383769999999999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5-467A-AB50-D50AD87D4C07}"/>
            </c:ext>
          </c:extLst>
        </c:ser>
        <c:ser>
          <c:idx val="1"/>
          <c:order val="1"/>
          <c:tx>
            <c:strRef>
              <c:f>'Outcomes of NRM informal'!$D$427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informal'!$N$431:$N$434</c:f>
                <c:numCache>
                  <c:formatCode>General</c:formatCode>
                  <c:ptCount val="4"/>
                  <c:pt idx="0">
                    <c:v>1.0353200000000003E-2</c:v>
                  </c:pt>
                  <c:pt idx="1">
                    <c:v>1.13943E-2</c:v>
                  </c:pt>
                  <c:pt idx="2">
                    <c:v>0.2196631</c:v>
                  </c:pt>
                  <c:pt idx="3">
                    <c:v>0.10511689999999999</c:v>
                  </c:pt>
                </c:numCache>
              </c:numRef>
            </c:plus>
            <c:minus>
              <c:numRef>
                <c:f>'Outcomes of NRM informal'!$M$431:$M$434</c:f>
                <c:numCache>
                  <c:formatCode>General</c:formatCode>
                  <c:ptCount val="4"/>
                  <c:pt idx="0">
                    <c:v>6.8289999999999983E-3</c:v>
                  </c:pt>
                  <c:pt idx="1">
                    <c:v>7.6381000000000001E-3</c:v>
                  </c:pt>
                  <c:pt idx="2">
                    <c:v>0.1172202</c:v>
                  </c:pt>
                  <c:pt idx="3">
                    <c:v>7.2320300000000004E-2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informal'!$A$428:$B$431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NRM informal'!$D$428:$D$431</c:f>
              <c:numCache>
                <c:formatCode>#,##0.00000</c:formatCode>
                <c:ptCount val="4"/>
                <c:pt idx="0">
                  <c:v>2.0061699999999998E-2</c:v>
                </c:pt>
                <c:pt idx="1">
                  <c:v>2.317E-2</c:v>
                </c:pt>
                <c:pt idx="2">
                  <c:v>0.25134919999999999</c:v>
                </c:pt>
                <c:pt idx="3" formatCode="General">
                  <c:v>0.23179530000000001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5-467A-AB50-D50AD87D4C07}"/>
            </c:ext>
          </c:extLst>
        </c:ser>
        <c:ser>
          <c:idx val="2"/>
          <c:order val="2"/>
          <c:tx>
            <c:strRef>
              <c:f>'Outcomes of NRM informal'!$E$427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informal'!$N$435:$N$438</c:f>
                <c:numCache>
                  <c:formatCode>General</c:formatCode>
                  <c:ptCount val="4"/>
                  <c:pt idx="0">
                    <c:v>2.2934200000000002E-2</c:v>
                  </c:pt>
                  <c:pt idx="1">
                    <c:v>2.5774899999999989E-2</c:v>
                  </c:pt>
                  <c:pt idx="2">
                    <c:v>0.17212379999999999</c:v>
                  </c:pt>
                  <c:pt idx="3">
                    <c:v>6.6808199999999998E-2</c:v>
                  </c:pt>
                </c:numCache>
              </c:numRef>
            </c:plus>
            <c:minus>
              <c:numRef>
                <c:f>'Outcomes of NRM informal'!$M$435:$M$438</c:f>
                <c:numCache>
                  <c:formatCode>General</c:formatCode>
                  <c:ptCount val="4"/>
                  <c:pt idx="0">
                    <c:v>1.8499799999999997E-2</c:v>
                  </c:pt>
                  <c:pt idx="1">
                    <c:v>2.0835400000000004E-2</c:v>
                  </c:pt>
                  <c:pt idx="2">
                    <c:v>5.6352799999999995E-2</c:v>
                  </c:pt>
                  <c:pt idx="3">
                    <c:v>3.4638799999999997E-2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informal'!$A$428:$B$431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NRM informal'!$E$428:$E$431</c:f>
              <c:numCache>
                <c:formatCode>#,##0.00000</c:formatCode>
                <c:ptCount val="4"/>
                <c:pt idx="0">
                  <c:v>9.5679E-2</c:v>
                </c:pt>
                <c:pt idx="1">
                  <c:v>0.10872080000000001</c:v>
                </c:pt>
                <c:pt idx="2" formatCode="0.00E+00">
                  <c:v>8.3783099999999999E-2</c:v>
                </c:pt>
                <c:pt idx="3" formatCode="0.00E+00">
                  <c:v>7.19365E-2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35-467A-AB50-D50AD87D4C07}"/>
            </c:ext>
          </c:extLst>
        </c:ser>
        <c:ser>
          <c:idx val="3"/>
          <c:order val="3"/>
          <c:tx>
            <c:strRef>
              <c:f>'Outcomes of NRM informal'!$F$427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informal'!$P$427:$P$430</c:f>
                <c:numCache>
                  <c:formatCode>General</c:formatCode>
                  <c:ptCount val="4"/>
                  <c:pt idx="0">
                    <c:v>4.6057700000000035E-2</c:v>
                  </c:pt>
                  <c:pt idx="1">
                    <c:v>6.1507599999999996E-2</c:v>
                  </c:pt>
                  <c:pt idx="2">
                    <c:v>0.22681010000000001</c:v>
                  </c:pt>
                  <c:pt idx="3">
                    <c:v>0.10952630000000002</c:v>
                  </c:pt>
                </c:numCache>
              </c:numRef>
            </c:plus>
            <c:minus>
              <c:numRef>
                <c:f>'Outcomes of NRM informal'!$O$427:$O$430</c:f>
                <c:numCache>
                  <c:formatCode>General</c:formatCode>
                  <c:ptCount val="4"/>
                  <c:pt idx="0">
                    <c:v>3.914479999999998E-2</c:v>
                  </c:pt>
                  <c:pt idx="1">
                    <c:v>5.2914399999999973E-2</c:v>
                  </c:pt>
                  <c:pt idx="2">
                    <c:v>0.1125515</c:v>
                  </c:pt>
                  <c:pt idx="3">
                    <c:v>7.7390699999999979E-2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informal'!$A$428:$B$431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NRM informal'!$F$428:$F$431</c:f>
              <c:numCache>
                <c:formatCode>#,##0.00000</c:formatCode>
                <c:ptCount val="4"/>
                <c:pt idx="0">
                  <c:v>0.26080249999999999</c:v>
                </c:pt>
                <c:pt idx="1">
                  <c:v>0.37874059999999998</c:v>
                </c:pt>
                <c:pt idx="2">
                  <c:v>0.2234215</c:v>
                </c:pt>
                <c:pt idx="3" formatCode="General">
                  <c:v>0.26376709999999998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35-467A-AB50-D50AD87D4C07}"/>
            </c:ext>
          </c:extLst>
        </c:ser>
        <c:ser>
          <c:idx val="4"/>
          <c:order val="4"/>
          <c:tx>
            <c:strRef>
              <c:f>'Outcomes of NRM informal'!$G$427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informal'!$P$431:$P$434</c:f>
                <c:numCache>
                  <c:formatCode>General</c:formatCode>
                  <c:ptCount val="4"/>
                  <c:pt idx="0">
                    <c:v>0.23456600000000005</c:v>
                  </c:pt>
                  <c:pt idx="1">
                    <c:v>0.214445</c:v>
                  </c:pt>
                  <c:pt idx="2">
                    <c:v>0.73550149999999992</c:v>
                  </c:pt>
                  <c:pt idx="3">
                    <c:v>0.27500099999999983</c:v>
                  </c:pt>
                </c:numCache>
              </c:numRef>
            </c:plus>
            <c:minus>
              <c:numRef>
                <c:f>'Outcomes of NRM informal'!$O$431:$O$434</c:f>
                <c:numCache>
                  <c:formatCode>General</c:formatCode>
                  <c:ptCount val="4"/>
                  <c:pt idx="0">
                    <c:v>0.199125</c:v>
                  </c:pt>
                  <c:pt idx="1">
                    <c:v>0.18858700000000006</c:v>
                  </c:pt>
                  <c:pt idx="2">
                    <c:v>0.39166910000000005</c:v>
                  </c:pt>
                  <c:pt idx="3">
                    <c:v>0.21709960000000006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informal'!$A$428:$B$431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NRM informal'!$G$428:$G$431</c:f>
              <c:numCache>
                <c:formatCode>#,##0.00000</c:formatCode>
                <c:ptCount val="4"/>
                <c:pt idx="0">
                  <c:v>1.317901</c:v>
                </c:pt>
                <c:pt idx="1">
                  <c:v>1.563976</c:v>
                </c:pt>
                <c:pt idx="2" formatCode="#,##0">
                  <c:v>0.83783050000000003</c:v>
                </c:pt>
                <c:pt idx="3" formatCode="#,##0">
                  <c:v>1.0310900000000001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35-467A-AB50-D50AD87D4C07}"/>
            </c:ext>
          </c:extLst>
        </c:ser>
        <c:ser>
          <c:idx val="5"/>
          <c:order val="5"/>
          <c:tx>
            <c:strRef>
              <c:f>'Outcomes of NRM informal'!$H$427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informal'!$P$435:$P$438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0.11744969999999999</c:v>
                  </c:pt>
                  <c:pt idx="2">
                    <c:v>0.96239600000000003</c:v>
                  </c:pt>
                  <c:pt idx="3">
                    <c:v>0.57686700000000002</c:v>
                  </c:pt>
                </c:numCache>
              </c:numRef>
            </c:plus>
            <c:minus>
              <c:numRef>
                <c:f>'Outcomes of NRM informal'!$O$435:$O$438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0.10292610000000002</c:v>
                  </c:pt>
                  <c:pt idx="2">
                    <c:v>0.67264999999999975</c:v>
                  </c:pt>
                  <c:pt idx="3">
                    <c:v>0.48249699999999995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informal'!$A$428:$B$431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NRM informal'!$H$428:$H$431</c:f>
              <c:numCache>
                <c:formatCode>#,##0.00000</c:formatCode>
                <c:ptCount val="4"/>
                <c:pt idx="0">
                  <c:v>1</c:v>
                </c:pt>
                <c:pt idx="1">
                  <c:v>0.83233809999999997</c:v>
                </c:pt>
                <c:pt idx="2" formatCode="#,##0">
                  <c:v>2.2342149999999998</c:v>
                </c:pt>
                <c:pt idx="3" formatCode="#,##0">
                  <c:v>2.9493960000000001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35-467A-AB50-D50AD87D4C07}"/>
            </c:ext>
          </c:extLst>
        </c:ser>
        <c:ser>
          <c:idx val="6"/>
          <c:order val="6"/>
          <c:tx>
            <c:strRef>
              <c:f>'Outcomes of NRM informal'!$I$427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informal'!$R$427:$R$430</c:f>
                <c:numCache>
                  <c:formatCode>General</c:formatCode>
                  <c:ptCount val="4"/>
                  <c:pt idx="0">
                    <c:v>8.0854999999999989E-3</c:v>
                  </c:pt>
                  <c:pt idx="1">
                    <c:v>9.7674999999999984E-3</c:v>
                  </c:pt>
                  <c:pt idx="2">
                    <c:v>0.257629</c:v>
                  </c:pt>
                  <c:pt idx="3">
                    <c:v>0.11065620000000004</c:v>
                  </c:pt>
                </c:numCache>
              </c:numRef>
            </c:plus>
            <c:minus>
              <c:numRef>
                <c:f>'Outcomes of NRM informal'!$Q$427:$Q$430</c:f>
                <c:numCache>
                  <c:formatCode>General</c:formatCode>
                  <c:ptCount val="4"/>
                  <c:pt idx="0">
                    <c:v>4.8858000000000009E-3</c:v>
                  </c:pt>
                  <c:pt idx="1">
                    <c:v>6.0709000000000006E-3</c:v>
                  </c:pt>
                  <c:pt idx="2">
                    <c:v>0.14012049999999998</c:v>
                  </c:pt>
                  <c:pt idx="3">
                    <c:v>7.795309999999997E-2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informal'!$A$428:$B$431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NRM informal'!$I$428:$I$431</c:f>
              <c:numCache>
                <c:formatCode>#,##0.000000</c:formatCode>
                <c:ptCount val="4"/>
                <c:pt idx="0">
                  <c:v>1.2345800000000001E-2</c:v>
                </c:pt>
                <c:pt idx="1">
                  <c:v>1.6040800000000001E-2</c:v>
                </c:pt>
                <c:pt idx="2">
                  <c:v>0.30720449999999999</c:v>
                </c:pt>
                <c:pt idx="3" formatCode="General">
                  <c:v>0.26376709999999998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35-467A-AB50-D50AD87D4C07}"/>
            </c:ext>
          </c:extLst>
        </c:ser>
        <c:ser>
          <c:idx val="7"/>
          <c:order val="7"/>
          <c:tx>
            <c:strRef>
              <c:f>'Outcomes of NRM informal'!$J$427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informal'!$R$431:$R$434</c:f>
                <c:numCache>
                  <c:formatCode>General</c:formatCode>
                  <c:ptCount val="4"/>
                  <c:pt idx="0">
                    <c:v>1.9548199999999988E-2</c:v>
                  </c:pt>
                  <c:pt idx="1">
                    <c:v>1.9049499999999997E-2</c:v>
                  </c:pt>
                  <c:pt idx="2">
                    <c:v>0.21930680000000002</c:v>
                  </c:pt>
                  <c:pt idx="3">
                    <c:v>9.9279299999999987E-2</c:v>
                  </c:pt>
                </c:numCache>
              </c:numRef>
            </c:plus>
            <c:minus>
              <c:numRef>
                <c:f>'Outcomes of NRM informal'!$Q$431:$Q$434</c:f>
                <c:numCache>
                  <c:formatCode>General</c:formatCode>
                  <c:ptCount val="4"/>
                  <c:pt idx="0">
                    <c:v>1.5018600000000007E-2</c:v>
                  </c:pt>
                  <c:pt idx="1">
                    <c:v>1.4780000000000001E-2</c:v>
                  </c:pt>
                  <c:pt idx="2">
                    <c:v>0.11067249999999999</c:v>
                  </c:pt>
                  <c:pt idx="3">
                    <c:v>6.5421399999999991E-2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informal'!$A$428:$B$431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NRM informal'!$J$428:$J$431</c:f>
              <c:numCache>
                <c:formatCode>#,##0.000000</c:formatCode>
                <c:ptCount val="4"/>
                <c:pt idx="0">
                  <c:v>6.4814800000000006E-2</c:v>
                </c:pt>
                <c:pt idx="1">
                  <c:v>6.5945400000000001E-2</c:v>
                </c:pt>
                <c:pt idx="2">
                  <c:v>0.2234215</c:v>
                </c:pt>
                <c:pt idx="3" formatCode="General">
                  <c:v>0.19183059999999999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35-467A-AB50-D50AD87D4C07}"/>
            </c:ext>
          </c:extLst>
        </c:ser>
        <c:ser>
          <c:idx val="8"/>
          <c:order val="8"/>
          <c:tx>
            <c:strRef>
              <c:f>'Outcomes of NRM informal'!$K$427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NRM informal'!$R$435:$R$438</c:f>
                <c:numCache>
                  <c:formatCode>General</c:formatCode>
                  <c:ptCount val="4"/>
                  <c:pt idx="0">
                    <c:v>5.974999999999997E-2</c:v>
                  </c:pt>
                  <c:pt idx="1">
                    <c:v>6.498430000000005E-2</c:v>
                  </c:pt>
                  <c:pt idx="2">
                    <c:v>0.17820819999999998</c:v>
                  </c:pt>
                  <c:pt idx="3">
                    <c:v>6.1831899999999995E-2</c:v>
                  </c:pt>
                </c:numCache>
              </c:numRef>
            </c:plus>
            <c:minus>
              <c:numRef>
                <c:f>'Outcomes of NRM informal'!$Q$435:$Q$438</c:f>
                <c:numCache>
                  <c:formatCode>General</c:formatCode>
                  <c:ptCount val="4"/>
                  <c:pt idx="0">
                    <c:v>4.8823200000000039E-2</c:v>
                  </c:pt>
                  <c:pt idx="1">
                    <c:v>5.5151299999999959E-2</c:v>
                  </c:pt>
                  <c:pt idx="2">
                    <c:v>6.8666599999999994E-2</c:v>
                  </c:pt>
                  <c:pt idx="3">
                    <c:v>2.9372200000000005E-2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NRM informal'!$A$428:$B$431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NRM informal'!$K$428:$K$431</c:f>
              <c:numCache>
                <c:formatCode>#,##0</c:formatCode>
                <c:ptCount val="4"/>
                <c:pt idx="0" formatCode="General">
                  <c:v>0.26697530000000003</c:v>
                </c:pt>
                <c:pt idx="1">
                  <c:v>0.36448209999999998</c:v>
                </c:pt>
                <c:pt idx="2" formatCode="General">
                  <c:v>0.1117107</c:v>
                </c:pt>
                <c:pt idx="3" formatCode="General">
                  <c:v>5.5950600000000003E-2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35-467A-AB50-D50AD87D4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140024"/>
        <c:axId val="451140352"/>
      </c:barChart>
      <c:catAx>
        <c:axId val="45114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40352"/>
        <c:crosses val="autoZero"/>
        <c:auto val="1"/>
        <c:lblAlgn val="ctr"/>
        <c:lblOffset val="100"/>
        <c:noMultiLvlLbl val="0"/>
      </c:catAx>
      <c:valAx>
        <c:axId val="4511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4002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out of emp'!$C$52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of out of emp'!$B$53:$B$56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out of emp'!$C$53:$C$56</c:f>
              <c:numCache>
                <c:formatCode>#,##0</c:formatCode>
                <c:ptCount val="4"/>
                <c:pt idx="0">
                  <c:v>1</c:v>
                </c:pt>
                <c:pt idx="1">
                  <c:v>2.1673450000000001</c:v>
                </c:pt>
                <c:pt idx="2">
                  <c:v>2.3762819999999998</c:v>
                </c:pt>
                <c:pt idx="3">
                  <c:v>3.6388769999999999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7-432A-AA67-69B713A36972}"/>
            </c:ext>
          </c:extLst>
        </c:ser>
        <c:ser>
          <c:idx val="1"/>
          <c:order val="1"/>
          <c:tx>
            <c:strRef>
              <c:f>'Outcomes of out of emp'!$D$52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of out of emp'!$B$53:$B$56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out of emp'!$D$53:$D$56</c:f>
              <c:numCache>
                <c:formatCode>#,##0</c:formatCode>
                <c:ptCount val="4"/>
                <c:pt idx="0">
                  <c:v>1.508554</c:v>
                </c:pt>
                <c:pt idx="1">
                  <c:v>5.1862979999999999</c:v>
                </c:pt>
                <c:pt idx="2">
                  <c:v>4.3100820000000004</c:v>
                </c:pt>
                <c:pt idx="3">
                  <c:v>7.5044399999999998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7-432A-AA67-69B713A36972}"/>
            </c:ext>
          </c:extLst>
        </c:ser>
        <c:ser>
          <c:idx val="2"/>
          <c:order val="2"/>
          <c:tx>
            <c:strRef>
              <c:f>'Outcomes of out of emp'!$E$52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of out of emp'!$B$53:$B$56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out of emp'!$E$53:$E$56</c:f>
              <c:numCache>
                <c:formatCode>#,##0</c:formatCode>
                <c:ptCount val="4"/>
                <c:pt idx="0">
                  <c:v>1.407465</c:v>
                </c:pt>
                <c:pt idx="1">
                  <c:v>3.5214020000000001</c:v>
                </c:pt>
                <c:pt idx="2">
                  <c:v>3.0536569999999998</c:v>
                </c:pt>
                <c:pt idx="3">
                  <c:v>3.4241229999999998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67-432A-AA67-69B713A36972}"/>
            </c:ext>
          </c:extLst>
        </c:ser>
        <c:ser>
          <c:idx val="3"/>
          <c:order val="3"/>
          <c:tx>
            <c:strRef>
              <c:f>'Outcomes of out of emp'!$F$52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of out of emp'!$B$53:$B$56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out of emp'!$F$53:$F$56</c:f>
              <c:numCache>
                <c:formatCode>#,##0</c:formatCode>
                <c:ptCount val="4"/>
                <c:pt idx="0">
                  <c:v>1.8538110000000001</c:v>
                </c:pt>
                <c:pt idx="1">
                  <c:v>4.7221710000000003</c:v>
                </c:pt>
                <c:pt idx="2">
                  <c:v>4.4712329999999998</c:v>
                </c:pt>
                <c:pt idx="3">
                  <c:v>6.0846809999999998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67-432A-AA67-69B713A36972}"/>
            </c:ext>
          </c:extLst>
        </c:ser>
        <c:ser>
          <c:idx val="4"/>
          <c:order val="4"/>
          <c:tx>
            <c:strRef>
              <c:f>'Outcomes of out of emp'!$G$52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'Outcomes of out of emp'!$B$53:$B$56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out of emp'!$G$53:$G$56</c:f>
              <c:numCache>
                <c:formatCode>#,##0</c:formatCode>
                <c:ptCount val="4"/>
                <c:pt idx="0">
                  <c:v>1.5972010000000001</c:v>
                </c:pt>
                <c:pt idx="1">
                  <c:v>3.887594</c:v>
                </c:pt>
                <c:pt idx="2">
                  <c:v>2.9717169999999999</c:v>
                </c:pt>
                <c:pt idx="3">
                  <c:v>1.431689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67-432A-AA67-69B713A36972}"/>
            </c:ext>
          </c:extLst>
        </c:ser>
        <c:ser>
          <c:idx val="5"/>
          <c:order val="5"/>
          <c:tx>
            <c:strRef>
              <c:f>'Outcomes of out of emp'!$H$52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'Outcomes of out of emp'!$B$53:$B$56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out of emp'!$H$53:$H$56</c:f>
              <c:numCache>
                <c:formatCode>#,##0</c:formatCode>
                <c:ptCount val="4"/>
                <c:pt idx="0" formatCode="General">
                  <c:v>0.27216420000000002</c:v>
                </c:pt>
                <c:pt idx="1">
                  <c:v>0.95380189999999998</c:v>
                </c:pt>
                <c:pt idx="2">
                  <c:v>2.4445649999999999</c:v>
                </c:pt>
                <c:pt idx="3" formatCode="General">
                  <c:v>0.6442601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67-432A-AA67-69B713A36972}"/>
            </c:ext>
          </c:extLst>
        </c:ser>
        <c:ser>
          <c:idx val="6"/>
          <c:order val="6"/>
          <c:tx>
            <c:strRef>
              <c:f>'Outcomes of out of emp'!$I$52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of out of emp'!$B$53:$B$56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out of emp'!$I$53:$I$56</c:f>
              <c:numCache>
                <c:formatCode>#,##0</c:formatCode>
                <c:ptCount val="4"/>
                <c:pt idx="0" formatCode="General">
                  <c:v>0.62052870000000004</c:v>
                </c:pt>
                <c:pt idx="1">
                  <c:v>1.843734</c:v>
                </c:pt>
                <c:pt idx="2">
                  <c:v>2.6739989999999998</c:v>
                </c:pt>
                <c:pt idx="3">
                  <c:v>4.5336829999999999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F-4E60-953D-F3ECDFC702A5}"/>
            </c:ext>
          </c:extLst>
        </c:ser>
        <c:ser>
          <c:idx val="7"/>
          <c:order val="7"/>
          <c:tx>
            <c:strRef>
              <c:f>'Outcomes of out of emp'!$J$52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of out of emp'!$B$53:$B$56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out of emp'!$J$53:$J$56</c:f>
              <c:numCache>
                <c:formatCode>#,##0</c:formatCode>
                <c:ptCount val="4"/>
                <c:pt idx="0">
                  <c:v>1.0202180000000001</c:v>
                </c:pt>
                <c:pt idx="1">
                  <c:v>4.0110770000000002</c:v>
                </c:pt>
                <c:pt idx="2">
                  <c:v>4.520397</c:v>
                </c:pt>
                <c:pt idx="3">
                  <c:v>8.4469689999999993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F-4E60-953D-F3ECDFC702A5}"/>
            </c:ext>
          </c:extLst>
        </c:ser>
        <c:ser>
          <c:idx val="8"/>
          <c:order val="8"/>
          <c:tx>
            <c:strRef>
              <c:f>'Outcomes of out of emp'!$K$52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of out of emp'!$B$53:$B$56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out of emp'!$K$53:$K$56</c:f>
              <c:numCache>
                <c:formatCode>#,##0</c:formatCode>
                <c:ptCount val="4"/>
                <c:pt idx="0">
                  <c:v>2.2379479999999998</c:v>
                </c:pt>
                <c:pt idx="1">
                  <c:v>6.5318399999999999</c:v>
                </c:pt>
                <c:pt idx="2">
                  <c:v>7.4074429999999998</c:v>
                </c:pt>
                <c:pt idx="3">
                  <c:v>6.4187419999999999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BF-4E60-953D-F3ECDFC702A5}"/>
            </c:ext>
          </c:extLst>
        </c:ser>
        <c:ser>
          <c:idx val="9"/>
          <c:order val="9"/>
          <c:tx>
            <c:strRef>
              <c:f>'Outcomes of out of emp'!$L$52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of out of emp'!$B$53:$B$56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out of emp'!$L$53:$L$56</c:f>
              <c:numCache>
                <c:formatCode>#,##0</c:formatCode>
                <c:ptCount val="4"/>
                <c:pt idx="0">
                  <c:v>3.902021</c:v>
                </c:pt>
                <c:pt idx="1">
                  <c:v>12.028969999999999</c:v>
                </c:pt>
                <c:pt idx="2">
                  <c:v>14.21672</c:v>
                </c:pt>
                <c:pt idx="3">
                  <c:v>17.8126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BF-4E60-953D-F3ECDFC70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882440"/>
        <c:axId val="580882768"/>
      </c:barChart>
      <c:catAx>
        <c:axId val="58088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82768"/>
        <c:crosses val="autoZero"/>
        <c:auto val="1"/>
        <c:lblAlgn val="ctr"/>
        <c:lblOffset val="100"/>
        <c:noMultiLvlLbl val="0"/>
      </c:catAx>
      <c:valAx>
        <c:axId val="5808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8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out of emp'!$C$150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emp'!$G$106:$G$109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0.10393030000000003</c:v>
                  </c:pt>
                  <c:pt idx="2">
                    <c:v>8.810030000000002E-2</c:v>
                  </c:pt>
                  <c:pt idx="3">
                    <c:v>0.15070910000000015</c:v>
                  </c:pt>
                </c:numCache>
              </c:numRef>
            </c:plus>
            <c:minus>
              <c:numRef>
                <c:f>'Outcomes of out of emp'!$F$106:$F$109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9.2426899999999979E-2</c:v>
                  </c:pt>
                  <c:pt idx="2">
                    <c:v>7.9426700000000072E-2</c:v>
                  </c:pt>
                  <c:pt idx="3">
                    <c:v>0.1300152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out of emp'!$B$151:$B$154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out of emp'!$C$151:$C$154</c:f>
              <c:numCache>
                <c:formatCode>#,##0</c:formatCode>
                <c:ptCount val="4"/>
                <c:pt idx="0">
                  <c:v>1</c:v>
                </c:pt>
                <c:pt idx="1">
                  <c:v>0.83505249999999998</c:v>
                </c:pt>
                <c:pt idx="2">
                  <c:v>0.80677310000000002</c:v>
                </c:pt>
                <c:pt idx="3">
                  <c:v>0.94688589999999995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1-4746-8516-4917E5B4A6B0}"/>
            </c:ext>
          </c:extLst>
        </c:ser>
        <c:ser>
          <c:idx val="1"/>
          <c:order val="1"/>
          <c:tx>
            <c:strRef>
              <c:f>'Outcomes of out of emp'!$D$150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emp'!$G$110:$G$113</c:f>
                <c:numCache>
                  <c:formatCode>General</c:formatCode>
                  <c:ptCount val="4"/>
                  <c:pt idx="0">
                    <c:v>0.16459299999999999</c:v>
                  </c:pt>
                  <c:pt idx="1">
                    <c:v>0.21442500000000009</c:v>
                  </c:pt>
                  <c:pt idx="2">
                    <c:v>0.14828400000000008</c:v>
                  </c:pt>
                  <c:pt idx="3">
                    <c:v>0.24655600000000022</c:v>
                  </c:pt>
                </c:numCache>
              </c:numRef>
            </c:plus>
            <c:minus>
              <c:numRef>
                <c:f>'Outcomes of out of emp'!$F$110:$F$113</c:f>
                <c:numCache>
                  <c:formatCode>General</c:formatCode>
                  <c:ptCount val="4"/>
                  <c:pt idx="0">
                    <c:v>0.14840199999999992</c:v>
                  </c:pt>
                  <c:pt idx="1">
                    <c:v>0.19364500000000007</c:v>
                  </c:pt>
                  <c:pt idx="2">
                    <c:v>0.13464199999999993</c:v>
                  </c:pt>
                  <c:pt idx="3">
                    <c:v>0.21891599999999989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out of emp'!$B$151:$B$154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out of emp'!$D$151:$D$154</c:f>
              <c:numCache>
                <c:formatCode>#,##0</c:formatCode>
                <c:ptCount val="4"/>
                <c:pt idx="0">
                  <c:v>1.508554</c:v>
                </c:pt>
                <c:pt idx="1">
                  <c:v>1.9982200000000001</c:v>
                </c:pt>
                <c:pt idx="2">
                  <c:v>1.46332</c:v>
                </c:pt>
                <c:pt idx="3">
                  <c:v>1.952758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1-4746-8516-4917E5B4A6B0}"/>
            </c:ext>
          </c:extLst>
        </c:ser>
        <c:ser>
          <c:idx val="2"/>
          <c:order val="2"/>
          <c:tx>
            <c:strRef>
              <c:f>'Outcomes of out of emp'!$E$150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emp'!$G$114:$G$117</c:f>
                <c:numCache>
                  <c:formatCode>General</c:formatCode>
                  <c:ptCount val="4"/>
                  <c:pt idx="0">
                    <c:v>0.15861900000000007</c:v>
                  </c:pt>
                  <c:pt idx="1">
                    <c:v>0.16172500000000012</c:v>
                  </c:pt>
                  <c:pt idx="2">
                    <c:v>0.11185699999999987</c:v>
                  </c:pt>
                  <c:pt idx="3">
                    <c:v>0.15407090000000001</c:v>
                  </c:pt>
                </c:numCache>
              </c:numRef>
            </c:plus>
            <c:minus>
              <c:numRef>
                <c:f>'Outcomes of out of emp'!$F$114:$F$117</c:f>
                <c:numCache>
                  <c:formatCode>General</c:formatCode>
                  <c:ptCount val="4"/>
                  <c:pt idx="0">
                    <c:v>0.14255400000000007</c:v>
                  </c:pt>
                  <c:pt idx="1">
                    <c:v>0.14449999999999985</c:v>
                  </c:pt>
                  <c:pt idx="2">
                    <c:v>0.10096410000000011</c:v>
                  </c:pt>
                  <c:pt idx="3">
                    <c:v>0.13135659999999993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out of emp'!$B$151:$B$154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out of emp'!$E$151:$E$154</c:f>
              <c:numCache>
                <c:formatCode>#,##0</c:formatCode>
                <c:ptCount val="4"/>
                <c:pt idx="0">
                  <c:v>1.407465</c:v>
                </c:pt>
                <c:pt idx="1">
                  <c:v>1.3567549999999999</c:v>
                </c:pt>
                <c:pt idx="2">
                  <c:v>1.0367500000000001</c:v>
                </c:pt>
                <c:pt idx="3">
                  <c:v>0.89100409999999997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51-4746-8516-4917E5B4A6B0}"/>
            </c:ext>
          </c:extLst>
        </c:ser>
        <c:ser>
          <c:idx val="3"/>
          <c:order val="3"/>
          <c:tx>
            <c:strRef>
              <c:f>'Outcomes of out of emp'!$F$150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emp'!$G$118:$G$121</c:f>
                <c:numCache>
                  <c:formatCode>General</c:formatCode>
                  <c:ptCount val="4"/>
                  <c:pt idx="0">
                    <c:v>0.19581799999999983</c:v>
                  </c:pt>
                  <c:pt idx="1">
                    <c:v>0.19863100000000022</c:v>
                  </c:pt>
                  <c:pt idx="2">
                    <c:v>0.15386100000000003</c:v>
                  </c:pt>
                  <c:pt idx="3">
                    <c:v>0.21189499999999994</c:v>
                  </c:pt>
                </c:numCache>
              </c:numRef>
            </c:plus>
            <c:minus>
              <c:numRef>
                <c:f>'Outcomes of out of emp'!$F$118:$F$121</c:f>
                <c:numCache>
                  <c:formatCode>General</c:formatCode>
                  <c:ptCount val="4"/>
                  <c:pt idx="0">
                    <c:v>0.17710899999999996</c:v>
                  </c:pt>
                  <c:pt idx="1">
                    <c:v>0.17907999999999991</c:v>
                  </c:pt>
                  <c:pt idx="2">
                    <c:v>0.13969300000000007</c:v>
                  </c:pt>
                  <c:pt idx="3">
                    <c:v>0.18684100000000003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out of emp'!$B$151:$B$154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out of emp'!$F$151:$F$154</c:f>
              <c:numCache>
                <c:formatCode>#,##0</c:formatCode>
                <c:ptCount val="4"/>
                <c:pt idx="0">
                  <c:v>1.85381</c:v>
                </c:pt>
                <c:pt idx="1">
                  <c:v>1.8193969999999999</c:v>
                </c:pt>
                <c:pt idx="2">
                  <c:v>1.517104</c:v>
                </c:pt>
                <c:pt idx="3">
                  <c:v>1.5802130000000001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51-4746-8516-4917E5B4A6B0}"/>
            </c:ext>
          </c:extLst>
        </c:ser>
        <c:ser>
          <c:idx val="4"/>
          <c:order val="4"/>
          <c:tx>
            <c:strRef>
              <c:f>'Outcomes of out of emp'!$G$150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emp'!$G$122:$G$125</c:f>
                <c:numCache>
                  <c:formatCode>General</c:formatCode>
                  <c:ptCount val="4"/>
                  <c:pt idx="0">
                    <c:v>0.16941699999999993</c:v>
                  </c:pt>
                  <c:pt idx="1">
                    <c:v>0.16288899999999984</c:v>
                  </c:pt>
                  <c:pt idx="2">
                    <c:v>0.10645499999999997</c:v>
                  </c:pt>
                  <c:pt idx="3">
                    <c:v>8.0268399999999962E-2</c:v>
                  </c:pt>
                </c:numCache>
              </c:numRef>
            </c:plus>
            <c:minus>
              <c:numRef>
                <c:f>'Outcomes of out of emp'!$F$122:$F$125</c:f>
                <c:numCache>
                  <c:formatCode>General</c:formatCode>
                  <c:ptCount val="4"/>
                  <c:pt idx="0">
                    <c:v>0.15317100000000017</c:v>
                  </c:pt>
                  <c:pt idx="1">
                    <c:v>0.14691300000000007</c:v>
                  </c:pt>
                  <c:pt idx="2">
                    <c:v>9.6294500000000061E-2</c:v>
                  </c:pt>
                  <c:pt idx="3">
                    <c:v>6.6039600000000032E-2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out of emp'!$B$151:$B$154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out of emp'!$G$151:$G$154</c:f>
              <c:numCache>
                <c:formatCode>#,##0</c:formatCode>
                <c:ptCount val="4"/>
                <c:pt idx="0">
                  <c:v>1.5972010000000001</c:v>
                </c:pt>
                <c:pt idx="1">
                  <c:v>1.4978450000000001</c:v>
                </c:pt>
                <c:pt idx="2">
                  <c:v>1.0089300000000001</c:v>
                </c:pt>
                <c:pt idx="3">
                  <c:v>0.37254530000000002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51-4746-8516-4917E5B4A6B0}"/>
            </c:ext>
          </c:extLst>
        </c:ser>
        <c:ser>
          <c:idx val="5"/>
          <c:order val="5"/>
          <c:tx>
            <c:strRef>
              <c:f>'Outcomes of out of emp'!$H$150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emp'!$G$126:$G$129</c:f>
                <c:numCache>
                  <c:formatCode>General</c:formatCode>
                  <c:ptCount val="4"/>
                  <c:pt idx="0">
                    <c:v>4.983559999999998E-2</c:v>
                  </c:pt>
                  <c:pt idx="1">
                    <c:v>6.070239999999999E-2</c:v>
                  </c:pt>
                  <c:pt idx="2">
                    <c:v>9.3902099999999988E-2</c:v>
                  </c:pt>
                  <c:pt idx="3">
                    <c:v>5.5994500000000003E-2</c:v>
                  </c:pt>
                </c:numCache>
              </c:numRef>
            </c:plus>
            <c:minus>
              <c:numRef>
                <c:f>'Outcomes of out of emp'!$F$126:$F$129</c:f>
                <c:numCache>
                  <c:formatCode>General</c:formatCode>
                  <c:ptCount val="4"/>
                  <c:pt idx="0">
                    <c:v>4.2122500000000007E-2</c:v>
                  </c:pt>
                  <c:pt idx="1">
                    <c:v>5.2096900000000002E-2</c:v>
                  </c:pt>
                  <c:pt idx="2">
                    <c:v>8.4357799999999927E-2</c:v>
                  </c:pt>
                  <c:pt idx="3">
                    <c:v>4.1974700000000004E-2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out of emp'!$B$151:$B$154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out of emp'!$H$151:$H$154</c:f>
              <c:numCache>
                <c:formatCode>#,##0</c:formatCode>
                <c:ptCount val="4"/>
                <c:pt idx="0" formatCode="General">
                  <c:v>0.27216170000000001</c:v>
                </c:pt>
                <c:pt idx="1">
                  <c:v>0.3674887</c:v>
                </c:pt>
                <c:pt idx="2">
                  <c:v>0.82995629999999998</c:v>
                </c:pt>
                <c:pt idx="3" formatCode="General">
                  <c:v>0.1676454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51-4746-8516-4917E5B4A6B0}"/>
            </c:ext>
          </c:extLst>
        </c:ser>
        <c:ser>
          <c:idx val="6"/>
          <c:order val="6"/>
          <c:tx>
            <c:strRef>
              <c:f>'Outcomes of out of emp'!$I$150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emp'!$G$130:$G$133</c:f>
                <c:numCache>
                  <c:formatCode>General</c:formatCode>
                  <c:ptCount val="4"/>
                  <c:pt idx="0">
                    <c:v>9.0024500000000063E-2</c:v>
                  </c:pt>
                  <c:pt idx="1">
                    <c:v>9.7271600000000014E-2</c:v>
                  </c:pt>
                  <c:pt idx="2">
                    <c:v>0.1013714</c:v>
                  </c:pt>
                  <c:pt idx="3">
                    <c:v>0.18901900000000005</c:v>
                  </c:pt>
                </c:numCache>
              </c:numRef>
            </c:plus>
            <c:minus>
              <c:numRef>
                <c:f>'Outcomes of out of emp'!$F$130:$F$133</c:f>
                <c:numCache>
                  <c:formatCode>General</c:formatCode>
                  <c:ptCount val="4"/>
                  <c:pt idx="0">
                    <c:v>7.8618700000000041E-2</c:v>
                  </c:pt>
                  <c:pt idx="1">
                    <c:v>8.555630000000003E-2</c:v>
                  </c:pt>
                  <c:pt idx="2">
                    <c:v>9.1189500000000034E-2</c:v>
                  </c:pt>
                  <c:pt idx="3">
                    <c:v>0.16291699999999998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out of emp'!$B$151:$B$154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out of emp'!$I$151:$I$154</c:f>
              <c:numCache>
                <c:formatCode>#,##0</c:formatCode>
                <c:ptCount val="4"/>
                <c:pt idx="0" formatCode="General">
                  <c:v>0.62052879999999999</c:v>
                </c:pt>
                <c:pt idx="1">
                  <c:v>0.71036880000000002</c:v>
                </c:pt>
                <c:pt idx="2">
                  <c:v>0.90785159999999998</c:v>
                </c:pt>
                <c:pt idx="3">
                  <c:v>1.179727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51-4746-8516-4917E5B4A6B0}"/>
            </c:ext>
          </c:extLst>
        </c:ser>
        <c:ser>
          <c:idx val="7"/>
          <c:order val="7"/>
          <c:tx>
            <c:strRef>
              <c:f>'Outcomes of out of emp'!$J$150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emp'!$G$134:$G$137</c:f>
                <c:numCache>
                  <c:formatCode>General</c:formatCode>
                  <c:ptCount val="4"/>
                  <c:pt idx="0">
                    <c:v>0.122444</c:v>
                  </c:pt>
                  <c:pt idx="1">
                    <c:v>0.17713900000000016</c:v>
                  </c:pt>
                  <c:pt idx="2">
                    <c:v>0.15780400000000006</c:v>
                  </c:pt>
                  <c:pt idx="3">
                    <c:v>0.29070499999999999</c:v>
                  </c:pt>
                </c:numCache>
              </c:numRef>
            </c:plus>
            <c:minus>
              <c:numRef>
                <c:f>'Outcomes of out of emp'!$F$134:$F$137</c:f>
                <c:numCache>
                  <c:formatCode>General</c:formatCode>
                  <c:ptCount val="4"/>
                  <c:pt idx="0">
                    <c:v>0.10932360000000008</c:v>
                  </c:pt>
                  <c:pt idx="1">
                    <c:v>0.15892200000000001</c:v>
                  </c:pt>
                  <c:pt idx="2">
                    <c:v>0.143092</c:v>
                  </c:pt>
                  <c:pt idx="3">
                    <c:v>0.2567480000000002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out of emp'!$B$151:$B$154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out of emp'!$J$151:$J$154</c:f>
              <c:numCache>
                <c:formatCode>#,##0</c:formatCode>
                <c:ptCount val="4"/>
                <c:pt idx="0">
                  <c:v>1.0202180000000001</c:v>
                </c:pt>
                <c:pt idx="1">
                  <c:v>1.5454209999999999</c:v>
                </c:pt>
                <c:pt idx="2">
                  <c:v>1.534724</c:v>
                </c:pt>
                <c:pt idx="3">
                  <c:v>2.1980170000000001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51-4746-8516-4917E5B4A6B0}"/>
            </c:ext>
          </c:extLst>
        </c:ser>
        <c:ser>
          <c:idx val="8"/>
          <c:order val="8"/>
          <c:tx>
            <c:strRef>
              <c:f>'Outcomes of out of emp'!$K$150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emp'!$G$138:$G$141</c:f>
                <c:numCache>
                  <c:formatCode>General</c:formatCode>
                  <c:ptCount val="4"/>
                  <c:pt idx="0">
                    <c:v>0.27540799999999965</c:v>
                  </c:pt>
                  <c:pt idx="1">
                    <c:v>0.30275499999999989</c:v>
                  </c:pt>
                  <c:pt idx="2">
                    <c:v>0.25246099999999982</c:v>
                  </c:pt>
                  <c:pt idx="3">
                    <c:v>0.25158600000000009</c:v>
                  </c:pt>
                </c:numCache>
              </c:numRef>
            </c:plus>
            <c:minus>
              <c:numRef>
                <c:f>'Outcomes of out of emp'!$F$138:$F$141</c:f>
                <c:numCache>
                  <c:formatCode>General</c:formatCode>
                  <c:ptCount val="4"/>
                  <c:pt idx="0">
                    <c:v>0.24522900000000014</c:v>
                  </c:pt>
                  <c:pt idx="1">
                    <c:v>0.27024500000000007</c:v>
                  </c:pt>
                  <c:pt idx="2">
                    <c:v>0.22941499999999992</c:v>
                  </c:pt>
                  <c:pt idx="3">
                    <c:v>0.21865099999999993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out of emp'!$B$151:$B$154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out of emp'!$K$151:$K$154</c:f>
              <c:numCache>
                <c:formatCode>#,##0</c:formatCode>
                <c:ptCount val="4"/>
                <c:pt idx="0">
                  <c:v>2.2379470000000001</c:v>
                </c:pt>
                <c:pt idx="1">
                  <c:v>2.516642</c:v>
                </c:pt>
                <c:pt idx="2">
                  <c:v>2.5130520000000001</c:v>
                </c:pt>
                <c:pt idx="3">
                  <c:v>1.670245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51-4746-8516-4917E5B4A6B0}"/>
            </c:ext>
          </c:extLst>
        </c:ser>
        <c:ser>
          <c:idx val="9"/>
          <c:order val="9"/>
          <c:tx>
            <c:strRef>
              <c:f>'Outcomes of out of emp'!$L$150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emp'!$G$142:$G$145</c:f>
                <c:numCache>
                  <c:formatCode>General</c:formatCode>
                  <c:ptCount val="4"/>
                  <c:pt idx="0">
                    <c:v>0.43497299999999983</c:v>
                  </c:pt>
                  <c:pt idx="1">
                    <c:v>0.50190799999999935</c:v>
                  </c:pt>
                  <c:pt idx="2">
                    <c:v>0.45215199999999989</c:v>
                  </c:pt>
                  <c:pt idx="3">
                    <c:v>0.53340700000000041</c:v>
                  </c:pt>
                </c:numCache>
              </c:numRef>
            </c:plus>
            <c:minus>
              <c:numRef>
                <c:f>'Outcomes of out of emp'!$F$142:$F$145</c:f>
                <c:numCache>
                  <c:formatCode>General</c:formatCode>
                  <c:ptCount val="4"/>
                  <c:pt idx="0">
                    <c:v>0.39134899999999995</c:v>
                  </c:pt>
                  <c:pt idx="1">
                    <c:v>0.45286400000000082</c:v>
                  </c:pt>
                  <c:pt idx="2">
                    <c:v>0.41342400000000001</c:v>
                  </c:pt>
                  <c:pt idx="3">
                    <c:v>0.47835699999999992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out of emp'!$B$151:$B$154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out of emp'!$L$151:$L$154</c:f>
              <c:numCache>
                <c:formatCode>#,##0</c:formatCode>
                <c:ptCount val="4"/>
                <c:pt idx="0">
                  <c:v>3.9020220000000001</c:v>
                </c:pt>
                <c:pt idx="1">
                  <c:v>4.6346230000000004</c:v>
                </c:pt>
                <c:pt idx="2">
                  <c:v>4.8267290000000003</c:v>
                </c:pt>
                <c:pt idx="3">
                  <c:v>4.635084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51-4746-8516-4917E5B4A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758288"/>
        <c:axId val="710761568"/>
      </c:barChart>
      <c:catAx>
        <c:axId val="71075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61568"/>
        <c:crosses val="autoZero"/>
        <c:auto val="1"/>
        <c:lblAlgn val="ctr"/>
        <c:lblOffset val="100"/>
        <c:noMultiLvlLbl val="0"/>
      </c:catAx>
      <c:valAx>
        <c:axId val="7107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5828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out of emp'!$C$247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emp'!$O$247:$O$250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9.9508299999999994E-2</c:v>
                  </c:pt>
                  <c:pt idx="2">
                    <c:v>7.3593900000000101E-2</c:v>
                  </c:pt>
                  <c:pt idx="3">
                    <c:v>7.7322800000000025E-2</c:v>
                  </c:pt>
                </c:numCache>
              </c:numRef>
            </c:plus>
            <c:minus>
              <c:numRef>
                <c:f>'Outcomes of out of emp'!$N$247:$N$250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8.7476700000000074E-2</c:v>
                  </c:pt>
                  <c:pt idx="2">
                    <c:v>6.4692199999999977E-2</c:v>
                  </c:pt>
                  <c:pt idx="3">
                    <c:v>6.8285600000000057E-2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out of emp'!$A$248:$B$251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out of emp'!$C$248:$C$251</c:f>
              <c:numCache>
                <c:formatCode>#,##0</c:formatCode>
                <c:ptCount val="4"/>
                <c:pt idx="0">
                  <c:v>1</c:v>
                </c:pt>
                <c:pt idx="1">
                  <c:v>0.72347890000000004</c:v>
                </c:pt>
                <c:pt idx="2">
                  <c:v>0.53483899999999995</c:v>
                </c:pt>
                <c:pt idx="3" formatCode="General">
                  <c:v>0.58425110000000002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8-4A56-B351-0F6A9CACE020}"/>
            </c:ext>
          </c:extLst>
        </c:ser>
        <c:ser>
          <c:idx val="1"/>
          <c:order val="1"/>
          <c:tx>
            <c:strRef>
              <c:f>'Outcomes of out of emp'!$D$247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emp'!$O$251:$O$254</c:f>
                <c:numCache>
                  <c:formatCode>General</c:formatCode>
                  <c:ptCount val="4"/>
                  <c:pt idx="0">
                    <c:v>0.18906000000000001</c:v>
                  </c:pt>
                  <c:pt idx="1">
                    <c:v>0.15316700000000005</c:v>
                  </c:pt>
                  <c:pt idx="2">
                    <c:v>0.14042299999999996</c:v>
                  </c:pt>
                  <c:pt idx="3">
                    <c:v>0.13909299999999991</c:v>
                  </c:pt>
                </c:numCache>
              </c:numRef>
            </c:plus>
            <c:minus>
              <c:numRef>
                <c:f>'Outcomes of out of emp'!$N$251:$N$254</c:f>
                <c:numCache>
                  <c:formatCode>General</c:formatCode>
                  <c:ptCount val="4"/>
                  <c:pt idx="0">
                    <c:v>0.167292</c:v>
                  </c:pt>
                  <c:pt idx="1">
                    <c:v>0.13589800000000007</c:v>
                  </c:pt>
                  <c:pt idx="2">
                    <c:v>0.12569399999999997</c:v>
                  </c:pt>
                  <c:pt idx="3">
                    <c:v>0.12445800000000018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out of emp'!$A$248:$B$251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out of emp'!$D$248:$D$251</c:f>
              <c:numCache>
                <c:formatCode>#,##0</c:formatCode>
                <c:ptCount val="4"/>
                <c:pt idx="0">
                  <c:v>1.452906</c:v>
                </c:pt>
                <c:pt idx="1">
                  <c:v>1.205295</c:v>
                </c:pt>
                <c:pt idx="2">
                  <c:v>1.198269</c:v>
                </c:pt>
                <c:pt idx="3">
                  <c:v>1.1827730000000001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8-4A56-B351-0F6A9CACE020}"/>
            </c:ext>
          </c:extLst>
        </c:ser>
        <c:ser>
          <c:idx val="2"/>
          <c:order val="2"/>
          <c:tx>
            <c:strRef>
              <c:f>'Outcomes of out of emp'!$E$247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emp'!$O$255:$O$258</c:f>
                <c:numCache>
                  <c:formatCode>General</c:formatCode>
                  <c:ptCount val="4"/>
                  <c:pt idx="0">
                    <c:v>0.31701600000000019</c:v>
                  </c:pt>
                  <c:pt idx="1">
                    <c:v>0.21097500000000013</c:v>
                  </c:pt>
                  <c:pt idx="2">
                    <c:v>5.5172600000000016E-2</c:v>
                  </c:pt>
                  <c:pt idx="3">
                    <c:v>3.6857100000000004E-2</c:v>
                  </c:pt>
                </c:numCache>
              </c:numRef>
            </c:plus>
            <c:minus>
              <c:numRef>
                <c:f>'Outcomes of out of emp'!$N$255:$N$258</c:f>
                <c:numCache>
                  <c:formatCode>General</c:formatCode>
                  <c:ptCount val="4"/>
                  <c:pt idx="0">
                    <c:v>0.28283499999999995</c:v>
                  </c:pt>
                  <c:pt idx="1">
                    <c:v>0.18835399999999991</c:v>
                  </c:pt>
                  <c:pt idx="2">
                    <c:v>4.7593399999999952E-2</c:v>
                  </c:pt>
                  <c:pt idx="3">
                    <c:v>3.1196999999999975E-2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out of emp'!$A$248:$B$251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out of emp'!$E$248:$E$251</c:f>
              <c:numCache>
                <c:formatCode>#,##0</c:formatCode>
                <c:ptCount val="4"/>
                <c:pt idx="0">
                  <c:v>2.623246</c:v>
                </c:pt>
                <c:pt idx="1">
                  <c:v>1.756589</c:v>
                </c:pt>
                <c:pt idx="2">
                  <c:v>0.34645769999999998</c:v>
                </c:pt>
                <c:pt idx="3" formatCode="General">
                  <c:v>0.20314479999999999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88-4A56-B351-0F6A9CACE020}"/>
            </c:ext>
          </c:extLst>
        </c:ser>
        <c:ser>
          <c:idx val="3"/>
          <c:order val="3"/>
          <c:tx>
            <c:strRef>
              <c:f>'Outcomes of out of emp'!$F$247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emp'!$Q$247:$Q$250</c:f>
                <c:numCache>
                  <c:formatCode>General</c:formatCode>
                  <c:ptCount val="4"/>
                  <c:pt idx="0">
                    <c:v>0.26758199999999999</c:v>
                  </c:pt>
                  <c:pt idx="1">
                    <c:v>0.21746799999999999</c:v>
                  </c:pt>
                  <c:pt idx="2">
                    <c:v>0.11932019999999999</c:v>
                  </c:pt>
                  <c:pt idx="3">
                    <c:v>9.7455500000000028E-2</c:v>
                  </c:pt>
                </c:numCache>
              </c:numRef>
            </c:plus>
            <c:minus>
              <c:numRef>
                <c:f>'Outcomes of out of emp'!$P$247:$P$250</c:f>
                <c:numCache>
                  <c:formatCode>General</c:formatCode>
                  <c:ptCount val="4"/>
                  <c:pt idx="0">
                    <c:v>0.23816499999999974</c:v>
                  </c:pt>
                  <c:pt idx="1">
                    <c:v>0.19442800000000005</c:v>
                  </c:pt>
                  <c:pt idx="2">
                    <c:v>0.10659160000000001</c:v>
                  </c:pt>
                  <c:pt idx="3">
                    <c:v>8.6639899999999992E-2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out of emp'!$A$248:$B$251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out of emp'!$F$248:$F$251</c:f>
              <c:numCache>
                <c:formatCode>#,##0</c:formatCode>
                <c:ptCount val="4"/>
                <c:pt idx="0">
                  <c:v>2.1663329999999998</c:v>
                </c:pt>
                <c:pt idx="1">
                  <c:v>1.835129</c:v>
                </c:pt>
                <c:pt idx="2">
                  <c:v>0.99923980000000001</c:v>
                </c:pt>
                <c:pt idx="3" formatCode="General">
                  <c:v>0.78068029999999999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88-4A56-B351-0F6A9CACE020}"/>
            </c:ext>
          </c:extLst>
        </c:ser>
        <c:ser>
          <c:idx val="4"/>
          <c:order val="4"/>
          <c:tx>
            <c:strRef>
              <c:f>'Outcomes of out of emp'!$G$247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emp'!$Q$251:$Q$254</c:f>
                <c:numCache>
                  <c:formatCode>General</c:formatCode>
                  <c:ptCount val="4"/>
                  <c:pt idx="0">
                    <c:v>0.18545600000000007</c:v>
                  </c:pt>
                  <c:pt idx="1">
                    <c:v>9.1404599999999947E-2</c:v>
                  </c:pt>
                  <c:pt idx="2">
                    <c:v>0.11215759999999997</c:v>
                  </c:pt>
                  <c:pt idx="3">
                    <c:v>8.0703100000000028E-2</c:v>
                  </c:pt>
                </c:numCache>
              </c:numRef>
            </c:plus>
            <c:minus>
              <c:numRef>
                <c:f>'Outcomes of out of emp'!$P$251:$P$254</c:f>
                <c:numCache>
                  <c:formatCode>General</c:formatCode>
                  <c:ptCount val="4"/>
                  <c:pt idx="0">
                    <c:v>0.16506200000000004</c:v>
                  </c:pt>
                  <c:pt idx="1">
                    <c:v>8.0058300000000027E-2</c:v>
                  </c:pt>
                  <c:pt idx="2">
                    <c:v>0.10059240000000003</c:v>
                  </c:pt>
                  <c:pt idx="3">
                    <c:v>7.1857699999999913E-2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out of emp'!$A$248:$B$251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out of emp'!$G$248:$G$251</c:f>
              <c:numCache>
                <c:formatCode>#,##0</c:formatCode>
                <c:ptCount val="4"/>
                <c:pt idx="0">
                  <c:v>1.5010019999999999</c:v>
                </c:pt>
                <c:pt idx="1">
                  <c:v>0.64493840000000002</c:v>
                </c:pt>
                <c:pt idx="2">
                  <c:v>0.9754874</c:v>
                </c:pt>
                <c:pt idx="3" formatCode="General">
                  <c:v>0.65560359999999995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88-4A56-B351-0F6A9CACE020}"/>
            </c:ext>
          </c:extLst>
        </c:ser>
        <c:ser>
          <c:idx val="5"/>
          <c:order val="5"/>
          <c:tx>
            <c:strRef>
              <c:f>'Outcomes of out of emp'!$H$247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emp'!$Q$255:$Q$258</c:f>
                <c:numCache>
                  <c:formatCode>General</c:formatCode>
                  <c:ptCount val="4"/>
                  <c:pt idx="0">
                    <c:v>5.7210700000000003E-2</c:v>
                  </c:pt>
                  <c:pt idx="1">
                    <c:v>6.4097200000000021E-2</c:v>
                  </c:pt>
                  <c:pt idx="2">
                    <c:v>3.5620500000000027E-2</c:v>
                  </c:pt>
                  <c:pt idx="3">
                    <c:v>7.5514900000000051E-2</c:v>
                  </c:pt>
                </c:numCache>
              </c:numRef>
            </c:plus>
            <c:minus>
              <c:numRef>
                <c:f>'Outcomes of out of emp'!$P$255:$P$258</c:f>
                <c:numCache>
                  <c:formatCode>General</c:formatCode>
                  <c:ptCount val="4"/>
                  <c:pt idx="0">
                    <c:v>4.716289999999998E-2</c:v>
                  </c:pt>
                  <c:pt idx="1">
                    <c:v>5.4795700000000003E-2</c:v>
                  </c:pt>
                  <c:pt idx="2">
                    <c:v>3.0598799999999982E-2</c:v>
                  </c:pt>
                  <c:pt idx="3">
                    <c:v>6.6904599999999981E-2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out of emp'!$A$248:$B$251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out of emp'!$H$248:$H$251</c:f>
              <c:numCache>
                <c:formatCode>General</c:formatCode>
                <c:ptCount val="4"/>
                <c:pt idx="0">
                  <c:v>0.26853709999999997</c:v>
                </c:pt>
                <c:pt idx="1">
                  <c:v>0.37759860000000001</c:v>
                </c:pt>
                <c:pt idx="2">
                  <c:v>0.21704799999999999</c:v>
                </c:pt>
                <c:pt idx="3">
                  <c:v>0.5867694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88-4A56-B351-0F6A9CACE020}"/>
            </c:ext>
          </c:extLst>
        </c:ser>
        <c:ser>
          <c:idx val="6"/>
          <c:order val="6"/>
          <c:tx>
            <c:strRef>
              <c:f>'Outcomes of out of emp'!$I$247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emp'!$S$247:$S$250</c:f>
                <c:numCache>
                  <c:formatCode>General</c:formatCode>
                  <c:ptCount val="4"/>
                  <c:pt idx="0">
                    <c:v>0.13490610000000003</c:v>
                  </c:pt>
                  <c:pt idx="1">
                    <c:v>0.12645699999999993</c:v>
                  </c:pt>
                  <c:pt idx="2">
                    <c:v>5.2326800000000007E-2</c:v>
                  </c:pt>
                  <c:pt idx="3">
                    <c:v>8.82579E-2</c:v>
                  </c:pt>
                </c:numCache>
              </c:numRef>
            </c:plus>
            <c:minus>
              <c:numRef>
                <c:f>'Outcomes of out of emp'!$R$247:$R$250</c:f>
                <c:numCache>
                  <c:formatCode>General</c:formatCode>
                  <c:ptCount val="4"/>
                  <c:pt idx="0">
                    <c:v>0.1156374</c:v>
                  </c:pt>
                  <c:pt idx="1">
                    <c:v>0.11076520000000001</c:v>
                  </c:pt>
                  <c:pt idx="2">
                    <c:v>4.5530599999999977E-2</c:v>
                  </c:pt>
                  <c:pt idx="3">
                    <c:v>7.7630300000000041E-2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out of emp'!$A$248:$B$251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out of emp'!$I$248:$I$251</c:f>
              <c:numCache>
                <c:formatCode>#,##0</c:formatCode>
                <c:ptCount val="4"/>
                <c:pt idx="0" formatCode="General">
                  <c:v>0.80961919999999998</c:v>
                </c:pt>
                <c:pt idx="1">
                  <c:v>0.89264299999999996</c:v>
                </c:pt>
                <c:pt idx="2">
                  <c:v>0.350553</c:v>
                </c:pt>
                <c:pt idx="3" formatCode="General">
                  <c:v>0.64469080000000001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88-4A56-B351-0F6A9CACE020}"/>
            </c:ext>
          </c:extLst>
        </c:ser>
        <c:ser>
          <c:idx val="7"/>
          <c:order val="7"/>
          <c:tx>
            <c:strRef>
              <c:f>'Outcomes of out of emp'!$J$247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emp'!$S$251:$S$254</c:f>
                <c:numCache>
                  <c:formatCode>General</c:formatCode>
                  <c:ptCount val="4"/>
                  <c:pt idx="0">
                    <c:v>0.12802949999999991</c:v>
                  </c:pt>
                  <c:pt idx="1">
                    <c:v>0.15740200000000004</c:v>
                  </c:pt>
                  <c:pt idx="2">
                    <c:v>0.11580809999999986</c:v>
                  </c:pt>
                  <c:pt idx="3">
                    <c:v>0.15830200000000016</c:v>
                  </c:pt>
                </c:numCache>
              </c:numRef>
            </c:plus>
            <c:minus>
              <c:numRef>
                <c:f>'Outcomes of out of emp'!$R$251:$R$254</c:f>
                <c:numCache>
                  <c:formatCode>General</c:formatCode>
                  <c:ptCount val="4"/>
                  <c:pt idx="0">
                    <c:v>0.11166670000000001</c:v>
                  </c:pt>
                  <c:pt idx="1">
                    <c:v>0.13853099999999996</c:v>
                  </c:pt>
                  <c:pt idx="2">
                    <c:v>0.10324510000000009</c:v>
                  </c:pt>
                  <c:pt idx="3">
                    <c:v>0.14159299999999986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out of emp'!$A$248:$B$251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out of emp'!$J$248:$J$251</c:f>
              <c:numCache>
                <c:formatCode>#,##0</c:formatCode>
                <c:ptCount val="4"/>
                <c:pt idx="0">
                  <c:v>0.87374750000000001</c:v>
                </c:pt>
                <c:pt idx="1">
                  <c:v>1.1554519999999999</c:v>
                </c:pt>
                <c:pt idx="2">
                  <c:v>0.95173490000000005</c:v>
                </c:pt>
                <c:pt idx="3">
                  <c:v>1.3414269999999999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88-4A56-B351-0F6A9CACE020}"/>
            </c:ext>
          </c:extLst>
        </c:ser>
        <c:ser>
          <c:idx val="8"/>
          <c:order val="8"/>
          <c:tx>
            <c:strRef>
              <c:f>'Outcomes of out of emp'!$K$247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emp'!$S$255:$S$258</c:f>
                <c:numCache>
                  <c:formatCode>General</c:formatCode>
                  <c:ptCount val="4"/>
                  <c:pt idx="0">
                    <c:v>0.51976599999999973</c:v>
                  </c:pt>
                  <c:pt idx="1">
                    <c:v>0.42758399999999996</c:v>
                  </c:pt>
                  <c:pt idx="2">
                    <c:v>0.14156190000000002</c:v>
                  </c:pt>
                  <c:pt idx="3">
                    <c:v>9.4377400000000056E-2</c:v>
                  </c:pt>
                </c:numCache>
              </c:numRef>
            </c:plus>
            <c:minus>
              <c:numRef>
                <c:f>'Outcomes of out of emp'!$R$255:$R$258</c:f>
                <c:numCache>
                  <c:formatCode>General</c:formatCode>
                  <c:ptCount val="4"/>
                  <c:pt idx="0">
                    <c:v>0.45849999999999991</c:v>
                  </c:pt>
                  <c:pt idx="1">
                    <c:v>0.38345600000000024</c:v>
                  </c:pt>
                  <c:pt idx="2">
                    <c:v>0.12125449999999993</c:v>
                  </c:pt>
                  <c:pt idx="3">
                    <c:v>8.2593299999999981E-2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out of emp'!$A$248:$B$251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out of emp'!$K$248:$K$251</c:f>
              <c:numCache>
                <c:formatCode>#,##0</c:formatCode>
                <c:ptCount val="4"/>
                <c:pt idx="0">
                  <c:v>3.88978</c:v>
                </c:pt>
                <c:pt idx="1">
                  <c:v>3.71557</c:v>
                </c:pt>
                <c:pt idx="2">
                  <c:v>0.84525859999999997</c:v>
                </c:pt>
                <c:pt idx="3" formatCode="General">
                  <c:v>0.66147959999999995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88-4A56-B351-0F6A9CACE020}"/>
            </c:ext>
          </c:extLst>
        </c:ser>
        <c:ser>
          <c:idx val="9"/>
          <c:order val="9"/>
          <c:tx>
            <c:strRef>
              <c:f>'Outcomes of out of emp'!$L$247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emp'!$U$247:$U$250</c:f>
                <c:numCache>
                  <c:formatCode>General</c:formatCode>
                  <c:ptCount val="4"/>
                  <c:pt idx="0">
                    <c:v>0.52464999999999984</c:v>
                  </c:pt>
                  <c:pt idx="1">
                    <c:v>0.52732000000000046</c:v>
                  </c:pt>
                  <c:pt idx="2">
                    <c:v>0.35253600000000018</c:v>
                  </c:pt>
                  <c:pt idx="3">
                    <c:v>0.33225599999999966</c:v>
                  </c:pt>
                </c:numCache>
              </c:numRef>
            </c:plus>
            <c:minus>
              <c:numRef>
                <c:f>'Outcomes of out of emp'!$T$247:$T$250</c:f>
                <c:numCache>
                  <c:formatCode>General</c:formatCode>
                  <c:ptCount val="4"/>
                  <c:pt idx="0">
                    <c:v>0.45970199999999961</c:v>
                  </c:pt>
                  <c:pt idx="1">
                    <c:v>0.47443399999999958</c:v>
                  </c:pt>
                  <c:pt idx="2">
                    <c:v>0.31374299999999966</c:v>
                  </c:pt>
                  <c:pt idx="3">
                    <c:v>0.29906100000000002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out of emp'!$A$248:$B$251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out of emp'!$L$248:$L$251</c:f>
              <c:numCache>
                <c:formatCode>#,##0</c:formatCode>
                <c:ptCount val="4"/>
                <c:pt idx="0">
                  <c:v>3.7134269999999998</c:v>
                </c:pt>
                <c:pt idx="1">
                  <c:v>4.7305549999999998</c:v>
                </c:pt>
                <c:pt idx="2">
                  <c:v>2.8511099999999998</c:v>
                </c:pt>
                <c:pt idx="3">
                  <c:v>2.9934470000000002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88-4A56-B351-0F6A9CACE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919408"/>
        <c:axId val="664918096"/>
      </c:barChart>
      <c:catAx>
        <c:axId val="66491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18096"/>
        <c:crosses val="autoZero"/>
        <c:auto val="1"/>
        <c:lblAlgn val="ctr"/>
        <c:lblOffset val="100"/>
        <c:noMultiLvlLbl val="0"/>
      </c:catAx>
      <c:valAx>
        <c:axId val="6649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194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out of emp'!$C$338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emp'!$O$338:$O$341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9.9283999999999928E-2</c:v>
                  </c:pt>
                  <c:pt idx="2">
                    <c:v>4.2517799999999994E-2</c:v>
                  </c:pt>
                  <c:pt idx="3">
                    <c:v>9.9414500000000017E-2</c:v>
                  </c:pt>
                </c:numCache>
              </c:numRef>
            </c:plus>
            <c:minus>
              <c:numRef>
                <c:f>'Outcomes of out of emp'!$N$338:$N$341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9.0855800000000042E-2</c:v>
                  </c:pt>
                  <c:pt idx="2">
                    <c:v>3.4892000000000006E-2</c:v>
                  </c:pt>
                  <c:pt idx="3">
                    <c:v>7.212579999999999E-2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out of emp'!$A$339:$B$342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out of emp'!$C$339:$C$342</c:f>
              <c:numCache>
                <c:formatCode>#,##0</c:formatCode>
                <c:ptCount val="4"/>
                <c:pt idx="0">
                  <c:v>1</c:v>
                </c:pt>
                <c:pt idx="1">
                  <c:v>0.87326950000000003</c:v>
                </c:pt>
                <c:pt idx="2">
                  <c:v>0.2081479</c:v>
                </c:pt>
                <c:pt idx="3" formatCode="General">
                  <c:v>0.1917161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2-4A08-B0C5-BEB2A24DCC08}"/>
            </c:ext>
          </c:extLst>
        </c:ser>
        <c:ser>
          <c:idx val="1"/>
          <c:order val="1"/>
          <c:tx>
            <c:strRef>
              <c:f>'Outcomes of out of emp'!$D$338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emp'!$O$342:$O$345</c:f>
                <c:numCache>
                  <c:formatCode>General</c:formatCode>
                  <c:ptCount val="4"/>
                  <c:pt idx="0">
                    <c:v>0.21069499999999985</c:v>
                  </c:pt>
                  <c:pt idx="1">
                    <c:v>0.21229599999999982</c:v>
                  </c:pt>
                  <c:pt idx="2">
                    <c:v>6.6072499999999978E-2</c:v>
                  </c:pt>
                  <c:pt idx="3">
                    <c:v>0.12186499999999995</c:v>
                  </c:pt>
                </c:numCache>
              </c:numRef>
            </c:plus>
            <c:minus>
              <c:numRef>
                <c:f>'Outcomes of out of emp'!$N$342:$N$345</c:f>
                <c:numCache>
                  <c:formatCode>General</c:formatCode>
                  <c:ptCount val="4"/>
                  <c:pt idx="0">
                    <c:v>0.19446999999999992</c:v>
                  </c:pt>
                  <c:pt idx="1">
                    <c:v>0.19621300000000019</c:v>
                  </c:pt>
                  <c:pt idx="2">
                    <c:v>5.6672400000000012E-2</c:v>
                  </c:pt>
                  <c:pt idx="3">
                    <c:v>9.7222299999999984E-2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out of emp'!$A$339:$B$342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out of emp'!$D$339:$D$342</c:f>
              <c:numCache>
                <c:formatCode>#,##0</c:formatCode>
                <c:ptCount val="4"/>
                <c:pt idx="0">
                  <c:v>1.953079</c:v>
                </c:pt>
                <c:pt idx="1">
                  <c:v>1.6549430000000001</c:v>
                </c:pt>
                <c:pt idx="2">
                  <c:v>0.27699629999999997</c:v>
                </c:pt>
                <c:pt idx="3" formatCode="General">
                  <c:v>0.26545269999999999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2-4A08-B0C5-BEB2A24DCC08}"/>
            </c:ext>
          </c:extLst>
        </c:ser>
        <c:ser>
          <c:idx val="2"/>
          <c:order val="2"/>
          <c:tx>
            <c:strRef>
              <c:f>'Outcomes of out of emp'!$E$338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emp'!$O$346:$O$349</c:f>
                <c:numCache>
                  <c:formatCode>General</c:formatCode>
                  <c:ptCount val="4"/>
                  <c:pt idx="0">
                    <c:v>0.14930099999999991</c:v>
                  </c:pt>
                  <c:pt idx="1">
                    <c:v>0.13884099999999999</c:v>
                  </c:pt>
                  <c:pt idx="2">
                    <c:v>8.7101800000000007E-2</c:v>
                  </c:pt>
                  <c:pt idx="3">
                    <c:v>0.17697999999999992</c:v>
                  </c:pt>
                </c:numCache>
              </c:numRef>
            </c:plus>
            <c:minus>
              <c:numRef>
                <c:f>'Outcomes of out of emp'!$N$346:$N$349</c:f>
                <c:numCache>
                  <c:formatCode>General</c:formatCode>
                  <c:ptCount val="4"/>
                  <c:pt idx="0">
                    <c:v>0.13647900000000002</c:v>
                  </c:pt>
                  <c:pt idx="1">
                    <c:v>0.127197</c:v>
                  </c:pt>
                  <c:pt idx="2">
                    <c:v>7.4385400000000046E-2</c:v>
                  </c:pt>
                  <c:pt idx="3">
                    <c:v>0.14919749999999998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out of emp'!$A$339:$B$342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out of emp'!$E$339:$E$342</c:f>
              <c:numCache>
                <c:formatCode>#,##0</c:formatCode>
                <c:ptCount val="4"/>
                <c:pt idx="0">
                  <c:v>1.4086019999999999</c:v>
                </c:pt>
                <c:pt idx="1">
                  <c:v>0.99281039999999998</c:v>
                </c:pt>
                <c:pt idx="2">
                  <c:v>0.47073409999999999</c:v>
                </c:pt>
                <c:pt idx="3" formatCode="General">
                  <c:v>0.46822900000000001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2-4A08-B0C5-BEB2A24DCC08}"/>
            </c:ext>
          </c:extLst>
        </c:ser>
        <c:ser>
          <c:idx val="3"/>
          <c:order val="3"/>
          <c:tx>
            <c:strRef>
              <c:f>'Outcomes of out of emp'!$F$338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emp'!$Q$338:$Q$341</c:f>
                <c:numCache>
                  <c:formatCode>General</c:formatCode>
                  <c:ptCount val="4"/>
                  <c:pt idx="0">
                    <c:v>0.11104800000000004</c:v>
                  </c:pt>
                  <c:pt idx="1">
                    <c:v>0.10403799999999985</c:v>
                  </c:pt>
                  <c:pt idx="2">
                    <c:v>7.6546700000000023E-2</c:v>
                  </c:pt>
                  <c:pt idx="3">
                    <c:v>0.16720610000000002</c:v>
                  </c:pt>
                </c:numCache>
              </c:numRef>
            </c:plus>
            <c:minus>
              <c:numRef>
                <c:f>'Outcomes of out of emp'!$P$338:$P$341</c:f>
                <c:numCache>
                  <c:formatCode>General</c:formatCode>
                  <c:ptCount val="4"/>
                  <c:pt idx="0">
                    <c:v>0.10065450000000009</c:v>
                  </c:pt>
                  <c:pt idx="1">
                    <c:v>9.4673900000000089E-2</c:v>
                  </c:pt>
                  <c:pt idx="2">
                    <c:v>6.63609E-2</c:v>
                  </c:pt>
                  <c:pt idx="3">
                    <c:v>0.13861489999999999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out of emp'!$A$339:$B$342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out of emp'!$F$339:$F$342</c:f>
              <c:numCache>
                <c:formatCode>#,##0</c:formatCode>
                <c:ptCount val="4"/>
                <c:pt idx="0">
                  <c:v>1.7956989999999999</c:v>
                </c:pt>
                <c:pt idx="1">
                  <c:v>1.5066809999999999</c:v>
                </c:pt>
                <c:pt idx="2">
                  <c:v>0.75093209999999999</c:v>
                </c:pt>
                <c:pt idx="3" formatCode="General">
                  <c:v>0.75211589999999995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02-4A08-B0C5-BEB2A24DCC08}"/>
            </c:ext>
          </c:extLst>
        </c:ser>
        <c:ser>
          <c:idx val="4"/>
          <c:order val="4"/>
          <c:tx>
            <c:strRef>
              <c:f>'Outcomes of out of emp'!$G$338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emp'!$Q$342:$Q$345</c:f>
                <c:numCache>
                  <c:formatCode>General</c:formatCode>
                  <c:ptCount val="4"/>
                  <c:pt idx="0">
                    <c:v>0.13501000000000007</c:v>
                  </c:pt>
                  <c:pt idx="1">
                    <c:v>9.5309000000000088E-2</c:v>
                  </c:pt>
                  <c:pt idx="2">
                    <c:v>7.0302399999999987E-2</c:v>
                  </c:pt>
                  <c:pt idx="3">
                    <c:v>0.15368730000000008</c:v>
                  </c:pt>
                </c:numCache>
              </c:numRef>
            </c:plus>
            <c:minus>
              <c:numRef>
                <c:f>'Outcomes of out of emp'!$P$342:$P$345</c:f>
                <c:numCache>
                  <c:formatCode>General</c:formatCode>
                  <c:ptCount val="4"/>
                  <c:pt idx="0">
                    <c:v>0.12417999999999996</c:v>
                  </c:pt>
                  <c:pt idx="1">
                    <c:v>8.7104300000000023E-2</c:v>
                  </c:pt>
                  <c:pt idx="2">
                    <c:v>6.2105500000000036E-2</c:v>
                  </c:pt>
                  <c:pt idx="3">
                    <c:v>0.12974889999999994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out of emp'!$A$339:$B$342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out of emp'!$G$339:$G$342</c:f>
              <c:numCache>
                <c:formatCode>#,##0</c:formatCode>
                <c:ptCount val="4"/>
                <c:pt idx="0">
                  <c:v>1.5337240000000001</c:v>
                </c:pt>
                <c:pt idx="1">
                  <c:v>0.81505150000000004</c:v>
                </c:pt>
                <c:pt idx="2">
                  <c:v>0.58921780000000001</c:v>
                </c:pt>
                <c:pt idx="3" formatCode="0.00E+00">
                  <c:v>0.58989480000000005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02-4A08-B0C5-BEB2A24DCC08}"/>
            </c:ext>
          </c:extLst>
        </c:ser>
        <c:ser>
          <c:idx val="5"/>
          <c:order val="5"/>
          <c:tx>
            <c:strRef>
              <c:f>'Outcomes of out of emp'!$H$338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emp'!$Q$346:$Q$349</c:f>
                <c:numCache>
                  <c:formatCode>General</c:formatCode>
                  <c:ptCount val="4"/>
                  <c:pt idx="0">
                    <c:v>3.9336099999999985E-2</c:v>
                  </c:pt>
                  <c:pt idx="1">
                    <c:v>7.411790000000007E-2</c:v>
                  </c:pt>
                  <c:pt idx="2">
                    <c:v>4.0811700000000006E-2</c:v>
                  </c:pt>
                  <c:pt idx="3">
                    <c:v>0.21624399999999988</c:v>
                  </c:pt>
                </c:numCache>
              </c:numRef>
            </c:plus>
            <c:minus>
              <c:numRef>
                <c:f>'Outcomes of out of emp'!$P$346:$P$349</c:f>
                <c:numCache>
                  <c:formatCode>General</c:formatCode>
                  <c:ptCount val="4"/>
                  <c:pt idx="0">
                    <c:v>3.4263299999999997E-2</c:v>
                  </c:pt>
                  <c:pt idx="1">
                    <c:v>6.6840299999999964E-2</c:v>
                  </c:pt>
                  <c:pt idx="2">
                    <c:v>3.3959500000000004E-2</c:v>
                  </c:pt>
                  <c:pt idx="3">
                    <c:v>0.18706800000000001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out of emp'!$A$339:$B$342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out of emp'!$H$339:$H$342</c:f>
              <c:numCache>
                <c:formatCode>General</c:formatCode>
                <c:ptCount val="4"/>
                <c:pt idx="0">
                  <c:v>0.2561098</c:v>
                </c:pt>
                <c:pt idx="1">
                  <c:v>0.54492019999999997</c:v>
                </c:pt>
                <c:pt idx="2">
                  <c:v>0.2321645</c:v>
                </c:pt>
                <c:pt idx="3" formatCode="#,##0">
                  <c:v>0.89590270000000005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02-4A08-B0C5-BEB2A24DCC08}"/>
            </c:ext>
          </c:extLst>
        </c:ser>
        <c:ser>
          <c:idx val="6"/>
          <c:order val="6"/>
          <c:tx>
            <c:strRef>
              <c:f>'Outcomes of out of emp'!$I$338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emp'!$S$338:$S$341</c:f>
                <c:numCache>
                  <c:formatCode>General</c:formatCode>
                  <c:ptCount val="4"/>
                  <c:pt idx="0">
                    <c:v>7.2235200000000055E-2</c:v>
                  </c:pt>
                  <c:pt idx="1">
                    <c:v>0.11859400000000009</c:v>
                  </c:pt>
                  <c:pt idx="2">
                    <c:v>7.1422900000000011E-2</c:v>
                  </c:pt>
                  <c:pt idx="3">
                    <c:v>0.13291049999999999</c:v>
                  </c:pt>
                </c:numCache>
              </c:numRef>
            </c:plus>
            <c:minus>
              <c:numRef>
                <c:f>'Outcomes of out of emp'!$R$338:$R$341</c:f>
                <c:numCache>
                  <c:formatCode>General</c:formatCode>
                  <c:ptCount val="4"/>
                  <c:pt idx="0">
                    <c:v>6.5302199999999977E-2</c:v>
                  </c:pt>
                  <c:pt idx="1">
                    <c:v>0.10800900000000002</c:v>
                  </c:pt>
                  <c:pt idx="2">
                    <c:v>5.2991800000000006E-2</c:v>
                  </c:pt>
                  <c:pt idx="3">
                    <c:v>0.1033172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out of emp'!$A$339:$B$342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out of emp'!$I$339:$I$342</c:f>
              <c:numCache>
                <c:formatCode>#,##0</c:formatCode>
                <c:ptCount val="4"/>
                <c:pt idx="0" formatCode="General">
                  <c:v>0.66862169999999999</c:v>
                </c:pt>
                <c:pt idx="1">
                  <c:v>0.97806179999999998</c:v>
                </c:pt>
                <c:pt idx="2">
                  <c:v>0.23696790000000001</c:v>
                </c:pt>
                <c:pt idx="3" formatCode="General">
                  <c:v>0.34656320000000002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02-4A08-B0C5-BEB2A24DCC08}"/>
            </c:ext>
          </c:extLst>
        </c:ser>
        <c:ser>
          <c:idx val="7"/>
          <c:order val="7"/>
          <c:tx>
            <c:strRef>
              <c:f>'Outcomes of out of emp'!$J$338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emp'!$S$342:$S$345</c:f>
                <c:numCache>
                  <c:formatCode>General</c:formatCode>
                  <c:ptCount val="4"/>
                  <c:pt idx="0">
                    <c:v>0.17751899999999998</c:v>
                  </c:pt>
                  <c:pt idx="1">
                    <c:v>0.25145099999999987</c:v>
                  </c:pt>
                  <c:pt idx="2">
                    <c:v>9.2774999999999941E-2</c:v>
                  </c:pt>
                  <c:pt idx="3">
                    <c:v>0.24387099999999995</c:v>
                  </c:pt>
                </c:numCache>
              </c:numRef>
            </c:plus>
            <c:minus>
              <c:numRef>
                <c:f>'Outcomes of out of emp'!$R$342:$R$345</c:f>
                <c:numCache>
                  <c:formatCode>General</c:formatCode>
                  <c:ptCount val="4"/>
                  <c:pt idx="0">
                    <c:v>0.16259000000000001</c:v>
                  </c:pt>
                  <c:pt idx="1">
                    <c:v>0.23221400000000036</c:v>
                  </c:pt>
                  <c:pt idx="2">
                    <c:v>7.9047100000000037E-2</c:v>
                  </c:pt>
                  <c:pt idx="3">
                    <c:v>0.20367000000000002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out of emp'!$A$339:$B$342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out of emp'!$J$339:$J$342</c:f>
              <c:numCache>
                <c:formatCode>#,##0</c:formatCode>
                <c:ptCount val="4"/>
                <c:pt idx="0">
                  <c:v>1.3626590000000001</c:v>
                </c:pt>
                <c:pt idx="1">
                  <c:v>1.7263569999999999</c:v>
                </c:pt>
                <c:pt idx="2">
                  <c:v>0.32022699999999998</c:v>
                </c:pt>
                <c:pt idx="3">
                  <c:v>0.46085530000000002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02-4A08-B0C5-BEB2A24DCC08}"/>
            </c:ext>
          </c:extLst>
        </c:ser>
        <c:ser>
          <c:idx val="8"/>
          <c:order val="8"/>
          <c:tx>
            <c:strRef>
              <c:f>'Outcomes of out of emp'!$K$338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emp'!$S$346:$S$349</c:f>
                <c:numCache>
                  <c:formatCode>General</c:formatCode>
                  <c:ptCount val="4"/>
                  <c:pt idx="0">
                    <c:v>0.25379499999999977</c:v>
                  </c:pt>
                  <c:pt idx="1">
                    <c:v>0.27105800000000002</c:v>
                  </c:pt>
                  <c:pt idx="2">
                    <c:v>0.21857800000000016</c:v>
                  </c:pt>
                  <c:pt idx="3">
                    <c:v>0.50099600000000022</c:v>
                  </c:pt>
                </c:numCache>
              </c:numRef>
            </c:plus>
            <c:minus>
              <c:numRef>
                <c:f>'Outcomes of out of emp'!$R$346:$R$349</c:f>
                <c:numCache>
                  <c:formatCode>General</c:formatCode>
                  <c:ptCount val="4"/>
                  <c:pt idx="0">
                    <c:v>0.22982300000000011</c:v>
                  </c:pt>
                  <c:pt idx="1">
                    <c:v>0.24925599999999992</c:v>
                  </c:pt>
                  <c:pt idx="2">
                    <c:v>0.18327749999999987</c:v>
                  </c:pt>
                  <c:pt idx="3">
                    <c:v>0.44181400000000037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out of emp'!$A$339:$B$342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out of emp'!$K$339:$K$342</c:f>
              <c:numCache>
                <c:formatCode>#,##0</c:formatCode>
                <c:ptCount val="4"/>
                <c:pt idx="0">
                  <c:v>2.240469</c:v>
                </c:pt>
                <c:pt idx="1">
                  <c:v>2.0973989999999998</c:v>
                </c:pt>
                <c:pt idx="2">
                  <c:v>1.0807659999999999</c:v>
                </c:pt>
                <c:pt idx="3">
                  <c:v>1.9872080000000001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02-4A08-B0C5-BEB2A24DCC08}"/>
            </c:ext>
          </c:extLst>
        </c:ser>
        <c:ser>
          <c:idx val="9"/>
          <c:order val="9"/>
          <c:tx>
            <c:strRef>
              <c:f>'Outcomes of out of emp'!$L$338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emp'!$U$338:$U$341</c:f>
                <c:numCache>
                  <c:formatCode>General</c:formatCode>
                  <c:ptCount val="4"/>
                  <c:pt idx="0">
                    <c:v>0.37526199999999976</c:v>
                  </c:pt>
                  <c:pt idx="1">
                    <c:v>0.35252599999999923</c:v>
                  </c:pt>
                  <c:pt idx="2">
                    <c:v>0.22413499999999997</c:v>
                  </c:pt>
                  <c:pt idx="3">
                    <c:v>0.58126699999999953</c:v>
                  </c:pt>
                </c:numCache>
              </c:numRef>
            </c:plus>
            <c:minus>
              <c:numRef>
                <c:f>'Outcomes of out of emp'!$T$338:$T$341</c:f>
                <c:numCache>
                  <c:formatCode>General</c:formatCode>
                  <c:ptCount val="4"/>
                  <c:pt idx="0">
                    <c:v>0.33778500000000022</c:v>
                  </c:pt>
                  <c:pt idx="1">
                    <c:v>0.32464600000000043</c:v>
                  </c:pt>
                  <c:pt idx="2">
                    <c:v>0.19076899999999997</c:v>
                  </c:pt>
                  <c:pt idx="3">
                    <c:v>0.50637599999999994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out of emp'!$A$339:$B$342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out of emp'!$L$339:$L$342</c:f>
              <c:numCache>
                <c:formatCode>#,##0</c:formatCode>
                <c:ptCount val="4"/>
                <c:pt idx="0">
                  <c:v>4.1270769999999999</c:v>
                </c:pt>
                <c:pt idx="1">
                  <c:v>4.4540620000000004</c:v>
                </c:pt>
                <c:pt idx="2">
                  <c:v>1.790068</c:v>
                </c:pt>
                <c:pt idx="3">
                  <c:v>3.528308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02-4A08-B0C5-BEB2A24DC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634976"/>
        <c:axId val="664631696"/>
      </c:barChart>
      <c:catAx>
        <c:axId val="6646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31696"/>
        <c:crosses val="autoZero"/>
        <c:auto val="1"/>
        <c:lblAlgn val="ctr"/>
        <c:lblOffset val="100"/>
        <c:noMultiLvlLbl val="0"/>
      </c:catAx>
      <c:valAx>
        <c:axId val="6646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349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out of emp'!$C$454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emp'!$O$454:$O$457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1.0834489999999999</c:v>
                  </c:pt>
                  <c:pt idx="2">
                    <c:v>55.781189999999981</c:v>
                  </c:pt>
                  <c:pt idx="3">
                    <c:v>26.13006</c:v>
                  </c:pt>
                </c:numCache>
              </c:numRef>
            </c:plus>
            <c:minus>
              <c:numRef>
                <c:f>'Outcomes of out of emp'!$N$454:$N$457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0.55894020000000011</c:v>
                  </c:pt>
                  <c:pt idx="2">
                    <c:v>34.414580000000008</c:v>
                  </c:pt>
                  <c:pt idx="3">
                    <c:v>16.11082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out of emp'!$A$455:$B$458</c:f>
              <c:multiLvlStrCache>
                <c:ptCount val="4"/>
                <c:lvl>
                  <c:pt idx="0">
                    <c:v>1980-1990</c:v>
                  </c:pt>
                  <c:pt idx="1">
                    <c:v>2010-2015</c:v>
                  </c:pt>
                  <c:pt idx="2">
                    <c:v>1980-1990</c:v>
                  </c:pt>
                  <c:pt idx="3">
                    <c:v>2010-2015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out of emp'!$C$455:$C$458</c:f>
              <c:numCache>
                <c:formatCode>#,##0</c:formatCode>
                <c:ptCount val="4"/>
                <c:pt idx="0">
                  <c:v>1</c:v>
                </c:pt>
                <c:pt idx="1">
                  <c:v>1.1545730000000001</c:v>
                </c:pt>
                <c:pt idx="2">
                  <c:v>89.845110000000005</c:v>
                </c:pt>
                <c:pt idx="3" formatCode="General">
                  <c:v>42.016829999999999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0-490E-93A9-5B25446813BD}"/>
            </c:ext>
          </c:extLst>
        </c:ser>
        <c:ser>
          <c:idx val="1"/>
          <c:order val="1"/>
          <c:tx>
            <c:strRef>
              <c:f>'Outcomes of out of emp'!$D$454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emp'!$O$458:$O$461</c:f>
                <c:numCache>
                  <c:formatCode>General</c:formatCode>
                  <c:ptCount val="4"/>
                  <c:pt idx="0">
                    <c:v>3.8521910000000004</c:v>
                  </c:pt>
                  <c:pt idx="1">
                    <c:v>3.7818030000000009</c:v>
                  </c:pt>
                  <c:pt idx="2">
                    <c:v>22.832070000000002</c:v>
                  </c:pt>
                  <c:pt idx="3">
                    <c:v>16.527369999999998</c:v>
                  </c:pt>
                </c:numCache>
              </c:numRef>
            </c:plus>
            <c:minus>
              <c:numRef>
                <c:f>'Outcomes of out of emp'!$N$458:$N$461</c:f>
                <c:numCache>
                  <c:formatCode>General</c:formatCode>
                  <c:ptCount val="4"/>
                  <c:pt idx="0">
                    <c:v>2.280294</c:v>
                  </c:pt>
                  <c:pt idx="1">
                    <c:v>2.2261969999999995</c:v>
                  </c:pt>
                  <c:pt idx="2">
                    <c:v>13.926379999999998</c:v>
                  </c:pt>
                  <c:pt idx="3">
                    <c:v>10.13327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out of emp'!$A$455:$B$458</c:f>
              <c:multiLvlStrCache>
                <c:ptCount val="4"/>
                <c:lvl>
                  <c:pt idx="0">
                    <c:v>1980-1990</c:v>
                  </c:pt>
                  <c:pt idx="1">
                    <c:v>2010-2015</c:v>
                  </c:pt>
                  <c:pt idx="2">
                    <c:v>1980-1990</c:v>
                  </c:pt>
                  <c:pt idx="3">
                    <c:v>2010-2015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out of emp'!$D$455:$D$458</c:f>
              <c:numCache>
                <c:formatCode>#,##0</c:formatCode>
                <c:ptCount val="4"/>
                <c:pt idx="0" formatCode="General">
                  <c:v>5.5882350000000001</c:v>
                </c:pt>
                <c:pt idx="1">
                  <c:v>5.4120619999999997</c:v>
                </c:pt>
                <c:pt idx="2">
                  <c:v>35.703919999999997</c:v>
                </c:pt>
                <c:pt idx="3" formatCode="General">
                  <c:v>26.192309999999999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0-490E-93A9-5B25446813BD}"/>
            </c:ext>
          </c:extLst>
        </c:ser>
        <c:ser>
          <c:idx val="2"/>
          <c:order val="2"/>
          <c:tx>
            <c:strRef>
              <c:f>'Outcomes of out of emp'!$E$454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emp'!$O$462:$O$465</c:f>
                <c:numCache>
                  <c:formatCode>General</c:formatCode>
                  <c:ptCount val="4"/>
                  <c:pt idx="0">
                    <c:v>19.935809999999996</c:v>
                  </c:pt>
                  <c:pt idx="1">
                    <c:v>13.809470000000001</c:v>
                  </c:pt>
                  <c:pt idx="2">
                    <c:v>5.5070330000000007</c:v>
                  </c:pt>
                  <c:pt idx="3">
                    <c:v>4.3572529999999992</c:v>
                  </c:pt>
                </c:numCache>
              </c:numRef>
            </c:plus>
            <c:minus>
              <c:numRef>
                <c:f>'Outcomes of out of emp'!$N$462:$N$465</c:f>
                <c:numCache>
                  <c:formatCode>General</c:formatCode>
                  <c:ptCount val="4"/>
                  <c:pt idx="0">
                    <c:v>12.283359999999998</c:v>
                  </c:pt>
                  <c:pt idx="1">
                    <c:v>8.4529900000000016</c:v>
                  </c:pt>
                  <c:pt idx="2">
                    <c:v>3.142029</c:v>
                  </c:pt>
                  <c:pt idx="3">
                    <c:v>2.5781500000000004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out of emp'!$A$455:$B$458</c:f>
              <c:multiLvlStrCache>
                <c:ptCount val="4"/>
                <c:lvl>
                  <c:pt idx="0">
                    <c:v>1980-1990</c:v>
                  </c:pt>
                  <c:pt idx="1">
                    <c:v>2010-2015</c:v>
                  </c:pt>
                  <c:pt idx="2">
                    <c:v>1980-1990</c:v>
                  </c:pt>
                  <c:pt idx="3">
                    <c:v>2010-2015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out of emp'!$E$455:$E$458</c:f>
              <c:numCache>
                <c:formatCode>#,##0</c:formatCode>
                <c:ptCount val="4"/>
                <c:pt idx="0">
                  <c:v>32</c:v>
                </c:pt>
                <c:pt idx="1">
                  <c:v>21.792570000000001</c:v>
                </c:pt>
                <c:pt idx="2">
                  <c:v>7.3163770000000001</c:v>
                </c:pt>
                <c:pt idx="3" formatCode="General">
                  <c:v>6.3142170000000002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60-490E-93A9-5B25446813BD}"/>
            </c:ext>
          </c:extLst>
        </c:ser>
        <c:ser>
          <c:idx val="3"/>
          <c:order val="3"/>
          <c:tx>
            <c:strRef>
              <c:f>'Outcomes of out of emp'!$F$454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emp'!$Q$454:$Q$457</c:f>
                <c:numCache>
                  <c:formatCode>General</c:formatCode>
                  <c:ptCount val="4"/>
                  <c:pt idx="0">
                    <c:v>30.475050000000003</c:v>
                  </c:pt>
                  <c:pt idx="1">
                    <c:v>24.201410000000003</c:v>
                  </c:pt>
                  <c:pt idx="2">
                    <c:v>6.475517</c:v>
                  </c:pt>
                  <c:pt idx="3">
                    <c:v>6.1624340000000011</c:v>
                  </c:pt>
                </c:numCache>
              </c:numRef>
            </c:plus>
            <c:minus>
              <c:numRef>
                <c:f>'Outcomes of out of emp'!$P$454:$P$457</c:f>
                <c:numCache>
                  <c:formatCode>General</c:formatCode>
                  <c:ptCount val="4"/>
                  <c:pt idx="0">
                    <c:v>18.82375</c:v>
                  </c:pt>
                  <c:pt idx="1">
                    <c:v>14.929209999999998</c:v>
                  </c:pt>
                  <c:pt idx="2">
                    <c:v>3.7267899999999994</c:v>
                  </c:pt>
                  <c:pt idx="3">
                    <c:v>3.6776029999999995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out of emp'!$A$455:$B$458</c:f>
              <c:multiLvlStrCache>
                <c:ptCount val="4"/>
                <c:lvl>
                  <c:pt idx="0">
                    <c:v>1980-1990</c:v>
                  </c:pt>
                  <c:pt idx="1">
                    <c:v>2010-2015</c:v>
                  </c:pt>
                  <c:pt idx="2">
                    <c:v>1980-1990</c:v>
                  </c:pt>
                  <c:pt idx="3">
                    <c:v>2010-2015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out of emp'!$F$455:$F$458</c:f>
              <c:numCache>
                <c:formatCode>#,##0</c:formatCode>
                <c:ptCount val="4"/>
                <c:pt idx="0">
                  <c:v>49.235289999999999</c:v>
                </c:pt>
                <c:pt idx="1">
                  <c:v>38.966839999999998</c:v>
                </c:pt>
                <c:pt idx="2">
                  <c:v>8.7796529999999997</c:v>
                </c:pt>
                <c:pt idx="3" formatCode="General">
                  <c:v>9.1205359999999995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60-490E-93A9-5B25446813BD}"/>
            </c:ext>
          </c:extLst>
        </c:ser>
        <c:ser>
          <c:idx val="4"/>
          <c:order val="4"/>
          <c:tx>
            <c:strRef>
              <c:f>'Outcomes of out of emp'!$G$454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emp'!$Q$458:$Q$461</c:f>
                <c:numCache>
                  <c:formatCode>General</c:formatCode>
                  <c:ptCount val="4"/>
                  <c:pt idx="0">
                    <c:v>16.262399999999996</c:v>
                  </c:pt>
                  <c:pt idx="1">
                    <c:v>11.124189999999999</c:v>
                  </c:pt>
                  <c:pt idx="2">
                    <c:v>23.367479999999993</c:v>
                  </c:pt>
                  <c:pt idx="3">
                    <c:v>10.229989999999999</c:v>
                  </c:pt>
                </c:numCache>
              </c:numRef>
            </c:plus>
            <c:minus>
              <c:numRef>
                <c:f>'Outcomes of out of emp'!$P$458:$P$461</c:f>
                <c:numCache>
                  <c:formatCode>General</c:formatCode>
                  <c:ptCount val="4"/>
                  <c:pt idx="0">
                    <c:v>10.013390000000001</c:v>
                  </c:pt>
                  <c:pt idx="1">
                    <c:v>6.8386700000000005</c:v>
                  </c:pt>
                  <c:pt idx="2">
                    <c:v>14.303390000000004</c:v>
                  </c:pt>
                  <c:pt idx="3">
                    <c:v>6.2372040000000002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out of emp'!$A$455:$B$458</c:f>
              <c:multiLvlStrCache>
                <c:ptCount val="4"/>
                <c:lvl>
                  <c:pt idx="0">
                    <c:v>1980-1990</c:v>
                  </c:pt>
                  <c:pt idx="1">
                    <c:v>2010-2015</c:v>
                  </c:pt>
                  <c:pt idx="2">
                    <c:v>1980-1990</c:v>
                  </c:pt>
                  <c:pt idx="3">
                    <c:v>2010-2015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out of emp'!$G$455:$G$458</c:f>
              <c:numCache>
                <c:formatCode>#,##0</c:formatCode>
                <c:ptCount val="4"/>
                <c:pt idx="0">
                  <c:v>26.058820000000001</c:v>
                </c:pt>
                <c:pt idx="1">
                  <c:v>17.751560000000001</c:v>
                </c:pt>
                <c:pt idx="2">
                  <c:v>36.874540000000003</c:v>
                </c:pt>
                <c:pt idx="3" formatCode="General">
                  <c:v>15.98043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60-490E-93A9-5B25446813BD}"/>
            </c:ext>
          </c:extLst>
        </c:ser>
        <c:ser>
          <c:idx val="5"/>
          <c:order val="5"/>
          <c:tx>
            <c:strRef>
              <c:f>'Outcomes of out of emp'!$H$454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emp'!$Q$462:$Q$465</c:f>
                <c:numCache>
                  <c:formatCode>General</c:formatCode>
                  <c:ptCount val="4"/>
                  <c:pt idx="0">
                    <c:v>6.1690150000000017</c:v>
                  </c:pt>
                  <c:pt idx="1">
                    <c:v>15.39893</c:v>
                  </c:pt>
                  <c:pt idx="2">
                    <c:v>3.7872180000000002</c:v>
                  </c:pt>
                  <c:pt idx="3">
                    <c:v>3.8650959999999994</c:v>
                  </c:pt>
                </c:numCache>
              </c:numRef>
            </c:plus>
            <c:minus>
              <c:numRef>
                <c:f>'Outcomes of out of emp'!$P$462:$P$465</c:f>
                <c:numCache>
                  <c:formatCode>General</c:formatCode>
                  <c:ptCount val="4"/>
                  <c:pt idx="0">
                    <c:v>3.7538229999999988</c:v>
                  </c:pt>
                  <c:pt idx="1">
                    <c:v>9.4393600000000006</c:v>
                  </c:pt>
                  <c:pt idx="2">
                    <c:v>2.0937670000000002</c:v>
                  </c:pt>
                  <c:pt idx="3">
                    <c:v>2.2758070000000004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out of emp'!$A$455:$B$458</c:f>
              <c:multiLvlStrCache>
                <c:ptCount val="4"/>
                <c:lvl>
                  <c:pt idx="0">
                    <c:v>1980-1990</c:v>
                  </c:pt>
                  <c:pt idx="1">
                    <c:v>2010-2015</c:v>
                  </c:pt>
                  <c:pt idx="2">
                    <c:v>1980-1990</c:v>
                  </c:pt>
                  <c:pt idx="3">
                    <c:v>2010-2015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out of emp'!$H$455:$H$458</c:f>
              <c:numCache>
                <c:formatCode>General</c:formatCode>
                <c:ptCount val="4"/>
                <c:pt idx="0">
                  <c:v>9.5882349999999992</c:v>
                </c:pt>
                <c:pt idx="1">
                  <c:v>24.390360000000001</c:v>
                </c:pt>
                <c:pt idx="2">
                  <c:v>4.6824810000000001</c:v>
                </c:pt>
                <c:pt idx="3">
                  <c:v>5.5346840000000004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60-490E-93A9-5B25446813BD}"/>
            </c:ext>
          </c:extLst>
        </c:ser>
        <c:ser>
          <c:idx val="6"/>
          <c:order val="6"/>
          <c:tx>
            <c:strRef>
              <c:f>'Outcomes of out of emp'!$I$454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emp'!$S$454:$S$457</c:f>
                <c:numCache>
                  <c:formatCode>General</c:formatCode>
                  <c:ptCount val="4"/>
                  <c:pt idx="0">
                    <c:v>3.746051</c:v>
                  </c:pt>
                  <c:pt idx="1">
                    <c:v>2.2296390000000001</c:v>
                  </c:pt>
                  <c:pt idx="2">
                    <c:v>35.63326</c:v>
                  </c:pt>
                  <c:pt idx="3">
                    <c:v>33.416740000000004</c:v>
                  </c:pt>
                </c:numCache>
              </c:numRef>
            </c:plus>
            <c:minus>
              <c:numRef>
                <c:f>'Outcomes of out of emp'!$R$454:$R$457</c:f>
                <c:numCache>
                  <c:formatCode>General</c:formatCode>
                  <c:ptCount val="4"/>
                  <c:pt idx="0">
                    <c:v>1.6475880000000001</c:v>
                  </c:pt>
                  <c:pt idx="1">
                    <c:v>1.2579379999999998</c:v>
                  </c:pt>
                  <c:pt idx="2">
                    <c:v>21.914560000000002</c:v>
                  </c:pt>
                  <c:pt idx="3">
                    <c:v>20.611460000000001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out of emp'!$A$455:$B$458</c:f>
              <c:multiLvlStrCache>
                <c:ptCount val="4"/>
                <c:lvl>
                  <c:pt idx="0">
                    <c:v>1980-1990</c:v>
                  </c:pt>
                  <c:pt idx="1">
                    <c:v>2010-2015</c:v>
                  </c:pt>
                  <c:pt idx="2">
                    <c:v>1980-1990</c:v>
                  </c:pt>
                  <c:pt idx="3">
                    <c:v>2010-2015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out of emp'!$I$455:$I$458</c:f>
              <c:numCache>
                <c:formatCode>#,##0</c:formatCode>
                <c:ptCount val="4"/>
                <c:pt idx="0" formatCode="General">
                  <c:v>2.941176</c:v>
                </c:pt>
                <c:pt idx="1">
                  <c:v>2.8864329999999998</c:v>
                </c:pt>
                <c:pt idx="2">
                  <c:v>56.921410000000002</c:v>
                </c:pt>
                <c:pt idx="3" formatCode="General">
                  <c:v>53.787779999999998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60-490E-93A9-5B25446813BD}"/>
            </c:ext>
          </c:extLst>
        </c:ser>
        <c:ser>
          <c:idx val="7"/>
          <c:order val="7"/>
          <c:tx>
            <c:strRef>
              <c:f>'Outcomes of out of emp'!$J$454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emp'!$S$458:$S$461</c:f>
                <c:numCache>
                  <c:formatCode>General</c:formatCode>
                  <c:ptCount val="4"/>
                  <c:pt idx="0">
                    <c:v>6.5866100000000003</c:v>
                  </c:pt>
                  <c:pt idx="1">
                    <c:v>7.3059899999999995</c:v>
                  </c:pt>
                  <c:pt idx="2">
                    <c:v>22.803319999999999</c:v>
                  </c:pt>
                  <c:pt idx="3">
                    <c:v>31.520590000000006</c:v>
                  </c:pt>
                </c:numCache>
              </c:numRef>
            </c:plus>
            <c:minus>
              <c:numRef>
                <c:f>'Outcomes of out of emp'!$R$458:$R$461</c:f>
                <c:numCache>
                  <c:formatCode>General</c:formatCode>
                  <c:ptCount val="4"/>
                  <c:pt idx="0">
                    <c:v>3.9802790000000003</c:v>
                  </c:pt>
                  <c:pt idx="1">
                    <c:v>4.3966009999999995</c:v>
                  </c:pt>
                  <c:pt idx="2">
                    <c:v>13.871010000000002</c:v>
                  </c:pt>
                  <c:pt idx="3">
                    <c:v>19.374599999999997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out of emp'!$A$455:$B$458</c:f>
              <c:multiLvlStrCache>
                <c:ptCount val="4"/>
                <c:lvl>
                  <c:pt idx="0">
                    <c:v>1980-1990</c:v>
                  </c:pt>
                  <c:pt idx="1">
                    <c:v>2010-2015</c:v>
                  </c:pt>
                  <c:pt idx="2">
                    <c:v>1980-1990</c:v>
                  </c:pt>
                  <c:pt idx="3">
                    <c:v>2010-2015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out of emp'!$J$455:$J$458</c:f>
              <c:numCache>
                <c:formatCode>#,##0</c:formatCode>
                <c:ptCount val="4"/>
                <c:pt idx="0">
                  <c:v>10.058820000000001</c:v>
                </c:pt>
                <c:pt idx="1">
                  <c:v>11.040609999999999</c:v>
                </c:pt>
                <c:pt idx="2">
                  <c:v>35.411270000000002</c:v>
                </c:pt>
                <c:pt idx="3" formatCode="General">
                  <c:v>50.279879999999999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60-490E-93A9-5B25446813BD}"/>
            </c:ext>
          </c:extLst>
        </c:ser>
        <c:ser>
          <c:idx val="8"/>
          <c:order val="8"/>
          <c:tx>
            <c:strRef>
              <c:f>'Outcomes of out of emp'!$K$454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emp'!$S$462:$S$465</c:f>
                <c:numCache>
                  <c:formatCode>General</c:formatCode>
                  <c:ptCount val="4"/>
                  <c:pt idx="0">
                    <c:v>53.75985</c:v>
                  </c:pt>
                  <c:pt idx="1">
                    <c:v>54.967270000000013</c:v>
                  </c:pt>
                  <c:pt idx="2">
                    <c:v>10.185860000000002</c:v>
                  </c:pt>
                  <c:pt idx="3">
                    <c:v>7.6713900000000024</c:v>
                  </c:pt>
                </c:numCache>
              </c:numRef>
            </c:plus>
            <c:minus>
              <c:numRef>
                <c:f>'Outcomes of out of emp'!$R$462:$R$465</c:f>
                <c:numCache>
                  <c:formatCode>General</c:formatCode>
                  <c:ptCount val="4"/>
                  <c:pt idx="0">
                    <c:v>32.949279999999995</c:v>
                  </c:pt>
                  <c:pt idx="1">
                    <c:v>33.966259999999998</c:v>
                  </c:pt>
                  <c:pt idx="2">
                    <c:v>5.8521539999999996</c:v>
                  </c:pt>
                  <c:pt idx="3">
                    <c:v>4.607626999999999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out of emp'!$A$455:$B$458</c:f>
              <c:multiLvlStrCache>
                <c:ptCount val="4"/>
                <c:lvl>
                  <c:pt idx="0">
                    <c:v>1980-1990</c:v>
                  </c:pt>
                  <c:pt idx="1">
                    <c:v>2010-2015</c:v>
                  </c:pt>
                  <c:pt idx="2">
                    <c:v>1980-1990</c:v>
                  </c:pt>
                  <c:pt idx="3">
                    <c:v>2010-2015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out of emp'!$K$455:$K$458</c:f>
              <c:numCache>
                <c:formatCode>#,##0</c:formatCode>
                <c:ptCount val="4"/>
                <c:pt idx="0">
                  <c:v>85.117649999999998</c:v>
                </c:pt>
                <c:pt idx="1">
                  <c:v>88.90213</c:v>
                </c:pt>
                <c:pt idx="2">
                  <c:v>13.75479</c:v>
                </c:pt>
                <c:pt idx="3" formatCode="General">
                  <c:v>11.537089999999999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60-490E-93A9-5B25446813BD}"/>
            </c:ext>
          </c:extLst>
        </c:ser>
        <c:ser>
          <c:idx val="9"/>
          <c:order val="9"/>
          <c:tx>
            <c:strRef>
              <c:f>'Outcomes of out of emp'!$L$454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out of emp'!$U$454:$U$457</c:f>
                <c:numCache>
                  <c:formatCode>General</c:formatCode>
                  <c:ptCount val="4"/>
                  <c:pt idx="0">
                    <c:v>105.90849999999998</c:v>
                  </c:pt>
                  <c:pt idx="1">
                    <c:v>114.25950000000003</c:v>
                  </c:pt>
                  <c:pt idx="2">
                    <c:v>14.952479999999998</c:v>
                  </c:pt>
                  <c:pt idx="3">
                    <c:v>24.893190000000004</c:v>
                  </c:pt>
                </c:numCache>
              </c:numRef>
            </c:plus>
            <c:minus>
              <c:numRef>
                <c:f>'Outcomes of out of emp'!$T$454:$T$457</c:f>
                <c:numCache>
                  <c:formatCode>General</c:formatCode>
                  <c:ptCount val="4"/>
                  <c:pt idx="0">
                    <c:v>65.315799999999996</c:v>
                  </c:pt>
                  <c:pt idx="1">
                    <c:v>70.742299999999986</c:v>
                  </c:pt>
                  <c:pt idx="2">
                    <c:v>8.8696300000000008</c:v>
                  </c:pt>
                  <c:pt idx="3">
                    <c:v>15.296509999999998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out of emp'!$A$455:$B$458</c:f>
              <c:multiLvlStrCache>
                <c:ptCount val="4"/>
                <c:lvl>
                  <c:pt idx="0">
                    <c:v>1980-1990</c:v>
                  </c:pt>
                  <c:pt idx="1">
                    <c:v>2010-2015</c:v>
                  </c:pt>
                  <c:pt idx="2">
                    <c:v>1980-1990</c:v>
                  </c:pt>
                  <c:pt idx="3">
                    <c:v>2010-2015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out of emp'!$L$455:$L$458</c:f>
              <c:numCache>
                <c:formatCode>#,##0</c:formatCode>
                <c:ptCount val="4"/>
                <c:pt idx="0">
                  <c:v>170.4118</c:v>
                </c:pt>
                <c:pt idx="1">
                  <c:v>185.74199999999999</c:v>
                </c:pt>
                <c:pt idx="2" formatCode="General">
                  <c:v>21.802800000000001</c:v>
                </c:pt>
                <c:pt idx="3" formatCode="General">
                  <c:v>39.678229999999999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60-490E-93A9-5B2544681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634976"/>
        <c:axId val="664631696"/>
      </c:barChart>
      <c:catAx>
        <c:axId val="6646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31696"/>
        <c:crosses val="autoZero"/>
        <c:auto val="1"/>
        <c:lblAlgn val="ctr"/>
        <c:lblOffset val="100"/>
        <c:noMultiLvlLbl val="0"/>
      </c:catAx>
      <c:valAx>
        <c:axId val="66463169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NRC formal'!$C$434</c:f>
              <c:strCache>
                <c:ptCount val="1"/>
                <c:pt idx="0">
                  <c:v>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formal'!$O$433:$O$436</c:f>
                <c:numCache>
                  <c:formatCode>General</c:formatCode>
                  <c:ptCount val="4"/>
                  <c:pt idx="0">
                    <c:v>0.71051019999999998</c:v>
                  </c:pt>
                  <c:pt idx="1">
                    <c:v>1.3356913000000001</c:v>
                  </c:pt>
                  <c:pt idx="2">
                    <c:v>0.21837980000000007</c:v>
                  </c:pt>
                  <c:pt idx="3">
                    <c:v>0.41751870000000002</c:v>
                  </c:pt>
                </c:numCache>
              </c:numRef>
            </c:plus>
            <c:minus>
              <c:numRef>
                <c:f>'Outcomes of NRC formal'!$N$433:$N$436</c:f>
                <c:numCache>
                  <c:formatCode>General</c:formatCode>
                  <c:ptCount val="4"/>
                  <c:pt idx="0">
                    <c:v>0.31395269999999997</c:v>
                  </c:pt>
                  <c:pt idx="1">
                    <c:v>0.56646390000000002</c:v>
                  </c:pt>
                  <c:pt idx="2">
                    <c:v>0.12974069999999999</c:v>
                  </c:pt>
                  <c:pt idx="3">
                    <c:v>0.24245370000000005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formal'!$A$435:$B$438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NRC formal'!$C$435:$C$438</c:f>
              <c:numCache>
                <c:formatCode>#,##0.00000</c:formatCode>
                <c:ptCount val="4"/>
                <c:pt idx="0" formatCode="0.000000">
                  <c:v>0.5625078</c:v>
                </c:pt>
                <c:pt idx="1">
                  <c:v>0.98361169999999998</c:v>
                </c:pt>
                <c:pt idx="2">
                  <c:v>0.31964169999999997</c:v>
                </c:pt>
                <c:pt idx="3" formatCode="#,##0">
                  <c:v>0.57823610000000003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1-422C-ABEA-97200213F06C}"/>
            </c:ext>
          </c:extLst>
        </c:ser>
        <c:ser>
          <c:idx val="1"/>
          <c:order val="1"/>
          <c:tx>
            <c:strRef>
              <c:f>'Outcomes of NRC formal'!$D$434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formal'!$O$437:$O$440</c:f>
                <c:numCache>
                  <c:formatCode>General</c:formatCode>
                  <c:ptCount val="4"/>
                  <c:pt idx="0">
                    <c:v>0.54062270000000001</c:v>
                  </c:pt>
                  <c:pt idx="1">
                    <c:v>1.0017605000000001</c:v>
                  </c:pt>
                  <c:pt idx="2">
                    <c:v>4.2768800000000003E-2</c:v>
                  </c:pt>
                  <c:pt idx="3">
                    <c:v>0.1539556</c:v>
                  </c:pt>
                </c:numCache>
              </c:numRef>
            </c:plus>
            <c:minus>
              <c:numRef>
                <c:f>'Outcomes of NRC formal'!$N$437:$N$440</c:f>
                <c:numCache>
                  <c:formatCode>General</c:formatCode>
                  <c:ptCount val="4"/>
                  <c:pt idx="0">
                    <c:v>0.1980325</c:v>
                  </c:pt>
                  <c:pt idx="1">
                    <c:v>0.38096650000000004</c:v>
                  </c:pt>
                  <c:pt idx="2">
                    <c:v>2.1204799999999999E-2</c:v>
                  </c:pt>
                  <c:pt idx="3">
                    <c:v>8.0904599999999993E-2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formal'!$A$435:$B$438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NRC formal'!$D$435:$D$438</c:f>
              <c:numCache>
                <c:formatCode>#,##0.00000</c:formatCode>
                <c:ptCount val="4"/>
                <c:pt idx="0">
                  <c:v>0.31250420000000001</c:v>
                </c:pt>
                <c:pt idx="1">
                  <c:v>0.61475650000000004</c:v>
                </c:pt>
                <c:pt idx="2">
                  <c:v>4.2056299999999998E-2</c:v>
                </c:pt>
                <c:pt idx="3" formatCode="General">
                  <c:v>0.17050689999999999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1-422C-ABEA-97200213F06C}"/>
            </c:ext>
          </c:extLst>
        </c:ser>
        <c:ser>
          <c:idx val="2"/>
          <c:order val="2"/>
          <c:tx>
            <c:strRef>
              <c:f>'Outcomes of NRC formal'!$E$434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formal'!$O$441:$O$444</c:f>
                <c:numCache>
                  <c:formatCode>General</c:formatCode>
                  <c:ptCount val="4"/>
                  <c:pt idx="0">
                    <c:v>0.54062270000000001</c:v>
                  </c:pt>
                  <c:pt idx="1">
                    <c:v>1.1255824000000001</c:v>
                  </c:pt>
                  <c:pt idx="2">
                    <c:v>4.8227100000000002E-2</c:v>
                  </c:pt>
                  <c:pt idx="3">
                    <c:v>0.1144917</c:v>
                  </c:pt>
                </c:numCache>
              </c:numRef>
            </c:plus>
            <c:minus>
              <c:numRef>
                <c:f>'Outcomes of NRC formal'!$N$441:$N$444</c:f>
                <c:numCache>
                  <c:formatCode>General</c:formatCode>
                  <c:ptCount val="4"/>
                  <c:pt idx="0">
                    <c:v>0.1980325</c:v>
                  </c:pt>
                  <c:pt idx="1">
                    <c:v>0.44563609999999998</c:v>
                  </c:pt>
                  <c:pt idx="2">
                    <c:v>2.4661500000000003E-2</c:v>
                  </c:pt>
                  <c:pt idx="3">
                    <c:v>5.6410999999999996E-2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formal'!$A$435:$B$438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NRC formal'!$E$435:$E$438</c:f>
              <c:numCache>
                <c:formatCode>#,##0.00000</c:formatCode>
                <c:ptCount val="4"/>
                <c:pt idx="0">
                  <c:v>0.31250420000000001</c:v>
                </c:pt>
                <c:pt idx="1">
                  <c:v>0.73770559999999996</c:v>
                </c:pt>
                <c:pt idx="2">
                  <c:v>5.0469800000000002E-2</c:v>
                </c:pt>
                <c:pt idx="3" formatCode="General">
                  <c:v>0.1112002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1-422C-ABEA-97200213F06C}"/>
            </c:ext>
          </c:extLst>
        </c:ser>
        <c:ser>
          <c:idx val="3"/>
          <c:order val="3"/>
          <c:tx>
            <c:strRef>
              <c:f>'Outcomes of NRC formal'!$F$434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formal'!$Q$433:$Q$436</c:f>
                <c:numCache>
                  <c:formatCode>General</c:formatCode>
                  <c:ptCount val="4"/>
                  <c:pt idx="0">
                    <c:v>0.71032800000000007</c:v>
                  </c:pt>
                  <c:pt idx="1">
                    <c:v>1.2147897000000001</c:v>
                  </c:pt>
                  <c:pt idx="2">
                    <c:v>0.3350244</c:v>
                  </c:pt>
                  <c:pt idx="3">
                    <c:v>0.80401299999999987</c:v>
                  </c:pt>
                </c:numCache>
              </c:numRef>
            </c:plus>
            <c:minus>
              <c:numRef>
                <c:f>'Outcomes of NRC formal'!$P$433:$P$436</c:f>
                <c:numCache>
                  <c:formatCode>General</c:formatCode>
                  <c:ptCount val="4"/>
                  <c:pt idx="0">
                    <c:v>0.33247120000000002</c:v>
                  </c:pt>
                  <c:pt idx="1">
                    <c:v>0.50375550000000002</c:v>
                  </c:pt>
                  <c:pt idx="2">
                    <c:v>0.20046079999999999</c:v>
                  </c:pt>
                  <c:pt idx="3">
                    <c:v>0.4767576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formal'!$A$435:$B$438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NRC formal'!$F$435:$F$438</c:f>
              <c:numCache>
                <c:formatCode>#,##0.00000</c:formatCode>
                <c:ptCount val="4"/>
                <c:pt idx="0">
                  <c:v>0.62500800000000001</c:v>
                </c:pt>
                <c:pt idx="1">
                  <c:v>0.86065729999999996</c:v>
                </c:pt>
                <c:pt idx="2">
                  <c:v>0.49908960000000002</c:v>
                </c:pt>
                <c:pt idx="3" formatCode="#,##0">
                  <c:v>1.171313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01-422C-ABEA-97200213F06C}"/>
            </c:ext>
          </c:extLst>
        </c:ser>
        <c:ser>
          <c:idx val="4"/>
          <c:order val="4"/>
          <c:tx>
            <c:strRef>
              <c:f>'Outcomes of NRC formal'!$G$434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formal'!$Q$437:$Q$440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1.0780844000000001</c:v>
                  </c:pt>
                  <c:pt idx="2">
                    <c:v>0.38430529999999996</c:v>
                  </c:pt>
                  <c:pt idx="3">
                    <c:v>0.56242629999999993</c:v>
                  </c:pt>
                </c:numCache>
              </c:numRef>
            </c:plus>
            <c:minus>
              <c:numRef>
                <c:f>'Outcomes of NRC formal'!$P$437:$P$440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0.43799599999999994</c:v>
                  </c:pt>
                  <c:pt idx="2">
                    <c:v>0.2307651</c:v>
                  </c:pt>
                  <c:pt idx="3">
                    <c:v>0.32908890000000002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formal'!$A$435:$B$438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NRC formal'!$G$435:$G$438</c:f>
              <c:numCache>
                <c:formatCode>#,##0.00000</c:formatCode>
                <c:ptCount val="4"/>
                <c:pt idx="0">
                  <c:v>1</c:v>
                </c:pt>
                <c:pt idx="1">
                  <c:v>0.73770559999999996</c:v>
                </c:pt>
                <c:pt idx="2" formatCode="General">
                  <c:v>0.577596</c:v>
                </c:pt>
                <c:pt idx="3" formatCode="#,##0">
                  <c:v>0.79322170000000003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01-422C-ABEA-97200213F06C}"/>
            </c:ext>
          </c:extLst>
        </c:ser>
        <c:ser>
          <c:idx val="5"/>
          <c:order val="5"/>
          <c:tx>
            <c:strRef>
              <c:f>'Outcomes of NRC formal'!$H$434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formal'!$Q$441:$Q$444</c:f>
                <c:numCache>
                  <c:formatCode>General</c:formatCode>
                  <c:ptCount val="4"/>
                  <c:pt idx="0">
                    <c:v>0.58343009999999995</c:v>
                  </c:pt>
                  <c:pt idx="1">
                    <c:v>0.99088059999999989</c:v>
                  </c:pt>
                  <c:pt idx="2">
                    <c:v>0.38683590000000001</c:v>
                  </c:pt>
                  <c:pt idx="3">
                    <c:v>0.62815730000000014</c:v>
                  </c:pt>
                </c:numCache>
              </c:numRef>
            </c:plus>
            <c:minus>
              <c:numRef>
                <c:f>'Outcomes of NRC formal'!$P$441:$P$444</c:f>
                <c:numCache>
                  <c:formatCode>General</c:formatCode>
                  <c:ptCount val="4"/>
                  <c:pt idx="0">
                    <c:v>0.22827750000000002</c:v>
                  </c:pt>
                  <c:pt idx="1">
                    <c:v>0.32867539999999995</c:v>
                  </c:pt>
                  <c:pt idx="2">
                    <c:v>0.23301660000000002</c:v>
                  </c:pt>
                  <c:pt idx="3">
                    <c:v>0.37069529999999995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formal'!$A$435:$B$438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NRC formal'!$H$435:$H$438</c:f>
              <c:numCache>
                <c:formatCode>#,##0.00000</c:formatCode>
                <c:ptCount val="4"/>
                <c:pt idx="0">
                  <c:v>0.37500480000000003</c:v>
                </c:pt>
                <c:pt idx="1">
                  <c:v>0.49180839999999998</c:v>
                </c:pt>
                <c:pt idx="2">
                  <c:v>0.58600730000000001</c:v>
                </c:pt>
                <c:pt idx="3" formatCode="General">
                  <c:v>0.90442469999999997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01-422C-ABEA-97200213F06C}"/>
            </c:ext>
          </c:extLst>
        </c:ser>
        <c:ser>
          <c:idx val="6"/>
          <c:order val="6"/>
          <c:tx>
            <c:strRef>
              <c:f>'Outcomes of NRC formal'!$I$434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formal'!$S$433:$S$436</c:f>
                <c:numCache>
                  <c:formatCode>General</c:formatCode>
                  <c:ptCount val="4"/>
                  <c:pt idx="0">
                    <c:v>0.41874080000000002</c:v>
                  </c:pt>
                  <c:pt idx="1">
                    <c:v>7.4000000000000011E-7</c:v>
                  </c:pt>
                  <c:pt idx="2">
                    <c:v>4.2837500000000008E-2</c:v>
                  </c:pt>
                  <c:pt idx="3">
                    <c:v>0.10452069999999999</c:v>
                  </c:pt>
                </c:numCache>
              </c:numRef>
            </c:plus>
            <c:minus>
              <c:numRef>
                <c:f>'Outcomes of NRC formal'!$R$433:$R$436</c:f>
                <c:numCache>
                  <c:formatCode>General</c:formatCode>
                  <c:ptCount val="4"/>
                  <c:pt idx="0">
                    <c:v>9.6261999999999986E-2</c:v>
                  </c:pt>
                  <c:pt idx="1">
                    <c:v>4.3300000000000003E-7</c:v>
                  </c:pt>
                  <c:pt idx="2">
                    <c:v>2.1221699999999996E-2</c:v>
                  </c:pt>
                  <c:pt idx="3">
                    <c:v>5.0140700000000003E-2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formal'!$A$435:$B$438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NRC formal'!$I$435:$I$438</c:f>
              <c:numCache>
                <c:formatCode>#,##0.000000</c:formatCode>
                <c:ptCount val="4"/>
                <c:pt idx="0">
                  <c:v>0.12499689999999999</c:v>
                </c:pt>
                <c:pt idx="1">
                  <c:v>1.02E-6</c:v>
                </c:pt>
                <c:pt idx="2">
                  <c:v>4.2056299999999998E-2</c:v>
                </c:pt>
                <c:pt idx="3" formatCode="General">
                  <c:v>9.6372600000000003E-2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01-422C-ABEA-97200213F06C}"/>
            </c:ext>
          </c:extLst>
        </c:ser>
        <c:ser>
          <c:idx val="7"/>
          <c:order val="7"/>
          <c:tx>
            <c:strRef>
              <c:f>'Outcomes of NRC formal'!$J$434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formal'!$S$437:$S$440</c:f>
                <c:numCache>
                  <c:formatCode>General</c:formatCode>
                  <c:ptCount val="4"/>
                  <c:pt idx="0">
                    <c:v>0.49787800000000004</c:v>
                  </c:pt>
                  <c:pt idx="1">
                    <c:v>0.8135543999999999</c:v>
                  </c:pt>
                  <c:pt idx="2">
                    <c:v>5.3826899999999997E-2</c:v>
                  </c:pt>
                  <c:pt idx="3">
                    <c:v>8.8606899999999988E-2</c:v>
                  </c:pt>
                </c:numCache>
              </c:numRef>
            </c:plus>
            <c:minus>
              <c:numRef>
                <c:f>'Outcomes of NRC formal'!$R$437:$R$440</c:f>
                <c:numCache>
                  <c:formatCode>General</c:formatCode>
                  <c:ptCount val="4"/>
                  <c:pt idx="0">
                    <c:v>0.16643179999999999</c:v>
                  </c:pt>
                  <c:pt idx="1">
                    <c:v>0.1888292</c:v>
                  </c:pt>
                  <c:pt idx="2">
                    <c:v>2.2698700000000002E-2</c:v>
                  </c:pt>
                  <c:pt idx="3">
                    <c:v>3.5526500000000003E-2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formal'!$A$435:$B$438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NRC formal'!$J$435:$J$438</c:f>
              <c:numCache>
                <c:formatCode>#,##0.000000</c:formatCode>
                <c:ptCount val="4"/>
                <c:pt idx="0">
                  <c:v>0.25000339999999999</c:v>
                </c:pt>
                <c:pt idx="1">
                  <c:v>0.2459046</c:v>
                </c:pt>
                <c:pt idx="2">
                  <c:v>3.9250800000000002E-2</c:v>
                </c:pt>
                <c:pt idx="3" formatCode="General">
                  <c:v>5.9304200000000001E-2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01-422C-ABEA-97200213F06C}"/>
            </c:ext>
          </c:extLst>
        </c:ser>
        <c:ser>
          <c:idx val="8"/>
          <c:order val="8"/>
          <c:tx>
            <c:strRef>
              <c:f>'Outcomes of NRC formal'!$K$434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NRC formal'!$S$441:$S$444</c:f>
                <c:numCache>
                  <c:formatCode>General</c:formatCode>
                  <c:ptCount val="4"/>
                  <c:pt idx="0">
                    <c:v>0.668408</c:v>
                  </c:pt>
                  <c:pt idx="1">
                    <c:v>1.2483867</c:v>
                  </c:pt>
                  <c:pt idx="2">
                    <c:v>4.6487899999999999E-2</c:v>
                  </c:pt>
                  <c:pt idx="3">
                    <c:v>0.12428169999999999</c:v>
                  </c:pt>
                </c:numCache>
              </c:numRef>
            </c:plus>
            <c:minus>
              <c:numRef>
                <c:f>'Outcomes of NRC formal'!$R$441:$R$444</c:f>
                <c:numCache>
                  <c:formatCode>General</c:formatCode>
                  <c:ptCount val="4"/>
                  <c:pt idx="0">
                    <c:v>0.28603590000000001</c:v>
                  </c:pt>
                  <c:pt idx="1">
                    <c:v>0.50944089999999997</c:v>
                  </c:pt>
                  <c:pt idx="2">
                    <c:v>2.3534700000000002E-2</c:v>
                  </c:pt>
                  <c:pt idx="3">
                    <c:v>6.257420000000001E-2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NRC formal'!$A$435:$B$438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'Outcomes of NRC formal'!$K$435:$K$438</c:f>
              <c:numCache>
                <c:formatCode>#,##0</c:formatCode>
                <c:ptCount val="4"/>
                <c:pt idx="0" formatCode="General">
                  <c:v>0.50000699999999998</c:v>
                </c:pt>
                <c:pt idx="1">
                  <c:v>0.86065729999999996</c:v>
                </c:pt>
                <c:pt idx="2" formatCode="General">
                  <c:v>4.7665600000000002E-2</c:v>
                </c:pt>
                <c:pt idx="3" formatCode="General">
                  <c:v>0.12602730000000001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01-422C-ABEA-97200213F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173616"/>
        <c:axId val="649174272"/>
      </c:barChart>
      <c:catAx>
        <c:axId val="64917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74272"/>
        <c:crosses val="autoZero"/>
        <c:auto val="1"/>
        <c:lblAlgn val="ctr"/>
        <c:lblOffset val="100"/>
        <c:noMultiLvlLbl val="0"/>
      </c:catAx>
      <c:valAx>
        <c:axId val="6491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7361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RC formal'!$B$48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of RC 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RC formal'!$B$49:$B$52</c:f>
              <c:numCache>
                <c:formatCode>#,##0.00000</c:formatCode>
                <c:ptCount val="4"/>
                <c:pt idx="0" formatCode="0.000000">
                  <c:v>0.4766147</c:v>
                </c:pt>
                <c:pt idx="1">
                  <c:v>0.98764730000000001</c:v>
                </c:pt>
                <c:pt idx="2">
                  <c:v>1.705274</c:v>
                </c:pt>
                <c:pt idx="3">
                  <c:v>0.87781710000000002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6-45E8-B9AE-732922F3DB60}"/>
            </c:ext>
          </c:extLst>
        </c:ser>
        <c:ser>
          <c:idx val="1"/>
          <c:order val="1"/>
          <c:tx>
            <c:strRef>
              <c:f>'Outcomes of RC formal'!$C$48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of RC 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RC formal'!$C$49:$C$52</c:f>
              <c:numCache>
                <c:formatCode>#,##0.00000</c:formatCode>
                <c:ptCount val="4"/>
                <c:pt idx="0">
                  <c:v>0.14922050000000001</c:v>
                </c:pt>
                <c:pt idx="1">
                  <c:v>0.35882150000000002</c:v>
                </c:pt>
                <c:pt idx="2">
                  <c:v>0.54459849999999999</c:v>
                </c:pt>
                <c:pt idx="3">
                  <c:v>0.56537369999999998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6-45E8-B9AE-732922F3DB60}"/>
            </c:ext>
          </c:extLst>
        </c:ser>
        <c:ser>
          <c:idx val="2"/>
          <c:order val="2"/>
          <c:tx>
            <c:strRef>
              <c:f>'Outcomes of RC formal'!$D$48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of RC 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RC formal'!$D$49:$D$52</c:f>
              <c:numCache>
                <c:formatCode>#,##0.00000</c:formatCode>
                <c:ptCount val="4"/>
                <c:pt idx="0">
                  <c:v>0.26726060000000001</c:v>
                </c:pt>
                <c:pt idx="1">
                  <c:v>0.52224519999999997</c:v>
                </c:pt>
                <c:pt idx="2">
                  <c:v>0.92922119999999997</c:v>
                </c:pt>
                <c:pt idx="3">
                  <c:v>1.0414779999999999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6-45E8-B9AE-732922F3DB60}"/>
            </c:ext>
          </c:extLst>
        </c:ser>
        <c:ser>
          <c:idx val="3"/>
          <c:order val="3"/>
          <c:tx>
            <c:strRef>
              <c:f>'Outcomes of RC formal'!$E$48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of RC 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RC formal'!$E$49:$E$52</c:f>
              <c:numCache>
                <c:formatCode>#,##0.00000</c:formatCode>
                <c:ptCount val="4"/>
                <c:pt idx="0">
                  <c:v>0.87305120000000003</c:v>
                </c:pt>
                <c:pt idx="1">
                  <c:v>2.1671399999999998</c:v>
                </c:pt>
                <c:pt idx="2">
                  <c:v>2.4881340000000001</c:v>
                </c:pt>
                <c:pt idx="3">
                  <c:v>4.7759200000000002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36-45E8-B9AE-732922F3DB60}"/>
            </c:ext>
          </c:extLst>
        </c:ser>
        <c:ser>
          <c:idx val="4"/>
          <c:order val="4"/>
          <c:tx>
            <c:strRef>
              <c:f>'Outcomes of RC formal'!$F$48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'Outcomes of RC 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RC formal'!$F$49:$F$52</c:f>
              <c:numCache>
                <c:formatCode>#,##0.00000</c:formatCode>
                <c:ptCount val="4"/>
                <c:pt idx="0">
                  <c:v>1</c:v>
                </c:pt>
                <c:pt idx="1">
                  <c:v>1.6342369999999999</c:v>
                </c:pt>
                <c:pt idx="2">
                  <c:v>1.7222930000000001</c:v>
                </c:pt>
                <c:pt idx="3">
                  <c:v>4.5081110000000004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36-45E8-B9AE-732922F3DB60}"/>
            </c:ext>
          </c:extLst>
        </c:ser>
        <c:ser>
          <c:idx val="5"/>
          <c:order val="5"/>
          <c:tx>
            <c:strRef>
              <c:f>'Outcomes of RC formal'!$G$48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'Outcomes of RC 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RC formal'!$G$49:$G$52</c:f>
              <c:numCache>
                <c:formatCode>#,##0.00000</c:formatCode>
                <c:ptCount val="4"/>
                <c:pt idx="0">
                  <c:v>0.1158129</c:v>
                </c:pt>
                <c:pt idx="1">
                  <c:v>0.1882925</c:v>
                </c:pt>
                <c:pt idx="2">
                  <c:v>0.3369703</c:v>
                </c:pt>
                <c:pt idx="3">
                  <c:v>0.41659109999999999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36-45E8-B9AE-732922F3DB60}"/>
            </c:ext>
          </c:extLst>
        </c:ser>
        <c:ser>
          <c:idx val="6"/>
          <c:order val="6"/>
          <c:tx>
            <c:strRef>
              <c:f>'Outcomes of RC formal'!$H$48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of RC 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RC formal'!$H$49:$H$52</c:f>
              <c:numCache>
                <c:formatCode>#,##0.000000</c:formatCode>
                <c:ptCount val="4"/>
                <c:pt idx="0">
                  <c:v>0.30957679999999999</c:v>
                </c:pt>
                <c:pt idx="1">
                  <c:v>0.65014190000000005</c:v>
                </c:pt>
                <c:pt idx="2">
                  <c:v>0.72159300000000004</c:v>
                </c:pt>
                <c:pt idx="3">
                  <c:v>0.89269529999999997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4-434E-853C-A33C3350CE2E}"/>
            </c:ext>
          </c:extLst>
        </c:ser>
        <c:ser>
          <c:idx val="7"/>
          <c:order val="7"/>
          <c:tx>
            <c:strRef>
              <c:f>'Outcomes of RC formal'!$I$48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of RC 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RC formal'!$I$49:$I$52</c:f>
              <c:numCache>
                <c:formatCode>#,##0.000000</c:formatCode>
                <c:ptCount val="4"/>
                <c:pt idx="0">
                  <c:v>0.10690429999999999</c:v>
                </c:pt>
                <c:pt idx="1">
                  <c:v>0.16697629999999999</c:v>
                </c:pt>
                <c:pt idx="2">
                  <c:v>0.24506929999999999</c:v>
                </c:pt>
                <c:pt idx="3">
                  <c:v>0.26780860000000001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B4-434E-853C-A33C3350CE2E}"/>
            </c:ext>
          </c:extLst>
        </c:ser>
        <c:ser>
          <c:idx val="8"/>
          <c:order val="8"/>
          <c:tx>
            <c:strRef>
              <c:f>'Outcomes of RC formal'!$J$48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of RC formal'!$A$49:$A$52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cat>
          <c:val>
            <c:numRef>
              <c:f>'Outcomes of RC formal'!$J$49:$J$52</c:f>
              <c:numCache>
                <c:formatCode>General</c:formatCode>
                <c:ptCount val="4"/>
                <c:pt idx="0">
                  <c:v>0.17817369999999999</c:v>
                </c:pt>
                <c:pt idx="1">
                  <c:v>0.28066239999999998</c:v>
                </c:pt>
                <c:pt idx="2">
                  <c:v>0.50375360000000002</c:v>
                </c:pt>
                <c:pt idx="3">
                  <c:v>0.95220830000000001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B4-434E-853C-A33C3350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938744"/>
        <c:axId val="628939072"/>
      </c:barChart>
      <c:catAx>
        <c:axId val="62893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39072"/>
        <c:crosses val="autoZero"/>
        <c:auto val="1"/>
        <c:lblAlgn val="ctr"/>
        <c:lblOffset val="100"/>
        <c:noMultiLvlLbl val="0"/>
      </c:catAx>
      <c:valAx>
        <c:axId val="6289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3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RC formal'!$B$142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formal'!$G$103:$G$106</c:f>
                <c:numCache>
                  <c:formatCode>General</c:formatCode>
                  <c:ptCount val="4"/>
                  <c:pt idx="0">
                    <c:v>8.4841E-2</c:v>
                  </c:pt>
                  <c:pt idx="1">
                    <c:v>0.12616779999999994</c:v>
                  </c:pt>
                  <c:pt idx="2">
                    <c:v>0.18885899999999989</c:v>
                  </c:pt>
                  <c:pt idx="3">
                    <c:v>0.18817609999999996</c:v>
                  </c:pt>
                </c:numCache>
              </c:numRef>
            </c:plus>
            <c:minus>
              <c:numRef>
                <c:f>'Outcomes of RC formal'!$F$103:$F$106</c:f>
                <c:numCache>
                  <c:formatCode>General</c:formatCode>
                  <c:ptCount val="4"/>
                  <c:pt idx="0">
                    <c:v>7.2020799999999996E-2</c:v>
                  </c:pt>
                  <c:pt idx="1">
                    <c:v>0.10819160000000005</c:v>
                  </c:pt>
                  <c:pt idx="2">
                    <c:v>0.16412500000000008</c:v>
                  </c:pt>
                  <c:pt idx="3">
                    <c:v>0.14206989999999997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RC 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RC formal'!$B$143:$B$146</c:f>
              <c:numCache>
                <c:formatCode>#,##0.00000</c:formatCode>
                <c:ptCount val="4"/>
                <c:pt idx="0" formatCode="0.000000">
                  <c:v>0.4766147</c:v>
                </c:pt>
                <c:pt idx="1">
                  <c:v>0.75935790000000003</c:v>
                </c:pt>
                <c:pt idx="2">
                  <c:v>1.2531840000000001</c:v>
                </c:pt>
                <c:pt idx="3">
                  <c:v>0.57983879999999999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1-4730-B724-2B383B30216E}"/>
            </c:ext>
          </c:extLst>
        </c:ser>
        <c:ser>
          <c:idx val="1"/>
          <c:order val="1"/>
          <c:tx>
            <c:strRef>
              <c:f>'Outcomes of RC formal'!$C$142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formal'!$G$107:$G$110</c:f>
                <c:numCache>
                  <c:formatCode>General</c:formatCode>
                  <c:ptCount val="4"/>
                  <c:pt idx="0">
                    <c:v>4.3915700000000002E-2</c:v>
                  </c:pt>
                  <c:pt idx="1">
                    <c:v>6.7701799999999979E-2</c:v>
                  </c:pt>
                  <c:pt idx="2">
                    <c:v>8.5210700000000028E-2</c:v>
                  </c:pt>
                  <c:pt idx="3">
                    <c:v>0.15389179999999997</c:v>
                  </c:pt>
                </c:numCache>
              </c:numRef>
            </c:plus>
            <c:minus>
              <c:numRef>
                <c:f>'Outcomes of RC formal'!$F$107:$F$110</c:f>
                <c:numCache>
                  <c:formatCode>General</c:formatCode>
                  <c:ptCount val="4"/>
                  <c:pt idx="0">
                    <c:v>3.3930100000000005E-2</c:v>
                  </c:pt>
                  <c:pt idx="1">
                    <c:v>5.4361400000000004E-2</c:v>
                  </c:pt>
                  <c:pt idx="2">
                    <c:v>7.025319999999996E-2</c:v>
                  </c:pt>
                  <c:pt idx="3">
                    <c:v>0.10898269999999999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RC 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RC formal'!$C$143:$C$146</c:f>
              <c:numCache>
                <c:formatCode>#,##0.00000</c:formatCode>
                <c:ptCount val="4"/>
                <c:pt idx="0">
                  <c:v>0.14922050000000001</c:v>
                </c:pt>
                <c:pt idx="1">
                  <c:v>0.27588180000000001</c:v>
                </c:pt>
                <c:pt idx="2">
                  <c:v>0.40021839999999997</c:v>
                </c:pt>
                <c:pt idx="3">
                  <c:v>0.3734555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1-4730-B724-2B383B30216E}"/>
            </c:ext>
          </c:extLst>
        </c:ser>
        <c:ser>
          <c:idx val="2"/>
          <c:order val="2"/>
          <c:tx>
            <c:strRef>
              <c:f>'Outcomes of RC formal'!$D$142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formal'!$G$111:$G$114</c:f>
                <c:numCache>
                  <c:formatCode>General</c:formatCode>
                  <c:ptCount val="4"/>
                  <c:pt idx="0">
                    <c:v>5.970209999999998E-2</c:v>
                  </c:pt>
                  <c:pt idx="1">
                    <c:v>8.5633499999999974E-2</c:v>
                  </c:pt>
                  <c:pt idx="2">
                    <c:v>0.12003429999999993</c:v>
                  </c:pt>
                  <c:pt idx="3">
                    <c:v>0.20554030000000001</c:v>
                  </c:pt>
                </c:numCache>
              </c:numRef>
            </c:plus>
            <c:minus>
              <c:numRef>
                <c:f>'Outcomes of RC formal'!$F$111:$F$114</c:f>
                <c:numCache>
                  <c:formatCode>General</c:formatCode>
                  <c:ptCount val="4"/>
                  <c:pt idx="0">
                    <c:v>4.8800800000000005E-2</c:v>
                  </c:pt>
                  <c:pt idx="1">
                    <c:v>7.0580900000000002E-2</c:v>
                  </c:pt>
                  <c:pt idx="2">
                    <c:v>0.1020892000000001</c:v>
                  </c:pt>
                  <c:pt idx="3">
                    <c:v>0.15825719999999999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RC 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RC formal'!$D$143:$D$146</c:f>
              <c:numCache>
                <c:formatCode>#,##0.00000</c:formatCode>
                <c:ptCount val="4"/>
                <c:pt idx="0">
                  <c:v>0.26726060000000001</c:v>
                </c:pt>
                <c:pt idx="1">
                  <c:v>0.40153100000000003</c:v>
                </c:pt>
                <c:pt idx="2">
                  <c:v>0.68287260000000005</c:v>
                </c:pt>
                <c:pt idx="3">
                  <c:v>0.68794440000000001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E1-4730-B724-2B383B30216E}"/>
            </c:ext>
          </c:extLst>
        </c:ser>
        <c:ser>
          <c:idx val="3"/>
          <c:order val="3"/>
          <c:tx>
            <c:strRef>
              <c:f>'Outcomes of RC formal'!$E$142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formal'!$G$115:$G$118</c:f>
                <c:numCache>
                  <c:formatCode>General</c:formatCode>
                  <c:ptCount val="4"/>
                  <c:pt idx="0">
                    <c:v>0.13262980000000002</c:v>
                  </c:pt>
                  <c:pt idx="1">
                    <c:v>0.23837799999999998</c:v>
                  </c:pt>
                  <c:pt idx="2">
                    <c:v>0.25632500000000014</c:v>
                  </c:pt>
                  <c:pt idx="3">
                    <c:v>0.56451399999999996</c:v>
                  </c:pt>
                </c:numCache>
              </c:numRef>
            </c:plus>
            <c:minus>
              <c:numRef>
                <c:f>'Outcomes of RC formal'!$F$115:$F$118</c:f>
                <c:numCache>
                  <c:formatCode>General</c:formatCode>
                  <c:ptCount val="4"/>
                  <c:pt idx="0">
                    <c:v>0.11513850000000003</c:v>
                  </c:pt>
                  <c:pt idx="1">
                    <c:v>0.20854300000000014</c:v>
                  </c:pt>
                  <c:pt idx="2">
                    <c:v>0.22481099999999987</c:v>
                  </c:pt>
                  <c:pt idx="3">
                    <c:v>0.47882999999999987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RC 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RC formal'!$E$143:$E$146</c:f>
              <c:numCache>
                <c:formatCode>#,##0.00000</c:formatCode>
                <c:ptCount val="4"/>
                <c:pt idx="0">
                  <c:v>0.87305120000000003</c:v>
                </c:pt>
                <c:pt idx="1">
                  <c:v>1.6662170000000001</c:v>
                </c:pt>
                <c:pt idx="2">
                  <c:v>1.828498</c:v>
                </c:pt>
                <c:pt idx="3">
                  <c:v>3.1547160000000001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E1-4730-B724-2B383B30216E}"/>
            </c:ext>
          </c:extLst>
        </c:ser>
        <c:ser>
          <c:idx val="4"/>
          <c:order val="4"/>
          <c:tx>
            <c:strRef>
              <c:f>'Outcomes of RC formal'!$F$142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formal'!$G$119:$G$122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0.18660100000000002</c:v>
                  </c:pt>
                  <c:pt idx="2">
                    <c:v>0.18752000000000013</c:v>
                  </c:pt>
                  <c:pt idx="3">
                    <c:v>0.5279790000000002</c:v>
                  </c:pt>
                </c:numCache>
              </c:numRef>
            </c:plus>
            <c:minus>
              <c:numRef>
                <c:f>'Outcomes of RC formal'!$F$119:$F$122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0.16247299999999987</c:v>
                  </c:pt>
                  <c:pt idx="2">
                    <c:v>0.16332299999999988</c:v>
                  </c:pt>
                  <c:pt idx="3">
                    <c:v>0.44846399999999997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RC 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RC formal'!$F$143:$F$146</c:f>
              <c:numCache>
                <c:formatCode>#,##0.00000</c:formatCode>
                <c:ptCount val="4"/>
                <c:pt idx="0">
                  <c:v>1</c:v>
                </c:pt>
                <c:pt idx="1">
                  <c:v>1.2564919999999999</c:v>
                </c:pt>
                <c:pt idx="2">
                  <c:v>1.2656909999999999</c:v>
                </c:pt>
                <c:pt idx="3">
                  <c:v>2.9778159999999998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E1-4730-B724-2B383B30216E}"/>
            </c:ext>
          </c:extLst>
        </c:ser>
        <c:ser>
          <c:idx val="5"/>
          <c:order val="5"/>
          <c:tx>
            <c:strRef>
              <c:f>'Outcomes of RC formal'!$G$142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formal'!$G$123:$G$126</c:f>
                <c:numCache>
                  <c:formatCode>General</c:formatCode>
                  <c:ptCount val="4"/>
                  <c:pt idx="0">
                    <c:v>3.8692699999999997E-2</c:v>
                  </c:pt>
                  <c:pt idx="1">
                    <c:v>4.8242699999999999E-2</c:v>
                  </c:pt>
                  <c:pt idx="2">
                    <c:v>6.3349700000000009E-2</c:v>
                  </c:pt>
                  <c:pt idx="3">
                    <c:v>0.12911349999999999</c:v>
                  </c:pt>
                </c:numCache>
              </c:numRef>
            </c:plus>
            <c:minus>
              <c:numRef>
                <c:f>'Outcomes of RC formal'!$F$123:$F$126</c:f>
                <c:numCache>
                  <c:formatCode>General</c:formatCode>
                  <c:ptCount val="4"/>
                  <c:pt idx="0">
                    <c:v>2.9002899999999998E-2</c:v>
                  </c:pt>
                  <c:pt idx="1">
                    <c:v>3.6184599999999997E-2</c:v>
                  </c:pt>
                  <c:pt idx="2">
                    <c:v>5.0444899999999987E-2</c:v>
                  </c:pt>
                  <c:pt idx="3">
                    <c:v>8.7880100000000017E-2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RC 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RC formal'!$G$143:$G$146</c:f>
              <c:numCache>
                <c:formatCode>#,##0.00000</c:formatCode>
                <c:ptCount val="4"/>
                <c:pt idx="0">
                  <c:v>0.1158129</c:v>
                </c:pt>
                <c:pt idx="1">
                  <c:v>0.1447697</c:v>
                </c:pt>
                <c:pt idx="2">
                  <c:v>0.2476351</c:v>
                </c:pt>
                <c:pt idx="3">
                  <c:v>0.27517770000000003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E1-4730-B724-2B383B30216E}"/>
            </c:ext>
          </c:extLst>
        </c:ser>
        <c:ser>
          <c:idx val="6"/>
          <c:order val="6"/>
          <c:tx>
            <c:strRef>
              <c:f>'Outcomes of RC formal'!$H$142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formal'!$G$127:$G$130</c:f>
                <c:numCache>
                  <c:formatCode>General</c:formatCode>
                  <c:ptCount val="4"/>
                  <c:pt idx="0">
                    <c:v>6.5805700000000023E-2</c:v>
                  </c:pt>
                  <c:pt idx="1">
                    <c:v>9.8040399999999972E-2</c:v>
                  </c:pt>
                  <c:pt idx="2">
                    <c:v>0.10008850000000002</c:v>
                  </c:pt>
                  <c:pt idx="3">
                    <c:v>0.19171240000000001</c:v>
                  </c:pt>
                </c:numCache>
              </c:numRef>
            </c:plus>
            <c:minus>
              <c:numRef>
                <c:f>'Outcomes of RC formal'!$F$127:$F$130</c:f>
                <c:numCache>
                  <c:formatCode>General</c:formatCode>
                  <c:ptCount val="4"/>
                  <c:pt idx="0">
                    <c:v>5.4269699999999976E-2</c:v>
                  </c:pt>
                  <c:pt idx="1">
                    <c:v>8.196429999999999E-2</c:v>
                  </c:pt>
                  <c:pt idx="2">
                    <c:v>8.4196899999999963E-2</c:v>
                  </c:pt>
                  <c:pt idx="3">
                    <c:v>0.14467550000000007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RC 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RC formal'!$H$143:$H$146</c:f>
              <c:numCache>
                <c:formatCode>#,##0.000000</c:formatCode>
                <c:ptCount val="4"/>
                <c:pt idx="0">
                  <c:v>0.30957679999999999</c:v>
                </c:pt>
                <c:pt idx="1">
                  <c:v>0.49986510000000001</c:v>
                </c:pt>
                <c:pt idx="2">
                  <c:v>0.53028929999999996</c:v>
                </c:pt>
                <c:pt idx="3">
                  <c:v>0.58966660000000004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E1-4730-B724-2B383B30216E}"/>
            </c:ext>
          </c:extLst>
        </c:ser>
        <c:ser>
          <c:idx val="7"/>
          <c:order val="7"/>
          <c:tx>
            <c:strRef>
              <c:f>'Outcomes of RC formal'!$I$142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formal'!$G$131:$G$134</c:f>
                <c:numCache>
                  <c:formatCode>General</c:formatCode>
                  <c:ptCount val="4"/>
                  <c:pt idx="0">
                    <c:v>3.7220200000000009E-2</c:v>
                  </c:pt>
                  <c:pt idx="1">
                    <c:v>4.6717300000000017E-2</c:v>
                  </c:pt>
                  <c:pt idx="2">
                    <c:v>5.5027800000000016E-2</c:v>
                  </c:pt>
                  <c:pt idx="3">
                    <c:v>0.10733680000000001</c:v>
                  </c:pt>
                </c:numCache>
              </c:numRef>
            </c:plus>
            <c:minus>
              <c:numRef>
                <c:f>'Outcomes of RC formal'!$F$131:$F$134</c:f>
                <c:numCache>
                  <c:formatCode>General</c:formatCode>
                  <c:ptCount val="4"/>
                  <c:pt idx="0">
                    <c:v>2.7608000000000008E-2</c:v>
                  </c:pt>
                  <c:pt idx="1">
                    <c:v>3.4252899999999989E-2</c:v>
                  </c:pt>
                  <c:pt idx="2">
                    <c:v>4.2149399999999976E-2</c:v>
                  </c:pt>
                  <c:pt idx="3">
                    <c:v>6.6803000000000001E-2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RC 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RC formal'!$I$143:$I$146</c:f>
              <c:numCache>
                <c:formatCode>#,##0.000000</c:formatCode>
                <c:ptCount val="4"/>
                <c:pt idx="0">
                  <c:v>0.1069042</c:v>
                </c:pt>
                <c:pt idx="1">
                  <c:v>0.12838069999999999</c:v>
                </c:pt>
                <c:pt idx="2">
                  <c:v>0.18009829999999999</c:v>
                </c:pt>
                <c:pt idx="3">
                  <c:v>0.1769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E1-4730-B724-2B383B30216E}"/>
            </c:ext>
          </c:extLst>
        </c:ser>
        <c:ser>
          <c:idx val="8"/>
          <c:order val="8"/>
          <c:tx>
            <c:strRef>
              <c:f>'Outcomes of RC formal'!$J$142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formal'!$G$135:$G$138</c:f>
                <c:numCache>
                  <c:formatCode>General</c:formatCode>
                  <c:ptCount val="4"/>
                  <c:pt idx="0">
                    <c:v>4.8053600000000002E-2</c:v>
                  </c:pt>
                  <c:pt idx="1">
                    <c:v>5.93669E-2</c:v>
                  </c:pt>
                  <c:pt idx="2">
                    <c:v>8.0465800000000032E-2</c:v>
                  </c:pt>
                  <c:pt idx="3">
                    <c:v>0.19243270000000001</c:v>
                  </c:pt>
                </c:numCache>
              </c:numRef>
            </c:plus>
            <c:minus>
              <c:numRef>
                <c:f>'Outcomes of RC formal'!$F$135:$F$138</c:f>
                <c:numCache>
                  <c:formatCode>General</c:formatCode>
                  <c:ptCount val="4"/>
                  <c:pt idx="0">
                    <c:v>3.7846400000000002E-2</c:v>
                  </c:pt>
                  <c:pt idx="1">
                    <c:v>4.6558099999999991E-2</c:v>
                  </c:pt>
                  <c:pt idx="2">
                    <c:v>6.6098799999999958E-2</c:v>
                  </c:pt>
                  <c:pt idx="3">
                    <c:v>0.14735129999999996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'Outcomes of RC formal'!$A$143:$A$146</c:f>
              <c:strCache>
                <c:ptCount val="4"/>
                <c:pt idx="0">
                  <c:v>1980-1990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2010-2015</c:v>
                </c:pt>
              </c:strCache>
            </c:strRef>
          </c:cat>
          <c:val>
            <c:numRef>
              <c:f>'Outcomes of RC formal'!$J$143:$J$146</c:f>
              <c:numCache>
                <c:formatCode>General</c:formatCode>
                <c:ptCount val="4"/>
                <c:pt idx="0">
                  <c:v>0.17817369999999999</c:v>
                </c:pt>
                <c:pt idx="1">
                  <c:v>0.2157888</c:v>
                </c:pt>
                <c:pt idx="2">
                  <c:v>0.37020199999999998</c:v>
                </c:pt>
                <c:pt idx="3">
                  <c:v>0.62897769999999997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E1-4730-B724-2B383B302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03128"/>
        <c:axId val="99003456"/>
      </c:barChart>
      <c:catAx>
        <c:axId val="990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3456"/>
        <c:crosses val="autoZero"/>
        <c:auto val="1"/>
        <c:lblAlgn val="ctr"/>
        <c:lblOffset val="100"/>
        <c:noMultiLvlLbl val="0"/>
      </c:catAx>
      <c:valAx>
        <c:axId val="9900345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312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RC formal'!$C$235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formal'!$O$235:$O$238</c:f>
                <c:numCache>
                  <c:formatCode>General</c:formatCode>
                  <c:ptCount val="4"/>
                  <c:pt idx="0">
                    <c:v>0.35717900000000014</c:v>
                  </c:pt>
                  <c:pt idx="1">
                    <c:v>0.65414100000000008</c:v>
                  </c:pt>
                  <c:pt idx="2">
                    <c:v>0.26110299999999986</c:v>
                  </c:pt>
                  <c:pt idx="3">
                    <c:v>0.42719399999999985</c:v>
                  </c:pt>
                </c:numCache>
              </c:numRef>
            </c:plus>
            <c:minus>
              <c:numRef>
                <c:f>'Outcomes of RC formal'!$N$235:$N$238</c:f>
                <c:numCache>
                  <c:formatCode>General</c:formatCode>
                  <c:ptCount val="4"/>
                  <c:pt idx="0">
                    <c:v>0.29048099999999999</c:v>
                  </c:pt>
                  <c:pt idx="1">
                    <c:v>0.53343600000000002</c:v>
                  </c:pt>
                  <c:pt idx="2">
                    <c:v>0.21263900000000002</c:v>
                  </c:pt>
                  <c:pt idx="3">
                    <c:v>0.34546499999999991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formal'!$A$236:$B$239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RC formal'!$C$236:$C$239</c:f>
              <c:numCache>
                <c:formatCode>#,##0.00000</c:formatCode>
                <c:ptCount val="4"/>
                <c:pt idx="0" formatCode="0.000000">
                  <c:v>1.5555559999999999</c:v>
                </c:pt>
                <c:pt idx="1">
                  <c:v>2.8908879999999999</c:v>
                </c:pt>
                <c:pt idx="2">
                  <c:v>1.145607</c:v>
                </c:pt>
                <c:pt idx="3" formatCode="#,##0">
                  <c:v>1.805731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F-4B80-900D-6D905D587254}"/>
            </c:ext>
          </c:extLst>
        </c:ser>
        <c:ser>
          <c:idx val="1"/>
          <c:order val="1"/>
          <c:tx>
            <c:strRef>
              <c:f>'Outcomes of RC formal'!$D$235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formal'!$O$239:$O$242</c:f>
                <c:numCache>
                  <c:formatCode>General</c:formatCode>
                  <c:ptCount val="4"/>
                  <c:pt idx="0">
                    <c:v>0.22546230000000012</c:v>
                  </c:pt>
                  <c:pt idx="1">
                    <c:v>0.40522999999999998</c:v>
                  </c:pt>
                  <c:pt idx="2">
                    <c:v>6.8245E-2</c:v>
                  </c:pt>
                  <c:pt idx="3">
                    <c:v>0.11816370000000001</c:v>
                  </c:pt>
                </c:numCache>
              </c:numRef>
            </c:plus>
            <c:minus>
              <c:numRef>
                <c:f>'Outcomes of RC formal'!$N$239:$N$242</c:f>
                <c:numCache>
                  <c:formatCode>General</c:formatCode>
                  <c:ptCount val="4"/>
                  <c:pt idx="0">
                    <c:v>0.17854629999999994</c:v>
                  </c:pt>
                  <c:pt idx="1">
                    <c:v>0.3207819999999999</c:v>
                  </c:pt>
                  <c:pt idx="2">
                    <c:v>4.5709900000000012E-2</c:v>
                  </c:pt>
                  <c:pt idx="3">
                    <c:v>7.95709E-2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formal'!$A$236:$B$239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RC formal'!$D$236:$D$239</c:f>
              <c:numCache>
                <c:formatCode>#,##0.00000</c:formatCode>
                <c:ptCount val="4"/>
                <c:pt idx="0">
                  <c:v>0.85802469999999997</c:v>
                </c:pt>
                <c:pt idx="1">
                  <c:v>1.539304</c:v>
                </c:pt>
                <c:pt idx="2">
                  <c:v>0.13842750000000001</c:v>
                </c:pt>
                <c:pt idx="3" formatCode="General">
                  <c:v>0.2436304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F-4B80-900D-6D905D587254}"/>
            </c:ext>
          </c:extLst>
        </c:ser>
        <c:ser>
          <c:idx val="2"/>
          <c:order val="2"/>
          <c:tx>
            <c:strRef>
              <c:f>'Outcomes of RC formal'!$E$235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formal'!$O$243:$O$246</c:f>
                <c:numCache>
                  <c:formatCode>General</c:formatCode>
                  <c:ptCount val="4"/>
                  <c:pt idx="0">
                    <c:v>0.27430700000000008</c:v>
                  </c:pt>
                  <c:pt idx="1">
                    <c:v>0.51218800000000009</c:v>
                  </c:pt>
                  <c:pt idx="2">
                    <c:v>0.12888559999999993</c:v>
                  </c:pt>
                  <c:pt idx="3">
                    <c:v>0.23956989999999989</c:v>
                  </c:pt>
                </c:numCache>
              </c:numRef>
            </c:plus>
            <c:minus>
              <c:numRef>
                <c:f>'Outcomes of RC formal'!$N$243:$N$246</c:f>
                <c:numCache>
                  <c:formatCode>General</c:formatCode>
                  <c:ptCount val="4"/>
                  <c:pt idx="0">
                    <c:v>0.22023659999999989</c:v>
                  </c:pt>
                  <c:pt idx="1">
                    <c:v>0.4125700000000001</c:v>
                  </c:pt>
                  <c:pt idx="2">
                    <c:v>9.808910000000004E-2</c:v>
                  </c:pt>
                  <c:pt idx="3">
                    <c:v>0.18632610000000005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formal'!$A$236:$B$239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RC formal'!$E$236:$E$239</c:f>
              <c:numCache>
                <c:formatCode>#,##0.00000</c:formatCode>
                <c:ptCount val="4"/>
                <c:pt idx="0">
                  <c:v>1.1172839999999999</c:v>
                </c:pt>
                <c:pt idx="1">
                  <c:v>2.1212360000000001</c:v>
                </c:pt>
                <c:pt idx="2">
                  <c:v>0.41050920000000002</c:v>
                </c:pt>
                <c:pt idx="3" formatCode="General">
                  <c:v>0.83837510000000004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1F-4B80-900D-6D905D587254}"/>
            </c:ext>
          </c:extLst>
        </c:ser>
        <c:ser>
          <c:idx val="3"/>
          <c:order val="3"/>
          <c:tx>
            <c:strRef>
              <c:f>'Outcomes of RC formal'!$F$235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formal'!$Q$235:$Q$238</c:f>
                <c:numCache>
                  <c:formatCode>General</c:formatCode>
                  <c:ptCount val="4"/>
                  <c:pt idx="0">
                    <c:v>0.56322600000000023</c:v>
                  </c:pt>
                  <c:pt idx="1">
                    <c:v>0.87296299999999993</c:v>
                  </c:pt>
                  <c:pt idx="2">
                    <c:v>0.5765220000000002</c:v>
                  </c:pt>
                  <c:pt idx="3">
                    <c:v>0.95624600000000015</c:v>
                  </c:pt>
                </c:numCache>
              </c:numRef>
            </c:plus>
            <c:minus>
              <c:numRef>
                <c:f>'Outcomes of RC formal'!$P$235:$P$238</c:f>
                <c:numCache>
                  <c:formatCode>General</c:formatCode>
                  <c:ptCount val="4"/>
                  <c:pt idx="0">
                    <c:v>0.46270699999999998</c:v>
                  </c:pt>
                  <c:pt idx="1">
                    <c:v>0.71561599999999981</c:v>
                  </c:pt>
                  <c:pt idx="2">
                    <c:v>0.47744099999999978</c:v>
                  </c:pt>
                  <c:pt idx="3">
                    <c:v>0.78887700000000027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formal'!$A$236:$B$239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RC formal'!$F$236:$F$239</c:f>
              <c:numCache>
                <c:formatCode>#,##0.00000</c:formatCode>
                <c:ptCount val="4"/>
                <c:pt idx="0">
                  <c:v>2.5925929999999999</c:v>
                </c:pt>
                <c:pt idx="1">
                  <c:v>3.970278</c:v>
                </c:pt>
                <c:pt idx="2" formatCode="#,##0">
                  <c:v>2.7780969999999998</c:v>
                </c:pt>
                <c:pt idx="3" formatCode="#,##0">
                  <c:v>4.5071620000000001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1F-4B80-900D-6D905D587254}"/>
            </c:ext>
          </c:extLst>
        </c:ser>
        <c:ser>
          <c:idx val="4"/>
          <c:order val="4"/>
          <c:tx>
            <c:strRef>
              <c:f>'Outcomes of RC formal'!$G$235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formal'!$Q$239:$Q$242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0.47239100000000001</c:v>
                  </c:pt>
                  <c:pt idx="2">
                    <c:v>0.71911599999999964</c:v>
                  </c:pt>
                  <c:pt idx="3">
                    <c:v>0.92089900000000036</c:v>
                  </c:pt>
                </c:numCache>
              </c:numRef>
            </c:plus>
            <c:minus>
              <c:numRef>
                <c:f>'Outcomes of RC formal'!$P$239:$P$242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0.37816800000000006</c:v>
                  </c:pt>
                  <c:pt idx="2">
                    <c:v>0.59842799999999974</c:v>
                  </c:pt>
                  <c:pt idx="3">
                    <c:v>0.75998999999999972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formal'!$A$236:$B$239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RC formal'!$G$236:$G$239</c:f>
              <c:numCache>
                <c:formatCode>#,##0.00000</c:formatCode>
                <c:ptCount val="4"/>
                <c:pt idx="0">
                  <c:v>1</c:v>
                </c:pt>
                <c:pt idx="1">
                  <c:v>1.895972</c:v>
                </c:pt>
                <c:pt idx="2" formatCode="#,##0">
                  <c:v>3.5657019999999999</c:v>
                </c:pt>
                <c:pt idx="3" formatCode="#,##0">
                  <c:v>4.3495179999999998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1F-4B80-900D-6D905D587254}"/>
            </c:ext>
          </c:extLst>
        </c:ser>
        <c:ser>
          <c:idx val="5"/>
          <c:order val="5"/>
          <c:tx>
            <c:strRef>
              <c:f>'Outcomes of RC formal'!$H$235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formal'!$Q$243:$Q$246</c:f>
                <c:numCache>
                  <c:formatCode>General</c:formatCode>
                  <c:ptCount val="4"/>
                  <c:pt idx="0">
                    <c:v>0.13300960000000006</c:v>
                  </c:pt>
                  <c:pt idx="1">
                    <c:v>0.20646529999999996</c:v>
                  </c:pt>
                  <c:pt idx="2">
                    <c:v>8.2292300000000013E-2</c:v>
                  </c:pt>
                  <c:pt idx="3">
                    <c:v>0.16304390000000002</c:v>
                  </c:pt>
                </c:numCache>
              </c:numRef>
            </c:plus>
            <c:minus>
              <c:numRef>
                <c:f>'Outcomes of RC formal'!$P$243:$P$246</c:f>
                <c:numCache>
                  <c:formatCode>General</c:formatCode>
                  <c:ptCount val="4"/>
                  <c:pt idx="0">
                    <c:v>9.9111199999999955E-2</c:v>
                  </c:pt>
                  <c:pt idx="1">
                    <c:v>0.15303230000000001</c:v>
                  </c:pt>
                  <c:pt idx="2">
                    <c:v>5.8343699999999998E-2</c:v>
                  </c:pt>
                  <c:pt idx="3">
                    <c:v>0.12028080000000002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formal'!$A$236:$B$239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RC formal'!$H$236:$H$239</c:f>
              <c:numCache>
                <c:formatCode>#,##0.00000</c:formatCode>
                <c:ptCount val="4"/>
                <c:pt idx="0">
                  <c:v>0.38888889999999998</c:v>
                </c:pt>
                <c:pt idx="1">
                  <c:v>0.59131800000000001</c:v>
                </c:pt>
                <c:pt idx="2">
                  <c:v>0.2004812</c:v>
                </c:pt>
                <c:pt idx="3" formatCode="General">
                  <c:v>0.45859830000000001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1F-4B80-900D-6D905D587254}"/>
            </c:ext>
          </c:extLst>
        </c:ser>
        <c:ser>
          <c:idx val="6"/>
          <c:order val="6"/>
          <c:tx>
            <c:strRef>
              <c:f>'Outcomes of RC formal'!$I$235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formal'!$S$235:$S$238</c:f>
                <c:numCache>
                  <c:formatCode>General</c:formatCode>
                  <c:ptCount val="4"/>
                  <c:pt idx="0">
                    <c:v>0.20054719999999993</c:v>
                  </c:pt>
                  <c:pt idx="1">
                    <c:v>0.296991</c:v>
                  </c:pt>
                  <c:pt idx="2">
                    <c:v>0.23923260000000002</c:v>
                  </c:pt>
                  <c:pt idx="3">
                    <c:v>0.30840000000000001</c:v>
                  </c:pt>
                </c:numCache>
              </c:numRef>
            </c:plus>
            <c:minus>
              <c:numRef>
                <c:f>'Outcomes of RC formal'!$R$235:$R$238</c:f>
                <c:numCache>
                  <c:formatCode>General</c:formatCode>
                  <c:ptCount val="4"/>
                  <c:pt idx="0">
                    <c:v>0.15606930000000008</c:v>
                  </c:pt>
                  <c:pt idx="1">
                    <c:v>0.22920960000000001</c:v>
                  </c:pt>
                  <c:pt idx="2">
                    <c:v>0.19278109999999993</c:v>
                  </c:pt>
                  <c:pt idx="3">
                    <c:v>0.24459879999999989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formal'!$A$236:$B$239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RC formal'!$I$236:$I$239</c:f>
              <c:numCache>
                <c:formatCode>#,##0.000000</c:formatCode>
                <c:ptCount val="4"/>
                <c:pt idx="0">
                  <c:v>0.70370370000000004</c:v>
                </c:pt>
                <c:pt idx="1">
                  <c:v>1.004302</c:v>
                </c:pt>
                <c:pt idx="2">
                  <c:v>0.99285939999999995</c:v>
                </c:pt>
                <c:pt idx="3" formatCode="#,##0">
                  <c:v>1.1823239999999999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1F-4B80-900D-6D905D587254}"/>
            </c:ext>
          </c:extLst>
        </c:ser>
        <c:ser>
          <c:idx val="7"/>
          <c:order val="7"/>
          <c:tx>
            <c:strRef>
              <c:f>'Outcomes of RC formal'!$J$235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formal'!$S$239:$S$242</c:f>
                <c:numCache>
                  <c:formatCode>General</c:formatCode>
                  <c:ptCount val="4"/>
                  <c:pt idx="0">
                    <c:v>0.15711070000000005</c:v>
                  </c:pt>
                  <c:pt idx="1">
                    <c:v>0.23581370000000001</c:v>
                  </c:pt>
                  <c:pt idx="2">
                    <c:v>4.8917299999999997E-2</c:v>
                  </c:pt>
                  <c:pt idx="3">
                    <c:v>9.4633700000000001E-2</c:v>
                  </c:pt>
                </c:numCache>
              </c:numRef>
            </c:plus>
            <c:minus>
              <c:numRef>
                <c:f>'Outcomes of RC formal'!$R$239:$R$242</c:f>
                <c:numCache>
                  <c:formatCode>General</c:formatCode>
                  <c:ptCount val="4"/>
                  <c:pt idx="0">
                    <c:v>0.1195466</c:v>
                  </c:pt>
                  <c:pt idx="1">
                    <c:v>0.17604419999999998</c:v>
                  </c:pt>
                  <c:pt idx="2">
                    <c:v>2.8243299999999999E-2</c:v>
                  </c:pt>
                  <c:pt idx="3">
                    <c:v>5.1842300000000008E-2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formal'!$A$236:$B$239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RC formal'!$J$236:$J$239</c:f>
              <c:numCache>
                <c:formatCode>#,##0.000000</c:formatCode>
                <c:ptCount val="4"/>
                <c:pt idx="0">
                  <c:v>0.5</c:v>
                </c:pt>
                <c:pt idx="1">
                  <c:v>0.69456399999999996</c:v>
                </c:pt>
                <c:pt idx="2">
                  <c:v>6.68271E-2</c:v>
                </c:pt>
                <c:pt idx="3" formatCode="General">
                  <c:v>0.1146496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1F-4B80-900D-6D905D587254}"/>
            </c:ext>
          </c:extLst>
        </c:ser>
        <c:ser>
          <c:idx val="8"/>
          <c:order val="8"/>
          <c:tx>
            <c:strRef>
              <c:f>'Outcomes of RC formal'!$K$235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formal'!$S$243:$S$246</c:f>
                <c:numCache>
                  <c:formatCode>General</c:formatCode>
                  <c:ptCount val="4"/>
                  <c:pt idx="0">
                    <c:v>0.19137669999999996</c:v>
                  </c:pt>
                  <c:pt idx="1">
                    <c:v>0.29148590000000008</c:v>
                  </c:pt>
                  <c:pt idx="2">
                    <c:v>9.0011200000000013E-2</c:v>
                  </c:pt>
                  <c:pt idx="3">
                    <c:v>0.22414160000000005</c:v>
                  </c:pt>
                </c:numCache>
              </c:numRef>
            </c:plus>
            <c:minus>
              <c:numRef>
                <c:f>'Outcomes of RC formal'!$R$243:$R$246</c:f>
                <c:numCache>
                  <c:formatCode>General</c:formatCode>
                  <c:ptCount val="4"/>
                  <c:pt idx="0">
                    <c:v>0.14929769999999998</c:v>
                  </c:pt>
                  <c:pt idx="1">
                    <c:v>0.22543819999999992</c:v>
                  </c:pt>
                  <c:pt idx="2">
                    <c:v>6.4997800000000022E-2</c:v>
                  </c:pt>
                  <c:pt idx="3">
                    <c:v>0.17306940000000004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formal'!$A$236:$B$239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'Outcomes of RC formal'!$K$236:$K$239</c:f>
              <c:numCache>
                <c:formatCode>General</c:formatCode>
                <c:ptCount val="4"/>
                <c:pt idx="0">
                  <c:v>0.67901230000000001</c:v>
                </c:pt>
                <c:pt idx="1">
                  <c:v>0.99491609999999997</c:v>
                </c:pt>
                <c:pt idx="2">
                  <c:v>0.23389480000000001</c:v>
                </c:pt>
                <c:pt idx="3">
                  <c:v>0.75955349999999999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1F-4B80-900D-6D905D58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734400"/>
        <c:axId val="748733416"/>
      </c:barChart>
      <c:catAx>
        <c:axId val="7487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33416"/>
        <c:crosses val="autoZero"/>
        <c:auto val="1"/>
        <c:lblAlgn val="ctr"/>
        <c:lblOffset val="100"/>
        <c:noMultiLvlLbl val="0"/>
      </c:catAx>
      <c:valAx>
        <c:axId val="74873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3440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of RC formal'!$C$320</c:f>
              <c:strCache>
                <c:ptCount val="1"/>
                <c:pt idx="0">
                  <c:v>NRC 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formal'!$O$320:$O$323</c:f>
                <c:numCache>
                  <c:formatCode>General</c:formatCode>
                  <c:ptCount val="4"/>
                  <c:pt idx="0">
                    <c:v>6.8291500000000005E-2</c:v>
                  </c:pt>
                  <c:pt idx="1">
                    <c:v>0.11214990000000002</c:v>
                  </c:pt>
                  <c:pt idx="2">
                    <c:v>5.3837000000000024E-2</c:v>
                  </c:pt>
                  <c:pt idx="3">
                    <c:v>0.28697600000000012</c:v>
                  </c:pt>
                </c:numCache>
              </c:numRef>
            </c:plus>
            <c:minus>
              <c:numRef>
                <c:f>'Outcomes of RC formal'!$N$320:$N$323</c:f>
                <c:numCache>
                  <c:formatCode>General</c:formatCode>
                  <c:ptCount val="4"/>
                  <c:pt idx="0">
                    <c:v>5.9630100000000019E-2</c:v>
                  </c:pt>
                  <c:pt idx="1">
                    <c:v>9.9155499999999952E-2</c:v>
                  </c:pt>
                  <c:pt idx="2">
                    <c:v>4.5392299999999997E-2</c:v>
                  </c:pt>
                  <c:pt idx="3">
                    <c:v>0.22779729999999998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formal'!$A$321:$B$324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RC formal'!$C$321:$C$324</c:f>
              <c:numCache>
                <c:formatCode>#,##0.00000</c:formatCode>
                <c:ptCount val="4"/>
                <c:pt idx="0" formatCode="0.000000">
                  <c:v>0.47016010000000003</c:v>
                </c:pt>
                <c:pt idx="1">
                  <c:v>0.85578109999999996</c:v>
                </c:pt>
                <c:pt idx="2">
                  <c:v>0.28938849999999999</c:v>
                </c:pt>
                <c:pt idx="3" formatCode="0.00E+00">
                  <c:v>1.104668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5-4E73-8E23-D4D83E34092F}"/>
            </c:ext>
          </c:extLst>
        </c:ser>
        <c:ser>
          <c:idx val="1"/>
          <c:order val="1"/>
          <c:tx>
            <c:strRef>
              <c:f>'Outcomes of RC formal'!$D$320</c:f>
              <c:strCache>
                <c:ptCount val="1"/>
                <c:pt idx="0">
                  <c:v>RM 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formal'!$O$324:$O$327</c:f>
                <c:numCache>
                  <c:formatCode>General</c:formatCode>
                  <c:ptCount val="4"/>
                  <c:pt idx="0">
                    <c:v>3.8524400000000014E-2</c:v>
                  </c:pt>
                  <c:pt idx="1">
                    <c:v>6.1017299999999997E-2</c:v>
                  </c:pt>
                  <c:pt idx="2">
                    <c:v>2.6948100000000003E-2</c:v>
                  </c:pt>
                  <c:pt idx="3">
                    <c:v>0.15463579999999999</c:v>
                  </c:pt>
                </c:numCache>
              </c:numRef>
            </c:plus>
            <c:minus>
              <c:numRef>
                <c:f>'Outcomes of RC formal'!$N$324:$N$327</c:f>
                <c:numCache>
                  <c:formatCode>General</c:formatCode>
                  <c:ptCount val="4"/>
                  <c:pt idx="0">
                    <c:v>3.1792899999999985E-2</c:v>
                  </c:pt>
                  <c:pt idx="1">
                    <c:v>5.1218199999999992E-2</c:v>
                  </c:pt>
                  <c:pt idx="2">
                    <c:v>1.9728000000000002E-2</c:v>
                  </c:pt>
                  <c:pt idx="3">
                    <c:v>9.6718800000000021E-2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formal'!$A$321:$B$324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RC formal'!$D$321:$D$324</c:f>
              <c:numCache>
                <c:formatCode>#,##0.00000</c:formatCode>
                <c:ptCount val="4"/>
                <c:pt idx="0">
                  <c:v>0.18195049999999999</c:v>
                </c:pt>
                <c:pt idx="1">
                  <c:v>0.31892470000000001</c:v>
                </c:pt>
                <c:pt idx="2">
                  <c:v>7.36314E-2</c:v>
                </c:pt>
                <c:pt idx="3" formatCode="0.00E+00">
                  <c:v>0.25823420000000002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55-4E73-8E23-D4D83E34092F}"/>
            </c:ext>
          </c:extLst>
        </c:ser>
        <c:ser>
          <c:idx val="2"/>
          <c:order val="2"/>
          <c:tx>
            <c:strRef>
              <c:f>'Outcomes of RC formal'!$E$320</c:f>
              <c:strCache>
                <c:ptCount val="1"/>
                <c:pt idx="0">
                  <c:v>NRM 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formal'!$O$328:$O$331</c:f>
                <c:numCache>
                  <c:formatCode>General</c:formatCode>
                  <c:ptCount val="4"/>
                  <c:pt idx="0">
                    <c:v>5.0102199999999986E-2</c:v>
                  </c:pt>
                  <c:pt idx="1">
                    <c:v>8.1219799999999953E-2</c:v>
                  </c:pt>
                  <c:pt idx="2">
                    <c:v>3.4756900000000007E-2</c:v>
                  </c:pt>
                  <c:pt idx="3">
                    <c:v>0.22447479999999997</c:v>
                  </c:pt>
                </c:numCache>
              </c:numRef>
            </c:plus>
            <c:minus>
              <c:numRef>
                <c:f>'Outcomes of RC formal'!$N$328:$N$331</c:f>
                <c:numCache>
                  <c:formatCode>General</c:formatCode>
                  <c:ptCount val="4"/>
                  <c:pt idx="0">
                    <c:v>4.2552400000000018E-2</c:v>
                  </c:pt>
                  <c:pt idx="1">
                    <c:v>7.0391800000000004E-2</c:v>
                  </c:pt>
                  <c:pt idx="2">
                    <c:v>2.7195200000000003E-2</c:v>
                  </c:pt>
                  <c:pt idx="3">
                    <c:v>0.1665605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formal'!$A$321:$B$324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RC formal'!$E$321:$E$324</c:f>
              <c:numCache>
                <c:formatCode>#,##0.00000</c:formatCode>
                <c:ptCount val="4"/>
                <c:pt idx="0">
                  <c:v>0.2823872</c:v>
                </c:pt>
                <c:pt idx="1">
                  <c:v>0.52799750000000001</c:v>
                </c:pt>
                <c:pt idx="2">
                  <c:v>0.1250021</c:v>
                </c:pt>
                <c:pt idx="3" formatCode="0.00E+00">
                  <c:v>0.64558539999999998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55-4E73-8E23-D4D83E34092F}"/>
            </c:ext>
          </c:extLst>
        </c:ser>
        <c:ser>
          <c:idx val="3"/>
          <c:order val="3"/>
          <c:tx>
            <c:strRef>
              <c:f>'Outcomes of RC formal'!$F$320</c:f>
              <c:strCache>
                <c:ptCount val="1"/>
                <c:pt idx="0">
                  <c:v>Unemp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formal'!$Q$320:$Q$323</c:f>
                <c:numCache>
                  <c:formatCode>General</c:formatCode>
                  <c:ptCount val="4"/>
                  <c:pt idx="0">
                    <c:v>0.13772099999999998</c:v>
                  </c:pt>
                  <c:pt idx="1">
                    <c:v>0.20311000000000012</c:v>
                  </c:pt>
                  <c:pt idx="2">
                    <c:v>6.1540800000000007E-2</c:v>
                  </c:pt>
                  <c:pt idx="3">
                    <c:v>0.24157970000000006</c:v>
                  </c:pt>
                </c:numCache>
              </c:numRef>
            </c:plus>
            <c:minus>
              <c:numRef>
                <c:f>'Outcomes of RC formal'!$P$320:$P$323</c:f>
                <c:numCache>
                  <c:formatCode>General</c:formatCode>
                  <c:ptCount val="4"/>
                  <c:pt idx="0">
                    <c:v>0.12347299999999994</c:v>
                  </c:pt>
                  <c:pt idx="1">
                    <c:v>0.1822769999999998</c:v>
                  </c:pt>
                  <c:pt idx="2">
                    <c:v>5.1392500000000008E-2</c:v>
                  </c:pt>
                  <c:pt idx="3">
                    <c:v>0.17979279999999997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formal'!$A$321:$B$324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RC formal'!$F$321:$F$324</c:f>
              <c:numCache>
                <c:formatCode>#,##0.00000</c:formatCode>
                <c:ptCount val="4"/>
                <c:pt idx="0">
                  <c:v>1.193595</c:v>
                </c:pt>
                <c:pt idx="1">
                  <c:v>1.7771189999999999</c:v>
                </c:pt>
                <c:pt idx="2">
                  <c:v>0.31164920000000002</c:v>
                </c:pt>
                <c:pt idx="3" formatCode="#,##0">
                  <c:v>0.70297069999999995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55-4E73-8E23-D4D83E34092F}"/>
            </c:ext>
          </c:extLst>
        </c:ser>
        <c:ser>
          <c:idx val="4"/>
          <c:order val="4"/>
          <c:tx>
            <c:strRef>
              <c:f>'Outcomes of RC formal'!$G$320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formal'!$Q$324:$Q$327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0.15873800000000005</c:v>
                  </c:pt>
                  <c:pt idx="2">
                    <c:v>6.5435199999999971E-2</c:v>
                  </c:pt>
                  <c:pt idx="3">
                    <c:v>0.26238319999999993</c:v>
                  </c:pt>
                </c:numCache>
              </c:numRef>
            </c:plus>
            <c:minus>
              <c:numRef>
                <c:f>'Outcomes of RC formal'!$P$324:$P$327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0.14182000000000006</c:v>
                  </c:pt>
                  <c:pt idx="2">
                    <c:v>5.5825700000000034E-2</c:v>
                  </c:pt>
                  <c:pt idx="3">
                    <c:v>0.19948050000000006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formal'!$A$321:$B$324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RC formal'!$G$321:$G$324</c:f>
              <c:numCache>
                <c:formatCode>#,##0.00000</c:formatCode>
                <c:ptCount val="4"/>
                <c:pt idx="0">
                  <c:v>1</c:v>
                </c:pt>
                <c:pt idx="1">
                  <c:v>1.3306249999999999</c:v>
                </c:pt>
                <c:pt idx="2">
                  <c:v>0.38014350000000002</c:v>
                </c:pt>
                <c:pt idx="3" formatCode="#,##0">
                  <c:v>0.83208780000000004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5-4E73-8E23-D4D83E34092F}"/>
            </c:ext>
          </c:extLst>
        </c:ser>
        <c:ser>
          <c:idx val="5"/>
          <c:order val="5"/>
          <c:tx>
            <c:strRef>
              <c:f>'Outcomes of RC formal'!$H$320</c:f>
              <c:strCache>
                <c:ptCount val="1"/>
                <c:pt idx="0">
                  <c:v>NRC informal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formal'!$Q$328:$Q$331</c:f>
                <c:numCache>
                  <c:formatCode>General</c:formatCode>
                  <c:ptCount val="4"/>
                  <c:pt idx="0">
                    <c:v>2.7502200000000004E-2</c:v>
                  </c:pt>
                  <c:pt idx="1">
                    <c:v>4.5674400000000004E-2</c:v>
                  </c:pt>
                  <c:pt idx="2">
                    <c:v>2.5804300000000002E-2</c:v>
                  </c:pt>
                  <c:pt idx="3">
                    <c:v>0.13197149999999999</c:v>
                  </c:pt>
                </c:numCache>
              </c:numRef>
            </c:plus>
            <c:minus>
              <c:numRef>
                <c:f>'Outcomes of RC formal'!$P$328:$P$331</c:f>
                <c:numCache>
                  <c:formatCode>General</c:formatCode>
                  <c:ptCount val="4"/>
                  <c:pt idx="0">
                    <c:v>2.1308400000000005E-2</c:v>
                  </c:pt>
                  <c:pt idx="1">
                    <c:v>3.7310700000000002E-2</c:v>
                  </c:pt>
                  <c:pt idx="2">
                    <c:v>1.8743099999999992E-2</c:v>
                  </c:pt>
                  <c:pt idx="3">
                    <c:v>7.4704500000000007E-2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formal'!$A$321:$B$324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RC formal'!$H$321:$H$324</c:f>
              <c:numCache>
                <c:formatCode>#,##0.00000</c:formatCode>
                <c:ptCount val="4"/>
                <c:pt idx="0">
                  <c:v>9.4614299999999998E-2</c:v>
                </c:pt>
                <c:pt idx="1">
                  <c:v>0.20375740000000001</c:v>
                </c:pt>
                <c:pt idx="2">
                  <c:v>6.8494299999999994E-2</c:v>
                </c:pt>
                <c:pt idx="3" formatCode="0.00E+00">
                  <c:v>0.17215610000000001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55-4E73-8E23-D4D83E34092F}"/>
            </c:ext>
          </c:extLst>
        </c:ser>
        <c:ser>
          <c:idx val="6"/>
          <c:order val="6"/>
          <c:tx>
            <c:strRef>
              <c:f>'Outcomes of RC formal'!$I$320</c:f>
              <c:strCache>
                <c:ptCount val="1"/>
                <c:pt idx="0">
                  <c:v>RC informal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formal'!$S$320:$S$323</c:f>
                <c:numCache>
                  <c:formatCode>General</c:formatCode>
                  <c:ptCount val="4"/>
                  <c:pt idx="0">
                    <c:v>5.6309799999999965E-2</c:v>
                  </c:pt>
                  <c:pt idx="1">
                    <c:v>7.2639000000000009E-2</c:v>
                  </c:pt>
                  <c:pt idx="2">
                    <c:v>3.7826300000000007E-2</c:v>
                  </c:pt>
                  <c:pt idx="3">
                    <c:v>0.16368129999999997</c:v>
                  </c:pt>
                </c:numCache>
              </c:numRef>
            </c:plus>
            <c:minus>
              <c:numRef>
                <c:f>'Outcomes of RC formal'!$R$320:$R$323</c:f>
                <c:numCache>
                  <c:formatCode>General</c:formatCode>
                  <c:ptCount val="4"/>
                  <c:pt idx="0">
                    <c:v>4.8408300000000015E-2</c:v>
                  </c:pt>
                  <c:pt idx="1">
                    <c:v>6.2440300000000004E-2</c:v>
                  </c:pt>
                  <c:pt idx="2">
                    <c:v>3.0023599999999998E-2</c:v>
                  </c:pt>
                  <c:pt idx="3">
                    <c:v>0.10605940000000003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formal'!$A$321:$B$324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RC formal'!$I$321:$I$324</c:f>
              <c:numCache>
                <c:formatCode>#,##0.000000</c:formatCode>
                <c:ptCount val="4"/>
                <c:pt idx="0">
                  <c:v>0.34497820000000001</c:v>
                </c:pt>
                <c:pt idx="1">
                  <c:v>0.44472270000000003</c:v>
                </c:pt>
                <c:pt idx="2">
                  <c:v>0.1455504</c:v>
                </c:pt>
                <c:pt idx="3" formatCode="0.00E+00">
                  <c:v>0.30127320000000002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55-4E73-8E23-D4D83E34092F}"/>
            </c:ext>
          </c:extLst>
        </c:ser>
        <c:ser>
          <c:idx val="7"/>
          <c:order val="7"/>
          <c:tx>
            <c:strRef>
              <c:f>'Outcomes of RC formal'!$J$320</c:f>
              <c:strCache>
                <c:ptCount val="1"/>
                <c:pt idx="0">
                  <c:v>RM informal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formal'!$S$324:$S$327</c:f>
                <c:numCache>
                  <c:formatCode>General</c:formatCode>
                  <c:ptCount val="4"/>
                  <c:pt idx="0">
                    <c:v>2.902819999999999E-2</c:v>
                  </c:pt>
                  <c:pt idx="1">
                    <c:v>3.8295600000000013E-2</c:v>
                  </c:pt>
                  <c:pt idx="2">
                    <c:v>2.1107600000000004E-2</c:v>
                  </c:pt>
                  <c:pt idx="3">
                    <c:v>0.17615789999999998</c:v>
                  </c:pt>
                </c:numCache>
              </c:numRef>
            </c:plus>
            <c:minus>
              <c:numRef>
                <c:f>'Outcomes of RC formal'!$R$324:$R$327</c:f>
                <c:numCache>
                  <c:formatCode>General</c:formatCode>
                  <c:ptCount val="4"/>
                  <c:pt idx="0">
                    <c:v>2.2592000000000001E-2</c:v>
                  </c:pt>
                  <c:pt idx="1">
                    <c:v>2.9902099999999987E-2</c:v>
                  </c:pt>
                  <c:pt idx="2">
                    <c:v>1.4137200000000003E-2</c:v>
                  </c:pt>
                  <c:pt idx="3">
                    <c:v>9.0591300000000013E-2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formal'!$A$321:$B$324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RC formal'!$J$321:$J$324</c:f>
              <c:numCache>
                <c:formatCode>#,##0.000000</c:formatCode>
                <c:ptCount val="4"/>
                <c:pt idx="0">
                  <c:v>0.10189230000000001</c:v>
                </c:pt>
                <c:pt idx="1">
                  <c:v>0.13642889999999999</c:v>
                </c:pt>
                <c:pt idx="2">
                  <c:v>4.2810000000000001E-2</c:v>
                </c:pt>
                <c:pt idx="3" formatCode="0.00E+00">
                  <c:v>0.18650240000000001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55-4E73-8E23-D4D83E34092F}"/>
            </c:ext>
          </c:extLst>
        </c:ser>
        <c:ser>
          <c:idx val="8"/>
          <c:order val="8"/>
          <c:tx>
            <c:strRef>
              <c:f>'Outcomes of RC formal'!$K$320</c:f>
              <c:strCache>
                <c:ptCount val="1"/>
                <c:pt idx="0">
                  <c:v>NRM informal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'Outcomes of RC formal'!$S$328:$S$331</c:f>
                <c:numCache>
                  <c:formatCode>General</c:formatCode>
                  <c:ptCount val="4"/>
                  <c:pt idx="0">
                    <c:v>3.7321699999999985E-2</c:v>
                  </c:pt>
                  <c:pt idx="1">
                    <c:v>6.0928900000000008E-2</c:v>
                  </c:pt>
                  <c:pt idx="2">
                    <c:v>2.6698700000000006E-2</c:v>
                  </c:pt>
                  <c:pt idx="3">
                    <c:v>0.16746470000000002</c:v>
                  </c:pt>
                </c:numCache>
              </c:numRef>
            </c:plus>
            <c:minus>
              <c:numRef>
                <c:f>'Outcomes of RC formal'!$R$328:$R$331</c:f>
                <c:numCache>
                  <c:formatCode>General</c:formatCode>
                  <c:ptCount val="4"/>
                  <c:pt idx="0">
                    <c:v>3.0565700000000001E-2</c:v>
                  </c:pt>
                  <c:pt idx="1">
                    <c:v>5.1591400000000009E-2</c:v>
                  </c:pt>
                  <c:pt idx="2">
                    <c:v>1.9594E-2</c:v>
                  </c:pt>
                  <c:pt idx="3">
                    <c:v>0.1094118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'Outcomes of RC formal'!$A$321:$B$324</c:f>
              <c:multiLvlStrCache>
                <c:ptCount val="4"/>
                <c:lvl>
                  <c:pt idx="0">
                    <c:v>1980-2000</c:v>
                  </c:pt>
                  <c:pt idx="1">
                    <c:v>2000-2015</c:v>
                  </c:pt>
                  <c:pt idx="2">
                    <c:v>1980-2000</c:v>
                  </c:pt>
                  <c:pt idx="3">
                    <c:v>2000-2015</c:v>
                  </c:pt>
                </c:lvl>
                <c:lvl>
                  <c:pt idx="0">
                    <c:v>Age 15-29</c:v>
                  </c:pt>
                  <c:pt idx="2">
                    <c:v>Age 30+</c:v>
                  </c:pt>
                </c:lvl>
              </c:multiLvlStrCache>
            </c:multiLvlStrRef>
          </c:cat>
          <c:val>
            <c:numRef>
              <c:f>'Outcomes of RC formal'!$K$321:$K$324</c:f>
              <c:numCache>
                <c:formatCode>General</c:formatCode>
                <c:ptCount val="4"/>
                <c:pt idx="0">
                  <c:v>0.1688501</c:v>
                </c:pt>
                <c:pt idx="1">
                  <c:v>0.33664270000000002</c:v>
                </c:pt>
                <c:pt idx="2">
                  <c:v>7.36314E-2</c:v>
                </c:pt>
                <c:pt idx="3">
                  <c:v>0.3156195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55-4E73-8E23-D4D83E340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215664"/>
        <c:axId val="800211072"/>
      </c:barChart>
      <c:catAx>
        <c:axId val="80021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11072"/>
        <c:crosses val="autoZero"/>
        <c:auto val="1"/>
        <c:lblAlgn val="ctr"/>
        <c:lblOffset val="100"/>
        <c:noMultiLvlLbl val="0"/>
      </c:catAx>
      <c:valAx>
        <c:axId val="80021107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0</xdr:rowOff>
    </xdr:from>
    <xdr:to>
      <xdr:col>7</xdr:col>
      <xdr:colOff>68580</xdr:colOff>
      <xdr:row>68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844250-2DD3-4E23-B3D5-590FD08FB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129540</xdr:colOff>
      <xdr:row>148</xdr:row>
      <xdr:rowOff>91440</xdr:rowOff>
    </xdr:from>
    <xdr:to>
      <xdr:col>8</xdr:col>
      <xdr:colOff>144780</xdr:colOff>
      <xdr:row>163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088611-FA35-4DCF-312D-E3280DA01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91440</xdr:colOff>
      <xdr:row>242</xdr:row>
      <xdr:rowOff>15240</xdr:rowOff>
    </xdr:from>
    <xdr:to>
      <xdr:col>12</xdr:col>
      <xdr:colOff>289080</xdr:colOff>
      <xdr:row>257</xdr:row>
      <xdr:rowOff>98040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52C17B-E66D-B4D3-BED1-04E5D87D1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</xdr:colOff>
      <xdr:row>328</xdr:row>
      <xdr:rowOff>60960</xdr:rowOff>
    </xdr:from>
    <xdr:to>
      <xdr:col>12</xdr:col>
      <xdr:colOff>220500</xdr:colOff>
      <xdr:row>343</xdr:row>
      <xdr:rowOff>143760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5CB104-049C-1070-F19A-AF9741079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434340</xdr:colOff>
      <xdr:row>439</xdr:row>
      <xdr:rowOff>60960</xdr:rowOff>
    </xdr:from>
    <xdr:to>
      <xdr:col>12</xdr:col>
      <xdr:colOff>22380</xdr:colOff>
      <xdr:row>454</xdr:row>
      <xdr:rowOff>143760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8DACE4-ECCC-A9C2-035B-62CAA3296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100012</xdr:rowOff>
    </xdr:from>
    <xdr:to>
      <xdr:col>7</xdr:col>
      <xdr:colOff>257175</xdr:colOff>
      <xdr:row>67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7BFF8-41EB-4CAD-A05F-9996CA372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121920</xdr:colOff>
      <xdr:row>146</xdr:row>
      <xdr:rowOff>167640</xdr:rowOff>
    </xdr:from>
    <xdr:to>
      <xdr:col>9</xdr:col>
      <xdr:colOff>213360</xdr:colOff>
      <xdr:row>161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A72DC9-E846-EDE7-D0AE-8D5E45939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175260</xdr:colOff>
      <xdr:row>239</xdr:row>
      <xdr:rowOff>114300</xdr:rowOff>
    </xdr:from>
    <xdr:to>
      <xdr:col>12</xdr:col>
      <xdr:colOff>411000</xdr:colOff>
      <xdr:row>255</xdr:row>
      <xdr:rowOff>14220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B779F-81BB-39EC-9F8F-A991A57AB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325</xdr:row>
      <xdr:rowOff>38100</xdr:rowOff>
    </xdr:from>
    <xdr:to>
      <xdr:col>11</xdr:col>
      <xdr:colOff>426240</xdr:colOff>
      <xdr:row>340</xdr:row>
      <xdr:rowOff>120900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FCDE85-A293-6792-BAE4-3A3D84A98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426720</xdr:colOff>
      <xdr:row>437</xdr:row>
      <xdr:rowOff>38100</xdr:rowOff>
    </xdr:from>
    <xdr:to>
      <xdr:col>12</xdr:col>
      <xdr:colOff>52860</xdr:colOff>
      <xdr:row>452</xdr:row>
      <xdr:rowOff>120900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90B7B7-B86D-6781-D57C-D7BF23719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147</xdr:row>
      <xdr:rowOff>0</xdr:rowOff>
    </xdr:from>
    <xdr:to>
      <xdr:col>18</xdr:col>
      <xdr:colOff>332740</xdr:colOff>
      <xdr:row>162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50A4EB-C79E-4A4E-963F-3DA9D749F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8</xdr:col>
      <xdr:colOff>304800</xdr:colOff>
      <xdr:row>68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4E9631-8A4D-48C9-B53A-AC6FA8231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147</xdr:row>
      <xdr:rowOff>76200</xdr:rowOff>
    </xdr:from>
    <xdr:to>
      <xdr:col>8</xdr:col>
      <xdr:colOff>38100</xdr:colOff>
      <xdr:row>162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E73AB0-2759-B775-C935-5D132340D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312420</xdr:colOff>
      <xdr:row>241</xdr:row>
      <xdr:rowOff>38100</xdr:rowOff>
    </xdr:from>
    <xdr:to>
      <xdr:col>11</xdr:col>
      <xdr:colOff>136680</xdr:colOff>
      <xdr:row>256</xdr:row>
      <xdr:rowOff>120900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FAD198-EECF-F46C-184D-D48480E8B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30480</xdr:colOff>
      <xdr:row>328</xdr:row>
      <xdr:rowOff>0</xdr:rowOff>
    </xdr:from>
    <xdr:to>
      <xdr:col>11</xdr:col>
      <xdr:colOff>464340</xdr:colOff>
      <xdr:row>343</xdr:row>
      <xdr:rowOff>82800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E71A7B-3731-FD48-0FBC-34BB6D761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335280</xdr:colOff>
      <xdr:row>439</xdr:row>
      <xdr:rowOff>0</xdr:rowOff>
    </xdr:from>
    <xdr:to>
      <xdr:col>11</xdr:col>
      <xdr:colOff>159540</xdr:colOff>
      <xdr:row>454</xdr:row>
      <xdr:rowOff>82800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AD17E8-B99D-BA24-4D84-30EC38324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148</xdr:row>
      <xdr:rowOff>0</xdr:rowOff>
    </xdr:from>
    <xdr:to>
      <xdr:col>19</xdr:col>
      <xdr:colOff>368300</xdr:colOff>
      <xdr:row>163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F5B0E-3CFD-4CF8-9EE1-1849BEAF3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121920</xdr:rowOff>
    </xdr:from>
    <xdr:to>
      <xdr:col>7</xdr:col>
      <xdr:colOff>297180</xdr:colOff>
      <xdr:row>67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76607D-806A-4D82-9ECA-863BB8A27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289560</xdr:colOff>
      <xdr:row>146</xdr:row>
      <xdr:rowOff>144780</xdr:rowOff>
    </xdr:from>
    <xdr:to>
      <xdr:col>8</xdr:col>
      <xdr:colOff>342900</xdr:colOff>
      <xdr:row>161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97F41-5132-45A9-E9A7-C71231E81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240</xdr:row>
      <xdr:rowOff>0</xdr:rowOff>
    </xdr:from>
    <xdr:to>
      <xdr:col>12</xdr:col>
      <xdr:colOff>235740</xdr:colOff>
      <xdr:row>255</xdr:row>
      <xdr:rowOff>82800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87FC5D-63AA-1D0B-0AFC-B35E95BFB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594360</xdr:colOff>
      <xdr:row>326</xdr:row>
      <xdr:rowOff>30480</xdr:rowOff>
    </xdr:from>
    <xdr:to>
      <xdr:col>12</xdr:col>
      <xdr:colOff>220500</xdr:colOff>
      <xdr:row>341</xdr:row>
      <xdr:rowOff>113280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F68D7A-D5F6-0459-60F2-CB7311CB7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449580</xdr:colOff>
      <xdr:row>436</xdr:row>
      <xdr:rowOff>0</xdr:rowOff>
    </xdr:from>
    <xdr:to>
      <xdr:col>12</xdr:col>
      <xdr:colOff>75720</xdr:colOff>
      <xdr:row>451</xdr:row>
      <xdr:rowOff>82800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EA8133-7EBA-1C36-56B8-A1FA2746F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0</xdr:rowOff>
    </xdr:from>
    <xdr:to>
      <xdr:col>7</xdr:col>
      <xdr:colOff>68580</xdr:colOff>
      <xdr:row>68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DA47C-93B5-4D85-9054-17525262A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449580</xdr:colOff>
      <xdr:row>146</xdr:row>
      <xdr:rowOff>152400</xdr:rowOff>
    </xdr:from>
    <xdr:to>
      <xdr:col>7</xdr:col>
      <xdr:colOff>502920</xdr:colOff>
      <xdr:row>161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2EDEC3-8A57-3ECF-8772-88257F09E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335280</xdr:colOff>
      <xdr:row>241</xdr:row>
      <xdr:rowOff>106680</xdr:rowOff>
    </xdr:from>
    <xdr:to>
      <xdr:col>11</xdr:col>
      <xdr:colOff>571020</xdr:colOff>
      <xdr:row>257</xdr:row>
      <xdr:rowOff>6600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F9F28A-ED91-0D53-7BAC-F62507F12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251460</xdr:colOff>
      <xdr:row>326</xdr:row>
      <xdr:rowOff>0</xdr:rowOff>
    </xdr:from>
    <xdr:to>
      <xdr:col>11</xdr:col>
      <xdr:colOff>487200</xdr:colOff>
      <xdr:row>341</xdr:row>
      <xdr:rowOff>82800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67A774-C41C-AA83-6A54-C59BEE1A6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457200</xdr:colOff>
      <xdr:row>437</xdr:row>
      <xdr:rowOff>0</xdr:rowOff>
    </xdr:from>
    <xdr:to>
      <xdr:col>12</xdr:col>
      <xdr:colOff>83340</xdr:colOff>
      <xdr:row>452</xdr:row>
      <xdr:rowOff>82800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561C97-6D93-EC6C-88BB-7688444E9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100012</xdr:rowOff>
    </xdr:from>
    <xdr:to>
      <xdr:col>7</xdr:col>
      <xdr:colOff>257175</xdr:colOff>
      <xdr:row>67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EA1A1-EE2B-43FB-9898-ECD2FB3AD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</xdr:colOff>
      <xdr:row>147</xdr:row>
      <xdr:rowOff>152400</xdr:rowOff>
    </xdr:from>
    <xdr:to>
      <xdr:col>8</xdr:col>
      <xdr:colOff>99060</xdr:colOff>
      <xdr:row>162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CCD9A7-E777-A961-E6F9-B3BACDE00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289560</xdr:colOff>
      <xdr:row>240</xdr:row>
      <xdr:rowOff>22860</xdr:rowOff>
    </xdr:from>
    <xdr:to>
      <xdr:col>11</xdr:col>
      <xdr:colOff>525300</xdr:colOff>
      <xdr:row>255</xdr:row>
      <xdr:rowOff>105660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5C9C20-430E-0018-10C7-F7DB67B8B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324</xdr:row>
      <xdr:rowOff>121920</xdr:rowOff>
    </xdr:from>
    <xdr:to>
      <xdr:col>12</xdr:col>
      <xdr:colOff>159540</xdr:colOff>
      <xdr:row>340</xdr:row>
      <xdr:rowOff>21840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4EACB7-1F03-26DA-E129-86B89696F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213360</xdr:colOff>
      <xdr:row>434</xdr:row>
      <xdr:rowOff>152400</xdr:rowOff>
    </xdr:from>
    <xdr:to>
      <xdr:col>11</xdr:col>
      <xdr:colOff>449100</xdr:colOff>
      <xdr:row>450</xdr:row>
      <xdr:rowOff>52320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A905B5-6DB2-D14D-9469-B297B508C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8</xdr:col>
      <xdr:colOff>304800</xdr:colOff>
      <xdr:row>68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F778CA-8CA4-4A73-84C7-63634529B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121920</xdr:colOff>
      <xdr:row>241</xdr:row>
      <xdr:rowOff>68580</xdr:rowOff>
    </xdr:from>
    <xdr:to>
      <xdr:col>11</xdr:col>
      <xdr:colOff>357660</xdr:colOff>
      <xdr:row>256</xdr:row>
      <xdr:rowOff>151380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C0387E-FA60-7A65-81DC-4F5D39180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</xdr:colOff>
      <xdr:row>326</xdr:row>
      <xdr:rowOff>152400</xdr:rowOff>
    </xdr:from>
    <xdr:to>
      <xdr:col>11</xdr:col>
      <xdr:colOff>296700</xdr:colOff>
      <xdr:row>342</xdr:row>
      <xdr:rowOff>52320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FDF6DC-1A5B-20E7-413A-69FB5F810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437</xdr:row>
      <xdr:rowOff>160020</xdr:rowOff>
    </xdr:from>
    <xdr:to>
      <xdr:col>11</xdr:col>
      <xdr:colOff>464340</xdr:colOff>
      <xdr:row>453</xdr:row>
      <xdr:rowOff>59940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CA7217-CF1B-65A3-4268-97C068AE0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8</xdr:col>
      <xdr:colOff>304800</xdr:colOff>
      <xdr:row>163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3C4A73-C547-4B6C-B63B-1169AC913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121920</xdr:rowOff>
    </xdr:from>
    <xdr:to>
      <xdr:col>7</xdr:col>
      <xdr:colOff>297180</xdr:colOff>
      <xdr:row>67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602D6-0A39-42F9-B299-1CBB85DB7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327660</xdr:colOff>
      <xdr:row>146</xdr:row>
      <xdr:rowOff>53340</xdr:rowOff>
    </xdr:from>
    <xdr:to>
      <xdr:col>7</xdr:col>
      <xdr:colOff>381000</xdr:colOff>
      <xdr:row>161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2FFDB0-A339-13FE-6875-ACD765848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289560</xdr:colOff>
      <xdr:row>238</xdr:row>
      <xdr:rowOff>30480</xdr:rowOff>
    </xdr:from>
    <xdr:to>
      <xdr:col>11</xdr:col>
      <xdr:colOff>525300</xdr:colOff>
      <xdr:row>253</xdr:row>
      <xdr:rowOff>113280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B80419-9119-9970-5BB7-8F26F7013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419100</xdr:colOff>
      <xdr:row>322</xdr:row>
      <xdr:rowOff>38100</xdr:rowOff>
    </xdr:from>
    <xdr:to>
      <xdr:col>12</xdr:col>
      <xdr:colOff>45240</xdr:colOff>
      <xdr:row>337</xdr:row>
      <xdr:rowOff>120900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7EE106-C15C-F505-F852-AFF7B0B96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335280</xdr:colOff>
      <xdr:row>431</xdr:row>
      <xdr:rowOff>121920</xdr:rowOff>
    </xdr:from>
    <xdr:to>
      <xdr:col>11</xdr:col>
      <xdr:colOff>571020</xdr:colOff>
      <xdr:row>447</xdr:row>
      <xdr:rowOff>21840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46A072-9D9E-3DE8-5D19-CA2255739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57</xdr:row>
      <xdr:rowOff>100012</xdr:rowOff>
    </xdr:from>
    <xdr:to>
      <xdr:col>8</xdr:col>
      <xdr:colOff>123825</xdr:colOff>
      <xdr:row>71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180C5-8A3C-4E5B-BDB0-99979F604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154</xdr:row>
      <xdr:rowOff>109537</xdr:rowOff>
    </xdr:from>
    <xdr:to>
      <xdr:col>8</xdr:col>
      <xdr:colOff>571500</xdr:colOff>
      <xdr:row>168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689F10-D771-EEBD-A864-BDC50B25E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99060</xdr:colOff>
      <xdr:row>251</xdr:row>
      <xdr:rowOff>99060</xdr:rowOff>
    </xdr:from>
    <xdr:to>
      <xdr:col>12</xdr:col>
      <xdr:colOff>494820</xdr:colOff>
      <xdr:row>266</xdr:row>
      <xdr:rowOff>181860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00FE3-C726-5DA2-FA80-BFEFA6128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129540</xdr:colOff>
      <xdr:row>342</xdr:row>
      <xdr:rowOff>129540</xdr:rowOff>
    </xdr:from>
    <xdr:to>
      <xdr:col>11</xdr:col>
      <xdr:colOff>525300</xdr:colOff>
      <xdr:row>358</xdr:row>
      <xdr:rowOff>29460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00AEF8-258C-0B1A-628D-13A0CF96E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381000</xdr:colOff>
      <xdr:row>459</xdr:row>
      <xdr:rowOff>161925</xdr:rowOff>
    </xdr:from>
    <xdr:to>
      <xdr:col>12</xdr:col>
      <xdr:colOff>167160</xdr:colOff>
      <xdr:row>475</xdr:row>
      <xdr:rowOff>61845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6F5A7B-FF1C-4C80-A641-FF7C7F4B2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79E17-7073-4A32-B652-ADE4349D51F6}">
  <dimension ref="A1:W473"/>
  <sheetViews>
    <sheetView topLeftCell="A317" workbookViewId="0">
      <selection activeCell="N335" sqref="N335"/>
    </sheetView>
  </sheetViews>
  <sheetFormatPr defaultColWidth="8.7109375" defaultRowHeight="15" x14ac:dyDescent="0.25"/>
  <cols>
    <col min="1" max="1" width="8.7109375" style="4"/>
    <col min="2" max="3" width="9.42578125" style="4" bestFit="1" customWidth="1"/>
    <col min="4" max="5" width="8.7109375" style="4"/>
    <col min="6" max="7" width="10.42578125" style="4" bestFit="1" customWidth="1"/>
    <col min="8" max="16384" width="8.7109375" style="4"/>
  </cols>
  <sheetData>
    <row r="1" spans="1:7" s="1" customFormat="1" x14ac:dyDescent="0.25">
      <c r="A1" s="1" t="s">
        <v>44</v>
      </c>
    </row>
    <row r="2" spans="1:7" s="1" customFormat="1" x14ac:dyDescent="0.25">
      <c r="A2" s="1" t="s">
        <v>318</v>
      </c>
    </row>
    <row r="4" spans="1:7" x14ac:dyDescent="0.25">
      <c r="A4" s="36"/>
      <c r="B4" s="2" t="s">
        <v>1</v>
      </c>
      <c r="C4" s="3"/>
      <c r="D4" s="3"/>
      <c r="E4" s="3"/>
      <c r="F4" s="3"/>
      <c r="G4" s="3"/>
    </row>
    <row r="5" spans="1:7" x14ac:dyDescent="0.25">
      <c r="A5" s="5" t="s">
        <v>2</v>
      </c>
      <c r="B5" s="6" t="s">
        <v>269</v>
      </c>
      <c r="C5" s="6" t="s">
        <v>270</v>
      </c>
      <c r="D5" s="6" t="s">
        <v>3</v>
      </c>
      <c r="E5" s="6" t="s">
        <v>4</v>
      </c>
      <c r="F5" s="6" t="s">
        <v>271</v>
      </c>
      <c r="G5" s="6" t="s">
        <v>272</v>
      </c>
    </row>
    <row r="6" spans="1:7" x14ac:dyDescent="0.25">
      <c r="A6" s="36"/>
      <c r="B6" s="2"/>
      <c r="C6" s="2"/>
      <c r="D6" s="3"/>
      <c r="E6" s="3"/>
      <c r="F6" s="3"/>
      <c r="G6" s="3"/>
    </row>
    <row r="7" spans="1:7" x14ac:dyDescent="0.25">
      <c r="A7" s="36" t="s">
        <v>41</v>
      </c>
      <c r="B7" s="3"/>
      <c r="C7" s="3"/>
      <c r="D7" s="3"/>
      <c r="E7" s="3"/>
      <c r="F7" s="3"/>
      <c r="G7" s="3"/>
    </row>
    <row r="8" spans="1:7" x14ac:dyDescent="0.25">
      <c r="A8" s="36" t="s">
        <v>46</v>
      </c>
      <c r="B8" s="2">
        <v>0.55294120000000002</v>
      </c>
      <c r="C8" s="2">
        <v>5.9454800000000002E-2</v>
      </c>
      <c r="D8" s="2">
        <v>-5.51</v>
      </c>
      <c r="E8" s="2">
        <v>0</v>
      </c>
      <c r="F8" s="2">
        <v>0.44787189999999999</v>
      </c>
      <c r="G8" s="2">
        <v>0.68265940000000003</v>
      </c>
    </row>
    <row r="9" spans="1:7" x14ac:dyDescent="0.25">
      <c r="A9" s="36" t="s">
        <v>16</v>
      </c>
      <c r="B9" s="2">
        <v>1.8102180000000001</v>
      </c>
      <c r="C9" s="2">
        <v>0.178012</v>
      </c>
      <c r="D9" s="2">
        <v>6.03</v>
      </c>
      <c r="E9" s="2">
        <v>0</v>
      </c>
      <c r="F9" s="2">
        <v>1.4928840000000001</v>
      </c>
      <c r="G9" s="2">
        <v>2.1950069999999999</v>
      </c>
    </row>
    <row r="10" spans="1:7" x14ac:dyDescent="0.25">
      <c r="A10" s="36" t="s">
        <v>17</v>
      </c>
      <c r="B10" s="2">
        <v>3.240993</v>
      </c>
      <c r="C10" s="2">
        <v>0.2649608</v>
      </c>
      <c r="D10" s="2">
        <v>14.38</v>
      </c>
      <c r="E10" s="2">
        <v>0</v>
      </c>
      <c r="F10" s="2">
        <v>2.7611490000000001</v>
      </c>
      <c r="G10" s="2">
        <v>3.8042259999999999</v>
      </c>
    </row>
    <row r="11" spans="1:7" x14ac:dyDescent="0.25">
      <c r="A11" s="36" t="s">
        <v>18</v>
      </c>
      <c r="B11" s="2">
        <v>1.142485</v>
      </c>
      <c r="C11" s="2">
        <v>0.2296289</v>
      </c>
      <c r="D11" s="2">
        <v>0.66</v>
      </c>
      <c r="E11" s="2">
        <v>0.50700000000000001</v>
      </c>
      <c r="F11" s="2">
        <v>0.77049009999999996</v>
      </c>
      <c r="G11" s="2">
        <v>1.6940809999999999</v>
      </c>
    </row>
    <row r="12" spans="1:7" x14ac:dyDescent="0.25">
      <c r="A12" s="36" t="s">
        <v>19</v>
      </c>
      <c r="B12" s="2">
        <v>0.1176471</v>
      </c>
      <c r="C12" s="2">
        <v>2.2831500000000001E-2</v>
      </c>
      <c r="D12" s="2">
        <v>-11.03</v>
      </c>
      <c r="E12" s="2">
        <v>0</v>
      </c>
      <c r="F12" s="2">
        <v>8.0424800000000005E-2</v>
      </c>
      <c r="G12" s="2">
        <v>0.17209659999999999</v>
      </c>
    </row>
    <row r="13" spans="1:7" x14ac:dyDescent="0.25">
      <c r="A13" s="36" t="s">
        <v>20</v>
      </c>
      <c r="B13" s="2">
        <v>0.38940750000000002</v>
      </c>
      <c r="C13" s="2">
        <v>6.8300399999999997E-2</v>
      </c>
      <c r="D13" s="2">
        <v>-5.38</v>
      </c>
      <c r="E13" s="2">
        <v>0</v>
      </c>
      <c r="F13" s="2">
        <v>0.27612599999999998</v>
      </c>
      <c r="G13" s="2">
        <v>0.54916299999999996</v>
      </c>
    </row>
    <row r="14" spans="1:7" x14ac:dyDescent="0.25">
      <c r="A14" s="36" t="s">
        <v>21</v>
      </c>
      <c r="B14" s="2">
        <v>0.9283245</v>
      </c>
      <c r="C14" s="2">
        <v>0.1049456</v>
      </c>
      <c r="D14" s="2">
        <v>-0.66</v>
      </c>
      <c r="E14" s="2">
        <v>0.51100000000000001</v>
      </c>
      <c r="F14" s="2">
        <v>0.7438285</v>
      </c>
      <c r="G14" s="2">
        <v>1.158582</v>
      </c>
    </row>
    <row r="15" spans="1:7" x14ac:dyDescent="0.25">
      <c r="A15" s="36" t="s">
        <v>22</v>
      </c>
      <c r="B15" s="2">
        <v>0.3545644</v>
      </c>
      <c r="C15" s="2">
        <v>0.120459</v>
      </c>
      <c r="D15" s="2">
        <v>-3.05</v>
      </c>
      <c r="E15" s="2">
        <v>2E-3</v>
      </c>
      <c r="F15" s="2">
        <v>0.18218380000000001</v>
      </c>
      <c r="G15" s="2">
        <v>0.69005000000000005</v>
      </c>
    </row>
    <row r="16" spans="1:7" x14ac:dyDescent="0.25">
      <c r="A16" s="36" t="s">
        <v>23</v>
      </c>
      <c r="B16" s="2">
        <v>0.2117647</v>
      </c>
      <c r="C16" s="2">
        <v>3.1802799999999999E-2</v>
      </c>
      <c r="D16" s="2">
        <v>-10.34</v>
      </c>
      <c r="E16" s="2">
        <v>0</v>
      </c>
      <c r="F16" s="2">
        <v>0.1577684</v>
      </c>
      <c r="G16" s="2">
        <v>0.28424120000000003</v>
      </c>
    </row>
    <row r="17" spans="1:7" x14ac:dyDescent="0.25">
      <c r="A17" s="36" t="s">
        <v>24</v>
      </c>
      <c r="B17" s="2">
        <v>0.54727530000000002</v>
      </c>
      <c r="C17" s="2">
        <v>8.3020899999999995E-2</v>
      </c>
      <c r="D17" s="2">
        <v>-3.97</v>
      </c>
      <c r="E17" s="2">
        <v>0</v>
      </c>
      <c r="F17" s="2">
        <v>0.40651809999999999</v>
      </c>
      <c r="G17" s="2">
        <v>0.73676989999999998</v>
      </c>
    </row>
    <row r="18" spans="1:7" x14ac:dyDescent="0.25">
      <c r="A18" s="36" t="s">
        <v>25</v>
      </c>
      <c r="B18" s="2">
        <v>1.058616</v>
      </c>
      <c r="C18" s="2">
        <v>0.1140572</v>
      </c>
      <c r="D18" s="2">
        <v>0.53</v>
      </c>
      <c r="E18" s="2">
        <v>0.59699999999999998</v>
      </c>
      <c r="F18" s="2">
        <v>0.85709369999999996</v>
      </c>
      <c r="G18" s="2">
        <v>1.30752</v>
      </c>
    </row>
    <row r="19" spans="1:7" x14ac:dyDescent="0.25">
      <c r="A19" s="36" t="s">
        <v>26</v>
      </c>
      <c r="B19" s="2">
        <v>0.63033680000000003</v>
      </c>
      <c r="C19" s="2">
        <v>0.16244900000000001</v>
      </c>
      <c r="D19" s="2">
        <v>-1.79</v>
      </c>
      <c r="E19" s="2">
        <v>7.2999999999999995E-2</v>
      </c>
      <c r="F19" s="2">
        <v>0.38036710000000001</v>
      </c>
      <c r="G19" s="2">
        <v>1.0445819999999999</v>
      </c>
    </row>
    <row r="20" spans="1:7" x14ac:dyDescent="0.25">
      <c r="A20" s="36" t="s">
        <v>27</v>
      </c>
      <c r="B20" s="2">
        <v>0.68627450000000001</v>
      </c>
      <c r="C20" s="2">
        <v>7.0647799999999997E-2</v>
      </c>
      <c r="D20" s="2">
        <v>-3.66</v>
      </c>
      <c r="E20" s="2">
        <v>0</v>
      </c>
      <c r="F20" s="2">
        <v>0.56088249999999995</v>
      </c>
      <c r="G20" s="2">
        <v>0.83969950000000004</v>
      </c>
    </row>
    <row r="21" spans="1:7" x14ac:dyDescent="0.25">
      <c r="A21" s="36" t="s">
        <v>28</v>
      </c>
      <c r="B21" s="2">
        <v>2.3680180000000002</v>
      </c>
      <c r="C21" s="2">
        <v>0.23203869999999999</v>
      </c>
      <c r="D21" s="2">
        <v>8.8000000000000007</v>
      </c>
      <c r="E21" s="2">
        <v>0</v>
      </c>
      <c r="F21" s="2">
        <v>1.9542360000000001</v>
      </c>
      <c r="G21" s="2">
        <v>2.8694130000000002</v>
      </c>
    </row>
    <row r="22" spans="1:7" x14ac:dyDescent="0.25">
      <c r="A22" s="36" t="s">
        <v>29</v>
      </c>
      <c r="B22" s="2">
        <v>2.6302530000000002</v>
      </c>
      <c r="C22" s="2">
        <v>0.2269756</v>
      </c>
      <c r="D22" s="2">
        <v>11.21</v>
      </c>
      <c r="E22" s="2">
        <v>0</v>
      </c>
      <c r="F22" s="2">
        <v>2.2209750000000001</v>
      </c>
      <c r="G22" s="2">
        <v>3.114951</v>
      </c>
    </row>
    <row r="23" spans="1:7" x14ac:dyDescent="0.25">
      <c r="A23" s="36" t="s">
        <v>30</v>
      </c>
      <c r="B23" s="2">
        <v>5.003298</v>
      </c>
      <c r="C23" s="2">
        <v>0.5736462</v>
      </c>
      <c r="D23" s="2">
        <v>14.04</v>
      </c>
      <c r="E23" s="2">
        <v>0</v>
      </c>
      <c r="F23" s="2">
        <v>3.996346</v>
      </c>
      <c r="G23" s="2">
        <v>6.2639709999999997</v>
      </c>
    </row>
    <row r="24" spans="1:7" x14ac:dyDescent="0.25">
      <c r="A24" s="36" t="s">
        <v>67</v>
      </c>
      <c r="B24" s="2">
        <v>1</v>
      </c>
      <c r="C24" s="2"/>
      <c r="D24" s="2"/>
      <c r="E24" s="2"/>
      <c r="F24" s="2"/>
      <c r="G24" s="2"/>
    </row>
    <row r="25" spans="1:7" x14ac:dyDescent="0.25">
      <c r="A25" s="36" t="s">
        <v>31</v>
      </c>
      <c r="B25" s="2">
        <v>1.505007</v>
      </c>
      <c r="C25" s="2">
        <v>0.16156960000000001</v>
      </c>
      <c r="D25" s="2">
        <v>3.81</v>
      </c>
      <c r="E25" s="2">
        <v>0</v>
      </c>
      <c r="F25" s="2">
        <v>1.219433</v>
      </c>
      <c r="G25" s="2">
        <v>1.8574580000000001</v>
      </c>
    </row>
    <row r="26" spans="1:7" x14ac:dyDescent="0.25">
      <c r="A26" s="36" t="s">
        <v>32</v>
      </c>
      <c r="B26" s="2">
        <v>1.80779</v>
      </c>
      <c r="C26" s="2">
        <v>0.16893069999999999</v>
      </c>
      <c r="D26" s="2">
        <v>6.34</v>
      </c>
      <c r="E26" s="2">
        <v>0</v>
      </c>
      <c r="F26" s="2">
        <v>1.5052430000000001</v>
      </c>
      <c r="G26" s="2">
        <v>2.1711469999999999</v>
      </c>
    </row>
    <row r="27" spans="1:7" x14ac:dyDescent="0.25">
      <c r="A27" s="36" t="s">
        <v>33</v>
      </c>
      <c r="B27" s="2">
        <v>3.6244360000000002</v>
      </c>
      <c r="C27" s="2">
        <v>0.4675204</v>
      </c>
      <c r="D27" s="2">
        <v>9.98</v>
      </c>
      <c r="E27" s="2">
        <v>0</v>
      </c>
      <c r="F27" s="2">
        <v>2.8147700000000002</v>
      </c>
      <c r="G27" s="2">
        <v>4.6670020000000001</v>
      </c>
    </row>
    <row r="28" spans="1:7" x14ac:dyDescent="0.25">
      <c r="A28" s="36" t="s">
        <v>34</v>
      </c>
      <c r="B28" s="2">
        <v>0.65490199999999998</v>
      </c>
      <c r="C28" s="2">
        <v>6.5125000000000002E-2</v>
      </c>
      <c r="D28" s="2">
        <v>-4.26</v>
      </c>
      <c r="E28" s="2">
        <v>0</v>
      </c>
      <c r="F28" s="2">
        <v>0.53892810000000002</v>
      </c>
      <c r="G28" s="2">
        <v>0.7958326</v>
      </c>
    </row>
    <row r="29" spans="1:7" x14ac:dyDescent="0.25">
      <c r="A29" s="36" t="s">
        <v>35</v>
      </c>
      <c r="B29" s="2">
        <v>1.4418599999999999</v>
      </c>
      <c r="C29" s="2">
        <v>0.1543358</v>
      </c>
      <c r="D29" s="2">
        <v>3.42</v>
      </c>
      <c r="E29" s="2">
        <v>1E-3</v>
      </c>
      <c r="F29" s="2">
        <v>1.1689909999999999</v>
      </c>
      <c r="G29" s="2">
        <v>1.7784230000000001</v>
      </c>
    </row>
    <row r="30" spans="1:7" x14ac:dyDescent="0.25">
      <c r="A30" s="36" t="s">
        <v>36</v>
      </c>
      <c r="B30" s="2">
        <v>1.514635</v>
      </c>
      <c r="C30" s="2">
        <v>0.14692079999999999</v>
      </c>
      <c r="D30" s="2">
        <v>4.28</v>
      </c>
      <c r="E30" s="2">
        <v>0</v>
      </c>
      <c r="F30" s="2">
        <v>1.2523930000000001</v>
      </c>
      <c r="G30" s="2">
        <v>1.831788</v>
      </c>
    </row>
    <row r="31" spans="1:7" x14ac:dyDescent="0.25">
      <c r="A31" s="36" t="s">
        <v>37</v>
      </c>
      <c r="B31" s="2">
        <v>1.615238</v>
      </c>
      <c r="C31" s="2">
        <v>0.28010980000000002</v>
      </c>
      <c r="D31" s="2">
        <v>2.76</v>
      </c>
      <c r="E31" s="2">
        <v>6.0000000000000001E-3</v>
      </c>
      <c r="F31" s="2">
        <v>1.149804</v>
      </c>
      <c r="G31" s="2">
        <v>2.2690779999999999</v>
      </c>
    </row>
    <row r="32" spans="1:7" x14ac:dyDescent="0.25">
      <c r="A32" s="36" t="s">
        <v>50</v>
      </c>
      <c r="B32" s="2">
        <v>9.0197100000000002E-2</v>
      </c>
      <c r="C32" s="2">
        <v>1.9721700000000002E-2</v>
      </c>
      <c r="D32" s="2">
        <v>-11</v>
      </c>
      <c r="E32" s="2">
        <v>0</v>
      </c>
      <c r="F32" s="2">
        <v>5.8759199999999998E-2</v>
      </c>
      <c r="G32" s="2">
        <v>0.1384551</v>
      </c>
    </row>
    <row r="33" spans="1:10" x14ac:dyDescent="0.25">
      <c r="A33" s="36" t="s">
        <v>51</v>
      </c>
      <c r="B33" s="2">
        <v>0.29468670000000002</v>
      </c>
      <c r="C33" s="2">
        <v>5.8774100000000003E-2</v>
      </c>
      <c r="D33" s="2">
        <v>-6.13</v>
      </c>
      <c r="E33" s="2">
        <v>0</v>
      </c>
      <c r="F33" s="2">
        <v>0.19933880000000001</v>
      </c>
      <c r="G33" s="2">
        <v>0.43564170000000002</v>
      </c>
    </row>
    <row r="34" spans="1:10" x14ac:dyDescent="0.25">
      <c r="A34" s="36" t="s">
        <v>52</v>
      </c>
      <c r="B34" s="2">
        <v>0.40715990000000002</v>
      </c>
      <c r="C34" s="2">
        <v>6.3326499999999994E-2</v>
      </c>
      <c r="D34" s="2">
        <v>-5.78</v>
      </c>
      <c r="E34" s="2">
        <v>0</v>
      </c>
      <c r="F34" s="2">
        <v>0.3001759</v>
      </c>
      <c r="G34" s="2">
        <v>0.55227349999999997</v>
      </c>
    </row>
    <row r="35" spans="1:10" x14ac:dyDescent="0.25">
      <c r="A35" s="36" t="s">
        <v>53</v>
      </c>
      <c r="B35" s="2">
        <v>0.3545644</v>
      </c>
      <c r="C35" s="2">
        <v>0.1201827</v>
      </c>
      <c r="D35" s="2">
        <v>-3.06</v>
      </c>
      <c r="E35" s="2">
        <v>2E-3</v>
      </c>
      <c r="F35" s="2">
        <v>0.18246229999999999</v>
      </c>
      <c r="G35" s="2">
        <v>0.68899690000000002</v>
      </c>
    </row>
    <row r="36" spans="1:10" x14ac:dyDescent="0.25">
      <c r="A36" s="36" t="s">
        <v>54</v>
      </c>
      <c r="B36" s="2">
        <v>7.8434900000000002E-2</v>
      </c>
      <c r="C36" s="2">
        <v>1.8215800000000001E-2</v>
      </c>
      <c r="D36" s="2">
        <v>-10.96</v>
      </c>
      <c r="E36" s="2">
        <v>0</v>
      </c>
      <c r="F36" s="2">
        <v>4.9753800000000001E-2</v>
      </c>
      <c r="G36" s="2">
        <v>0.1236497</v>
      </c>
    </row>
    <row r="37" spans="1:10" x14ac:dyDescent="0.25">
      <c r="A37" s="36" t="s">
        <v>55</v>
      </c>
      <c r="B37" s="2">
        <v>0.17891689999999999</v>
      </c>
      <c r="C37" s="2">
        <v>5.1829699999999999E-2</v>
      </c>
      <c r="D37" s="2">
        <v>-5.94</v>
      </c>
      <c r="E37" s="2">
        <v>0</v>
      </c>
      <c r="F37" s="2">
        <v>0.1014076</v>
      </c>
      <c r="G37" s="2">
        <v>0.31566929999999999</v>
      </c>
    </row>
    <row r="38" spans="1:10" x14ac:dyDescent="0.25">
      <c r="A38" s="36" t="s">
        <v>56</v>
      </c>
      <c r="B38" s="2">
        <v>0.26872550000000001</v>
      </c>
      <c r="C38" s="2">
        <v>5.0999700000000002E-2</v>
      </c>
      <c r="D38" s="2">
        <v>-6.92</v>
      </c>
      <c r="E38" s="2">
        <v>0</v>
      </c>
      <c r="F38" s="2">
        <v>0.1852529</v>
      </c>
      <c r="G38" s="2">
        <v>0.38980989999999999</v>
      </c>
    </row>
    <row r="39" spans="1:10" x14ac:dyDescent="0.25">
      <c r="A39" s="36" t="s">
        <v>57</v>
      </c>
      <c r="B39" s="2">
        <v>0.39396049999999999</v>
      </c>
      <c r="C39" s="2">
        <v>0.12682679999999999</v>
      </c>
      <c r="D39" s="2">
        <v>-2.89</v>
      </c>
      <c r="E39" s="2">
        <v>4.0000000000000001E-3</v>
      </c>
      <c r="F39" s="2">
        <v>0.20961740000000001</v>
      </c>
      <c r="G39" s="2">
        <v>0.74041979999999996</v>
      </c>
    </row>
    <row r="40" spans="1:10" x14ac:dyDescent="0.25">
      <c r="A40" s="36" t="s">
        <v>58</v>
      </c>
      <c r="B40" s="2">
        <v>0.15686269999999999</v>
      </c>
      <c r="C40" s="2">
        <v>2.6863100000000001E-2</v>
      </c>
      <c r="D40" s="2">
        <v>-10.82</v>
      </c>
      <c r="E40" s="2">
        <v>0</v>
      </c>
      <c r="F40" s="2">
        <v>0.1121371</v>
      </c>
      <c r="G40" s="2">
        <v>0.21942700000000001</v>
      </c>
    </row>
    <row r="41" spans="1:10" x14ac:dyDescent="0.25">
      <c r="A41" s="36" t="s">
        <v>59</v>
      </c>
      <c r="B41" s="2">
        <v>0.43150559999999999</v>
      </c>
      <c r="C41" s="2">
        <v>7.3186100000000004E-2</v>
      </c>
      <c r="D41" s="2">
        <v>-4.96</v>
      </c>
      <c r="E41" s="2">
        <v>0</v>
      </c>
      <c r="F41" s="2">
        <v>0.3094691</v>
      </c>
      <c r="G41" s="2">
        <v>0.60166609999999998</v>
      </c>
    </row>
    <row r="42" spans="1:10" x14ac:dyDescent="0.25">
      <c r="A42" s="36" t="s">
        <v>60</v>
      </c>
      <c r="B42" s="2">
        <v>0.61073980000000005</v>
      </c>
      <c r="C42" s="2">
        <v>8.0161300000000005E-2</v>
      </c>
      <c r="D42" s="2">
        <v>-3.76</v>
      </c>
      <c r="E42" s="2">
        <v>0</v>
      </c>
      <c r="F42" s="2">
        <v>0.47220839999999997</v>
      </c>
      <c r="G42" s="2">
        <v>0.78991210000000001</v>
      </c>
    </row>
    <row r="43" spans="1:10" x14ac:dyDescent="0.25">
      <c r="A43" s="36" t="s">
        <v>61</v>
      </c>
      <c r="B43" s="2">
        <v>0.43335649999999998</v>
      </c>
      <c r="C43" s="2">
        <v>0.14451929999999999</v>
      </c>
      <c r="D43" s="2">
        <v>-2.5099999999999998</v>
      </c>
      <c r="E43" s="2">
        <v>1.2E-2</v>
      </c>
      <c r="F43" s="2">
        <v>0.22541330000000001</v>
      </c>
      <c r="G43" s="2">
        <v>0.8331267</v>
      </c>
    </row>
    <row r="44" spans="1:10" x14ac:dyDescent="0.25">
      <c r="A44" s="36"/>
      <c r="B44" s="3"/>
      <c r="C44" s="3"/>
      <c r="D44" s="3"/>
      <c r="E44" s="3"/>
      <c r="F44" s="3"/>
      <c r="G44" s="3"/>
    </row>
    <row r="45" spans="1:10" x14ac:dyDescent="0.25">
      <c r="A45" s="5" t="s">
        <v>6</v>
      </c>
      <c r="B45" s="6">
        <v>9.0149999999999996E-4</v>
      </c>
      <c r="C45" s="6">
        <v>5.6799999999999998E-5</v>
      </c>
      <c r="D45" s="6">
        <v>-111.26</v>
      </c>
      <c r="E45" s="6">
        <v>0</v>
      </c>
      <c r="F45" s="6">
        <v>7.9670000000000001E-4</v>
      </c>
      <c r="G45" s="6">
        <v>1.0200000000000001E-3</v>
      </c>
    </row>
    <row r="46" spans="1:10" x14ac:dyDescent="0.25">
      <c r="A46" s="7"/>
      <c r="B46" s="8"/>
      <c r="C46" s="7"/>
      <c r="D46" s="7"/>
      <c r="E46" s="7"/>
      <c r="F46" s="7"/>
      <c r="G46" s="9"/>
    </row>
    <row r="47" spans="1:10" ht="15.75" thickBot="1" x14ac:dyDescent="0.3"/>
    <row r="48" spans="1:10" x14ac:dyDescent="0.25">
      <c r="A48" s="10"/>
      <c r="B48" s="11" t="s">
        <v>10</v>
      </c>
      <c r="C48" s="11" t="s">
        <v>40</v>
      </c>
      <c r="D48" s="11" t="s">
        <v>11</v>
      </c>
      <c r="E48" s="11" t="s">
        <v>7</v>
      </c>
      <c r="F48" s="11" t="s">
        <v>8</v>
      </c>
      <c r="G48" s="11" t="s">
        <v>62</v>
      </c>
      <c r="H48" s="11" t="s">
        <v>63</v>
      </c>
      <c r="I48" s="11" t="s">
        <v>64</v>
      </c>
      <c r="J48" s="12" t="s">
        <v>65</v>
      </c>
    </row>
    <row r="49" spans="1:10" x14ac:dyDescent="0.25">
      <c r="A49" s="13" t="s">
        <v>12</v>
      </c>
      <c r="B49" s="14">
        <f>B8</f>
        <v>0.55294120000000002</v>
      </c>
      <c r="C49" s="15">
        <f>B12</f>
        <v>0.1176471</v>
      </c>
      <c r="D49" s="15">
        <f>B16</f>
        <v>0.2117647</v>
      </c>
      <c r="E49" s="15">
        <f>B20</f>
        <v>0.68627450000000001</v>
      </c>
      <c r="F49" s="15">
        <f>B24</f>
        <v>1</v>
      </c>
      <c r="G49" s="15">
        <f>B28</f>
        <v>0.65490199999999998</v>
      </c>
      <c r="H49" s="16">
        <f>B32</f>
        <v>9.0197100000000002E-2</v>
      </c>
      <c r="I49" s="16">
        <f>B36</f>
        <v>7.8434900000000002E-2</v>
      </c>
      <c r="J49" s="17">
        <f>B40</f>
        <v>0.15686269999999999</v>
      </c>
    </row>
    <row r="50" spans="1:10" x14ac:dyDescent="0.25">
      <c r="A50" s="13" t="s">
        <v>13</v>
      </c>
      <c r="B50" s="15">
        <f>B9</f>
        <v>1.8102180000000001</v>
      </c>
      <c r="C50" s="15">
        <f>B13</f>
        <v>0.38940750000000002</v>
      </c>
      <c r="D50" s="15">
        <f>B17</f>
        <v>0.54727530000000002</v>
      </c>
      <c r="E50" s="15">
        <f>B21</f>
        <v>2.3680180000000002</v>
      </c>
      <c r="F50" s="15">
        <f>B25</f>
        <v>1.505007</v>
      </c>
      <c r="G50" s="15">
        <f>B29</f>
        <v>1.4418599999999999</v>
      </c>
      <c r="H50" s="16">
        <f>B33</f>
        <v>0.29468670000000002</v>
      </c>
      <c r="I50" s="16">
        <f>B37</f>
        <v>0.17891689999999999</v>
      </c>
      <c r="J50" s="18">
        <f>B41</f>
        <v>0.43150559999999999</v>
      </c>
    </row>
    <row r="51" spans="1:10" x14ac:dyDescent="0.25">
      <c r="A51" s="13" t="s">
        <v>14</v>
      </c>
      <c r="B51" s="15">
        <f>B10</f>
        <v>3.240993</v>
      </c>
      <c r="C51" s="15">
        <f>B14</f>
        <v>0.9283245</v>
      </c>
      <c r="D51" s="15">
        <f>B18</f>
        <v>1.058616</v>
      </c>
      <c r="E51" s="15">
        <f>B22</f>
        <v>2.6302530000000002</v>
      </c>
      <c r="F51" s="15">
        <f>B26</f>
        <v>1.80779</v>
      </c>
      <c r="G51" s="15">
        <f>B30</f>
        <v>1.514635</v>
      </c>
      <c r="H51" s="16">
        <f>B34</f>
        <v>0.40715990000000002</v>
      </c>
      <c r="I51" s="16">
        <f>B38</f>
        <v>0.26872550000000001</v>
      </c>
      <c r="J51" s="18">
        <f>B42</f>
        <v>0.61073980000000005</v>
      </c>
    </row>
    <row r="52" spans="1:10" ht="15.75" thickBot="1" x14ac:dyDescent="0.3">
      <c r="A52" s="19" t="s">
        <v>371</v>
      </c>
      <c r="B52" s="20">
        <f>B11</f>
        <v>1.142485</v>
      </c>
      <c r="C52" s="20">
        <f>B15</f>
        <v>0.3545644</v>
      </c>
      <c r="D52" s="20">
        <f>B19</f>
        <v>0.63033680000000003</v>
      </c>
      <c r="E52" s="20">
        <f>B23</f>
        <v>5.003298</v>
      </c>
      <c r="F52" s="20">
        <f>B27</f>
        <v>3.6244360000000002</v>
      </c>
      <c r="G52" s="20">
        <f>B31</f>
        <v>1.615238</v>
      </c>
      <c r="H52" s="21">
        <f>B35</f>
        <v>0.3545644</v>
      </c>
      <c r="I52" s="21">
        <f>B39</f>
        <v>0.39396049999999999</v>
      </c>
      <c r="J52" s="22">
        <f>B43</f>
        <v>0.43335649999999998</v>
      </c>
    </row>
    <row r="70" spans="1:23" x14ac:dyDescent="0.25">
      <c r="O70" s="23"/>
      <c r="P70" s="23"/>
      <c r="V70" s="7"/>
      <c r="W70" s="7"/>
    </row>
    <row r="71" spans="1:23" x14ac:dyDescent="0.25">
      <c r="A71" s="2"/>
      <c r="B71" s="2"/>
      <c r="C71" s="2"/>
      <c r="D71" s="3"/>
      <c r="E71" s="3"/>
      <c r="F71" s="3"/>
      <c r="G71" s="3"/>
      <c r="O71" s="7"/>
      <c r="P71" s="9"/>
      <c r="V71" s="7"/>
      <c r="W71" s="7"/>
    </row>
    <row r="72" spans="1:23" x14ac:dyDescent="0.25">
      <c r="A72" s="36"/>
      <c r="B72" s="2" t="s">
        <v>1</v>
      </c>
      <c r="C72" s="3"/>
      <c r="D72" s="3"/>
      <c r="E72" s="3"/>
      <c r="F72" s="3"/>
      <c r="G72" s="3"/>
      <c r="O72" s="23"/>
      <c r="P72" s="23"/>
      <c r="V72" s="7"/>
      <c r="W72" s="7"/>
    </row>
    <row r="73" spans="1:23" x14ac:dyDescent="0.25">
      <c r="A73" s="5" t="s">
        <v>2</v>
      </c>
      <c r="B73" s="6" t="s">
        <v>269</v>
      </c>
      <c r="C73" s="6" t="s">
        <v>270</v>
      </c>
      <c r="D73" s="6" t="s">
        <v>3</v>
      </c>
      <c r="E73" s="6" t="s">
        <v>4</v>
      </c>
      <c r="F73" s="6" t="s">
        <v>271</v>
      </c>
      <c r="G73" s="6" t="s">
        <v>272</v>
      </c>
      <c r="O73" s="7"/>
      <c r="P73" s="7"/>
    </row>
    <row r="74" spans="1:23" x14ac:dyDescent="0.25">
      <c r="A74" s="36"/>
      <c r="B74" s="2"/>
      <c r="C74" s="2"/>
      <c r="D74" s="3"/>
      <c r="E74" s="3"/>
      <c r="F74" s="3"/>
      <c r="G74" s="3"/>
      <c r="O74" s="7"/>
      <c r="P74" s="9"/>
    </row>
    <row r="75" spans="1:23" x14ac:dyDescent="0.25">
      <c r="A75" s="36" t="s">
        <v>72</v>
      </c>
      <c r="B75" s="3"/>
      <c r="C75" s="3"/>
      <c r="D75" s="3"/>
      <c r="E75" s="3"/>
      <c r="F75" s="3"/>
      <c r="G75" s="3"/>
      <c r="O75" s="7"/>
      <c r="P75" s="9"/>
    </row>
    <row r="76" spans="1:23" x14ac:dyDescent="0.25">
      <c r="A76" s="36" t="s">
        <v>73</v>
      </c>
      <c r="B76" s="2">
        <v>0.92401310000000003</v>
      </c>
      <c r="C76" s="2">
        <v>3.06932E-2</v>
      </c>
      <c r="D76" s="2">
        <v>-2.38</v>
      </c>
      <c r="E76" s="2">
        <v>1.7000000000000001E-2</v>
      </c>
      <c r="F76" s="2">
        <v>0.86577190000000004</v>
      </c>
      <c r="G76" s="2">
        <v>0.9861721</v>
      </c>
      <c r="O76" s="23"/>
      <c r="P76" s="23"/>
    </row>
    <row r="77" spans="1:23" x14ac:dyDescent="0.25">
      <c r="A77" s="36"/>
      <c r="B77" s="3"/>
      <c r="C77" s="3"/>
      <c r="D77" s="3"/>
      <c r="E77" s="3"/>
      <c r="F77" s="3"/>
      <c r="G77" s="3"/>
      <c r="O77" s="7"/>
      <c r="P77" s="7"/>
    </row>
    <row r="78" spans="1:23" x14ac:dyDescent="0.25">
      <c r="A78" s="36" t="s">
        <v>74</v>
      </c>
      <c r="B78" s="3"/>
      <c r="C78" s="3"/>
      <c r="D78" s="3"/>
      <c r="E78" s="3"/>
      <c r="F78" s="3"/>
      <c r="G78" s="3"/>
      <c r="O78" s="9"/>
      <c r="P78" s="9"/>
    </row>
    <row r="79" spans="1:23" x14ac:dyDescent="0.25">
      <c r="A79" s="36" t="s">
        <v>75</v>
      </c>
      <c r="B79" s="2">
        <v>0.88468880000000005</v>
      </c>
      <c r="C79" s="2">
        <v>3.9872999999999999E-2</v>
      </c>
      <c r="D79" s="2">
        <v>-2.72</v>
      </c>
      <c r="E79" s="2">
        <v>7.0000000000000001E-3</v>
      </c>
      <c r="F79" s="2">
        <v>0.80989140000000004</v>
      </c>
      <c r="G79" s="2">
        <v>0.96639410000000003</v>
      </c>
      <c r="O79" s="9"/>
      <c r="P79" s="9"/>
    </row>
    <row r="80" spans="1:23" x14ac:dyDescent="0.25">
      <c r="A80" s="36" t="s">
        <v>76</v>
      </c>
      <c r="B80" s="2">
        <v>0.8694518</v>
      </c>
      <c r="C80" s="2">
        <v>5.21637E-2</v>
      </c>
      <c r="D80" s="2">
        <v>-2.33</v>
      </c>
      <c r="E80" s="2">
        <v>0.02</v>
      </c>
      <c r="F80" s="2">
        <v>0.77299510000000005</v>
      </c>
      <c r="G80" s="2">
        <v>0.97794460000000005</v>
      </c>
      <c r="O80" s="23"/>
      <c r="P80" s="23"/>
    </row>
    <row r="81" spans="1:16" x14ac:dyDescent="0.25">
      <c r="A81" s="36" t="s">
        <v>77</v>
      </c>
      <c r="B81" s="2">
        <v>0.73425549999999995</v>
      </c>
      <c r="C81" s="2">
        <v>5.2486100000000001E-2</v>
      </c>
      <c r="D81" s="2">
        <v>-4.32</v>
      </c>
      <c r="E81" s="2">
        <v>0</v>
      </c>
      <c r="F81" s="2">
        <v>0.63826579999999999</v>
      </c>
      <c r="G81" s="2">
        <v>0.84468129999999997</v>
      </c>
      <c r="O81" s="7"/>
      <c r="P81" s="9"/>
    </row>
    <row r="82" spans="1:16" x14ac:dyDescent="0.25">
      <c r="A82" s="36" t="s">
        <v>78</v>
      </c>
      <c r="B82" s="2">
        <v>0.78685839999999996</v>
      </c>
      <c r="C82" s="2">
        <v>6.0096900000000002E-2</v>
      </c>
      <c r="D82" s="2">
        <v>-3.14</v>
      </c>
      <c r="E82" s="2">
        <v>2E-3</v>
      </c>
      <c r="F82" s="2">
        <v>0.67746280000000003</v>
      </c>
      <c r="G82" s="2">
        <v>0.91391900000000004</v>
      </c>
      <c r="O82" s="7"/>
      <c r="P82" s="9"/>
    </row>
    <row r="83" spans="1:16" x14ac:dyDescent="0.25">
      <c r="A83" s="36" t="s">
        <v>79</v>
      </c>
      <c r="B83" s="2">
        <v>0.61327980000000004</v>
      </c>
      <c r="C83" s="2">
        <v>5.2482599999999997E-2</v>
      </c>
      <c r="D83" s="2">
        <v>-5.71</v>
      </c>
      <c r="E83" s="2">
        <v>0</v>
      </c>
      <c r="F83" s="2">
        <v>0.51857960000000003</v>
      </c>
      <c r="G83" s="2">
        <v>0.72527350000000002</v>
      </c>
      <c r="O83" s="7"/>
      <c r="P83" s="9"/>
    </row>
    <row r="84" spans="1:16" x14ac:dyDescent="0.25">
      <c r="A84" s="36" t="s">
        <v>80</v>
      </c>
      <c r="B84" s="2">
        <v>0.55711869999999997</v>
      </c>
      <c r="C84" s="2">
        <v>5.6330699999999997E-2</v>
      </c>
      <c r="D84" s="2">
        <v>-5.79</v>
      </c>
      <c r="E84" s="2">
        <v>0</v>
      </c>
      <c r="F84" s="2">
        <v>0.45696409999999998</v>
      </c>
      <c r="G84" s="2">
        <v>0.67922459999999996</v>
      </c>
      <c r="O84" s="23"/>
      <c r="P84" s="23"/>
    </row>
    <row r="85" spans="1:16" x14ac:dyDescent="0.25">
      <c r="A85" s="36" t="s">
        <v>86</v>
      </c>
      <c r="B85" s="2">
        <v>0.50132489999999996</v>
      </c>
      <c r="C85" s="2">
        <v>5.6171600000000002E-2</v>
      </c>
      <c r="D85" s="2">
        <v>-6.16</v>
      </c>
      <c r="E85" s="2">
        <v>0</v>
      </c>
      <c r="F85" s="2">
        <v>0.40248089999999997</v>
      </c>
      <c r="G85" s="2">
        <v>0.62444359999999999</v>
      </c>
    </row>
    <row r="86" spans="1:16" x14ac:dyDescent="0.25">
      <c r="A86" s="36" t="s">
        <v>87</v>
      </c>
      <c r="B86" s="2">
        <v>0.38838210000000001</v>
      </c>
      <c r="C86" s="2">
        <v>5.6728399999999998E-2</v>
      </c>
      <c r="D86" s="2">
        <v>-6.48</v>
      </c>
      <c r="E86" s="2">
        <v>0</v>
      </c>
      <c r="F86" s="2">
        <v>0.2916955</v>
      </c>
      <c r="G86" s="2">
        <v>0.51711689999999999</v>
      </c>
    </row>
    <row r="87" spans="1:16" x14ac:dyDescent="0.25">
      <c r="A87" s="36" t="s">
        <v>88</v>
      </c>
      <c r="B87" s="2">
        <v>0.13272220000000001</v>
      </c>
      <c r="C87" s="2">
        <v>4.0125500000000001E-2</v>
      </c>
      <c r="D87" s="2">
        <v>-6.68</v>
      </c>
      <c r="E87" s="2">
        <v>0</v>
      </c>
      <c r="F87" s="2">
        <v>7.3384099999999994E-2</v>
      </c>
      <c r="G87" s="2">
        <v>0.2400407</v>
      </c>
    </row>
    <row r="88" spans="1:16" x14ac:dyDescent="0.25">
      <c r="A88" s="36"/>
      <c r="B88" s="3"/>
      <c r="C88" s="3"/>
      <c r="D88" s="3"/>
      <c r="E88" s="3"/>
      <c r="F88" s="3"/>
      <c r="G88" s="3"/>
    </row>
    <row r="89" spans="1:16" x14ac:dyDescent="0.25">
      <c r="A89" s="36" t="s">
        <v>113</v>
      </c>
      <c r="B89" s="3"/>
      <c r="C89" s="3"/>
      <c r="D89" s="3"/>
      <c r="E89" s="3"/>
      <c r="F89" s="3"/>
      <c r="G89" s="3"/>
    </row>
    <row r="90" spans="1:16" x14ac:dyDescent="0.25">
      <c r="A90" s="36">
        <v>2</v>
      </c>
      <c r="B90" s="2">
        <v>1.00691</v>
      </c>
      <c r="C90" s="2">
        <v>8.2471699999999995E-2</v>
      </c>
      <c r="D90" s="2">
        <v>0.08</v>
      </c>
      <c r="E90" s="2">
        <v>0.93300000000000005</v>
      </c>
      <c r="F90" s="2">
        <v>0.8575758</v>
      </c>
      <c r="G90" s="2">
        <v>1.1822490000000001</v>
      </c>
    </row>
    <row r="91" spans="1:16" x14ac:dyDescent="0.25">
      <c r="A91" s="36">
        <v>3</v>
      </c>
      <c r="B91" s="2">
        <v>0.61289419999999994</v>
      </c>
      <c r="C91" s="2">
        <v>5.1727700000000001E-2</v>
      </c>
      <c r="D91" s="2">
        <v>-5.8</v>
      </c>
      <c r="E91" s="2">
        <v>0</v>
      </c>
      <c r="F91" s="2">
        <v>0.51945129999999995</v>
      </c>
      <c r="G91" s="2">
        <v>0.72314619999999996</v>
      </c>
    </row>
    <row r="92" spans="1:16" x14ac:dyDescent="0.25">
      <c r="A92" s="36"/>
      <c r="B92" s="3"/>
      <c r="C92" s="3"/>
      <c r="D92" s="3"/>
      <c r="E92" s="3"/>
      <c r="F92" s="3"/>
      <c r="G92" s="3"/>
    </row>
    <row r="93" spans="1:16" x14ac:dyDescent="0.25">
      <c r="A93" s="36" t="s">
        <v>108</v>
      </c>
      <c r="B93" s="3"/>
      <c r="C93" s="3"/>
      <c r="D93" s="3"/>
      <c r="E93" s="3"/>
      <c r="F93" s="3"/>
      <c r="G93" s="3"/>
    </row>
    <row r="94" spans="1:16" x14ac:dyDescent="0.25">
      <c r="A94" s="36">
        <v>2</v>
      </c>
      <c r="B94" s="2">
        <v>0.97666240000000004</v>
      </c>
      <c r="C94" s="2">
        <v>4.7908399999999997E-2</v>
      </c>
      <c r="D94" s="2">
        <v>-0.48</v>
      </c>
      <c r="E94" s="2">
        <v>0.63</v>
      </c>
      <c r="F94" s="2">
        <v>0.88713629999999999</v>
      </c>
      <c r="G94" s="2">
        <v>1.075223</v>
      </c>
    </row>
    <row r="95" spans="1:16" x14ac:dyDescent="0.25">
      <c r="A95" s="36" t="s">
        <v>109</v>
      </c>
      <c r="B95" s="2">
        <v>1.1172530000000001</v>
      </c>
      <c r="C95" s="2">
        <v>0.1119348</v>
      </c>
      <c r="D95" s="2">
        <v>1.1100000000000001</v>
      </c>
      <c r="E95" s="2">
        <v>0.26800000000000002</v>
      </c>
      <c r="F95" s="2">
        <v>0.91806109999999996</v>
      </c>
      <c r="G95" s="2">
        <v>1.3596630000000001</v>
      </c>
    </row>
    <row r="96" spans="1:16" x14ac:dyDescent="0.25">
      <c r="A96" s="36"/>
      <c r="B96" s="3"/>
      <c r="C96" s="3"/>
      <c r="D96" s="3"/>
      <c r="E96" s="3"/>
      <c r="F96" s="3"/>
      <c r="G96" s="3"/>
    </row>
    <row r="97" spans="1:7" x14ac:dyDescent="0.25">
      <c r="A97" s="36" t="s">
        <v>85</v>
      </c>
      <c r="B97" s="3"/>
      <c r="C97" s="3"/>
      <c r="D97" s="3"/>
      <c r="E97" s="3"/>
      <c r="F97" s="3"/>
      <c r="G97" s="3"/>
    </row>
    <row r="98" spans="1:7" x14ac:dyDescent="0.25">
      <c r="A98" s="38" t="s">
        <v>315</v>
      </c>
      <c r="B98" s="2">
        <v>1.525739</v>
      </c>
      <c r="C98" s="2">
        <v>7.82553E-2</v>
      </c>
      <c r="D98" s="2">
        <v>8.24</v>
      </c>
      <c r="E98" s="2">
        <v>0</v>
      </c>
      <c r="F98" s="2">
        <v>1.3798189999999999</v>
      </c>
      <c r="G98" s="2">
        <v>1.6870909999999999</v>
      </c>
    </row>
    <row r="99" spans="1:7" x14ac:dyDescent="0.25">
      <c r="A99" s="38" t="s">
        <v>316</v>
      </c>
      <c r="B99" s="2">
        <v>1.035496</v>
      </c>
      <c r="C99" s="2">
        <v>6.4698800000000001E-2</v>
      </c>
      <c r="D99" s="2">
        <v>0.56000000000000005</v>
      </c>
      <c r="E99" s="2">
        <v>0.57699999999999996</v>
      </c>
      <c r="F99" s="2">
        <v>0.91614530000000005</v>
      </c>
      <c r="G99" s="2">
        <v>1.1703939999999999</v>
      </c>
    </row>
    <row r="100" spans="1:7" x14ac:dyDescent="0.25">
      <c r="A100" s="38" t="s">
        <v>317</v>
      </c>
      <c r="B100" s="2">
        <v>0.9132728</v>
      </c>
      <c r="C100" s="2">
        <v>5.7925400000000002E-2</v>
      </c>
      <c r="D100" s="2">
        <v>-1.43</v>
      </c>
      <c r="E100" s="2">
        <v>0.153</v>
      </c>
      <c r="F100" s="2">
        <v>0.80651439999999996</v>
      </c>
      <c r="G100" s="2">
        <v>1.0341629999999999</v>
      </c>
    </row>
    <row r="101" spans="1:7" x14ac:dyDescent="0.25">
      <c r="A101" s="38" t="s">
        <v>82</v>
      </c>
      <c r="B101" s="2">
        <v>1.617818</v>
      </c>
      <c r="C101" s="2">
        <v>0.1062705</v>
      </c>
      <c r="D101" s="2">
        <v>7.32</v>
      </c>
      <c r="E101" s="2">
        <v>0</v>
      </c>
      <c r="F101" s="2">
        <v>1.422382</v>
      </c>
      <c r="G101" s="2">
        <v>1.8401069999999999</v>
      </c>
    </row>
    <row r="102" spans="1:7" x14ac:dyDescent="0.25">
      <c r="A102" s="36"/>
      <c r="B102" s="3"/>
      <c r="C102" s="3"/>
      <c r="D102" s="3"/>
      <c r="E102" s="3"/>
      <c r="F102" s="3"/>
      <c r="G102" s="3"/>
    </row>
    <row r="103" spans="1:7" x14ac:dyDescent="0.25">
      <c r="A103" s="36" t="s">
        <v>41</v>
      </c>
      <c r="B103" s="3"/>
      <c r="C103" s="3"/>
      <c r="D103" s="3"/>
      <c r="E103" s="3"/>
      <c r="F103" s="3"/>
      <c r="G103" s="3"/>
    </row>
    <row r="104" spans="1:7" x14ac:dyDescent="0.25">
      <c r="A104" s="36" t="s">
        <v>46</v>
      </c>
      <c r="B104" s="2">
        <v>0.55294120000000002</v>
      </c>
      <c r="C104" s="2">
        <v>5.9454800000000002E-2</v>
      </c>
      <c r="D104" s="2">
        <v>-5.51</v>
      </c>
      <c r="E104" s="2">
        <v>0</v>
      </c>
      <c r="F104" s="2">
        <f>B104-0.4478719</f>
        <v>0.10506930000000003</v>
      </c>
      <c r="G104" s="2">
        <f>0.6826594-B104</f>
        <v>0.12971820000000001</v>
      </c>
    </row>
    <row r="105" spans="1:7" x14ac:dyDescent="0.25">
      <c r="A105" s="36" t="s">
        <v>16</v>
      </c>
      <c r="B105" s="2">
        <v>1.4913700000000001</v>
      </c>
      <c r="C105" s="2">
        <v>0.15819759999999999</v>
      </c>
      <c r="D105" s="2">
        <v>3.77</v>
      </c>
      <c r="E105" s="2">
        <v>0</v>
      </c>
      <c r="F105" s="2">
        <f>B105-1.211418</f>
        <v>0.27995199999999998</v>
      </c>
      <c r="G105" s="2">
        <f>1.836018-B105</f>
        <v>0.34464799999999984</v>
      </c>
    </row>
    <row r="106" spans="1:7" x14ac:dyDescent="0.25">
      <c r="A106" s="36" t="s">
        <v>17</v>
      </c>
      <c r="B106" s="2">
        <v>2.365545</v>
      </c>
      <c r="C106" s="2">
        <v>0.22465669999999999</v>
      </c>
      <c r="D106" s="2">
        <v>9.07</v>
      </c>
      <c r="E106" s="2">
        <v>0</v>
      </c>
      <c r="F106" s="2" t="s">
        <v>314</v>
      </c>
      <c r="G106" s="2">
        <f>2.84951-B106</f>
        <v>0.48396499999999998</v>
      </c>
    </row>
    <row r="107" spans="1:7" x14ac:dyDescent="0.25">
      <c r="A107" s="36" t="s">
        <v>18</v>
      </c>
      <c r="B107" s="2">
        <v>0.79917709999999997</v>
      </c>
      <c r="C107" s="2">
        <v>0.1665287</v>
      </c>
      <c r="D107" s="2">
        <v>-1.08</v>
      </c>
      <c r="E107" s="2">
        <v>0.28199999999999997</v>
      </c>
      <c r="F107" s="2">
        <f>B107-0.5312192</f>
        <v>0.26795789999999997</v>
      </c>
      <c r="G107" s="2">
        <f>1.202298-B107</f>
        <v>0.40312090000000012</v>
      </c>
    </row>
    <row r="108" spans="1:7" x14ac:dyDescent="0.25">
      <c r="A108" s="36" t="s">
        <v>19</v>
      </c>
      <c r="B108" s="2">
        <v>0.1176471</v>
      </c>
      <c r="C108" s="2">
        <v>2.2831500000000001E-2</v>
      </c>
      <c r="D108" s="2">
        <v>-11.03</v>
      </c>
      <c r="E108" s="2">
        <v>0</v>
      </c>
      <c r="F108" s="2">
        <f>B108-0.0804248</f>
        <v>3.72223E-2</v>
      </c>
      <c r="G108" s="2">
        <f>0.1720965-B108</f>
        <v>5.4449400000000009E-2</v>
      </c>
    </row>
    <row r="109" spans="1:7" x14ac:dyDescent="0.25">
      <c r="A109" s="36" t="s">
        <v>20</v>
      </c>
      <c r="B109" s="2">
        <v>0.32081799999999999</v>
      </c>
      <c r="C109" s="2">
        <v>5.7512099999999997E-2</v>
      </c>
      <c r="D109" s="2">
        <v>-6.34</v>
      </c>
      <c r="E109" s="2">
        <v>0</v>
      </c>
      <c r="F109" s="2">
        <f>B109-0.2257701</f>
        <v>9.5047899999999991E-2</v>
      </c>
      <c r="G109" s="2">
        <f>0.4558806-B109</f>
        <v>0.13506260000000003</v>
      </c>
    </row>
    <row r="110" spans="1:7" x14ac:dyDescent="0.25">
      <c r="A110" s="36" t="s">
        <v>21</v>
      </c>
      <c r="B110" s="2">
        <v>0.67756830000000001</v>
      </c>
      <c r="C110" s="2">
        <v>8.3499500000000004E-2</v>
      </c>
      <c r="D110" s="2">
        <v>-3.16</v>
      </c>
      <c r="E110" s="2">
        <v>2E-3</v>
      </c>
      <c r="F110" s="2">
        <f>B110-0.532177</f>
        <v>0.1453913</v>
      </c>
      <c r="G110" s="2">
        <f>0.8626806-B110</f>
        <v>0.18511230000000001</v>
      </c>
    </row>
    <row r="111" spans="1:7" x14ac:dyDescent="0.25">
      <c r="A111" s="36" t="s">
        <v>22</v>
      </c>
      <c r="B111" s="2">
        <v>0.2480205</v>
      </c>
      <c r="C111" s="2">
        <v>8.5273500000000002E-2</v>
      </c>
      <c r="D111" s="2">
        <v>-4.0599999999999996</v>
      </c>
      <c r="E111" s="2">
        <v>0</v>
      </c>
      <c r="F111" s="2">
        <f>B111-0.1264243</f>
        <v>0.12159620000000002</v>
      </c>
      <c r="G111" s="2">
        <f>0.486569-B111</f>
        <v>0.23854849999999997</v>
      </c>
    </row>
    <row r="112" spans="1:7" x14ac:dyDescent="0.25">
      <c r="A112" s="36" t="s">
        <v>23</v>
      </c>
      <c r="B112" s="2">
        <v>0.2117647</v>
      </c>
      <c r="C112" s="2">
        <v>3.1802799999999999E-2</v>
      </c>
      <c r="D112" s="2">
        <v>-10.34</v>
      </c>
      <c r="E112" s="2">
        <v>0</v>
      </c>
      <c r="F112" s="2">
        <f>B112-0.1577684</f>
        <v>5.3996299999999997E-2</v>
      </c>
      <c r="G112" s="2">
        <f>0.2842412-B112</f>
        <v>7.2476500000000027E-2</v>
      </c>
    </row>
    <row r="113" spans="1:7" x14ac:dyDescent="0.25">
      <c r="A113" s="36" t="s">
        <v>24</v>
      </c>
      <c r="B113" s="2">
        <v>0.45087939999999999</v>
      </c>
      <c r="C113" s="2">
        <v>7.0827899999999999E-2</v>
      </c>
      <c r="D113" s="2">
        <v>-5.07</v>
      </c>
      <c r="E113" s="2">
        <v>0</v>
      </c>
      <c r="F113" s="2">
        <f>B113-0.3313955</f>
        <v>0.11948389999999998</v>
      </c>
      <c r="G113" s="2">
        <f>0.613443-B113</f>
        <v>0.16256359999999997</v>
      </c>
    </row>
    <row r="114" spans="1:7" x14ac:dyDescent="0.25">
      <c r="A114" s="36" t="s">
        <v>25</v>
      </c>
      <c r="B114" s="2">
        <v>0.77266559999999995</v>
      </c>
      <c r="C114" s="2">
        <v>9.1985999999999998E-2</v>
      </c>
      <c r="D114" s="2">
        <v>-2.17</v>
      </c>
      <c r="E114" s="2">
        <v>0.03</v>
      </c>
      <c r="F114" s="2">
        <f>B114-0.6118653</f>
        <v>0.16080030000000001</v>
      </c>
      <c r="G114" s="2">
        <f>0.9757248-B114</f>
        <v>0.2030592</v>
      </c>
    </row>
    <row r="115" spans="1:7" x14ac:dyDescent="0.25">
      <c r="A115" s="36" t="s">
        <v>26</v>
      </c>
      <c r="B115" s="2">
        <v>0.44092530000000002</v>
      </c>
      <c r="C115" s="2">
        <v>0.11634899999999999</v>
      </c>
      <c r="D115" s="2">
        <v>-3.1</v>
      </c>
      <c r="E115" s="2">
        <v>2E-3</v>
      </c>
      <c r="F115" s="2">
        <f>B115-0.2628782</f>
        <v>0.17804710000000001</v>
      </c>
      <c r="G115" s="2">
        <f>0.7395634-B115</f>
        <v>0.29863809999999996</v>
      </c>
    </row>
    <row r="116" spans="1:7" x14ac:dyDescent="0.25">
      <c r="A116" s="36" t="s">
        <v>27</v>
      </c>
      <c r="B116" s="2">
        <v>0.68627450000000001</v>
      </c>
      <c r="C116" s="2">
        <v>7.0647799999999997E-2</v>
      </c>
      <c r="D116" s="2">
        <v>-3.66</v>
      </c>
      <c r="E116" s="2">
        <v>0</v>
      </c>
      <c r="F116" s="2">
        <f>B116-0.5608825</f>
        <v>0.12539200000000006</v>
      </c>
      <c r="G116" s="2">
        <f>0.8396995-B116</f>
        <v>0.15342500000000003</v>
      </c>
    </row>
    <row r="117" spans="1:7" x14ac:dyDescent="0.25">
      <c r="A117" s="36" t="s">
        <v>28</v>
      </c>
      <c r="B117" s="2">
        <v>1.9509209999999999</v>
      </c>
      <c r="C117" s="2">
        <v>0.19884460000000001</v>
      </c>
      <c r="D117" s="2">
        <v>6.56</v>
      </c>
      <c r="E117" s="2">
        <v>0</v>
      </c>
      <c r="F117" s="2">
        <f>B117-1.597652</f>
        <v>0.35326899999999983</v>
      </c>
      <c r="G117" s="2">
        <f>2.382303-B117</f>
        <v>0.43138199999999993</v>
      </c>
    </row>
    <row r="118" spans="1:7" x14ac:dyDescent="0.25">
      <c r="A118" s="36" t="s">
        <v>29</v>
      </c>
      <c r="B118" s="2">
        <v>1.9197770000000001</v>
      </c>
      <c r="C118" s="2">
        <v>0.18841550000000001</v>
      </c>
      <c r="D118" s="2">
        <v>6.65</v>
      </c>
      <c r="E118" s="2">
        <v>0</v>
      </c>
      <c r="F118" s="2">
        <f>B118-1.583835</f>
        <v>0.33594199999999996</v>
      </c>
      <c r="G118" s="2">
        <f>2.326974-B118</f>
        <v>0.40719699999999981</v>
      </c>
    </row>
    <row r="119" spans="1:7" x14ac:dyDescent="0.25">
      <c r="A119" s="36" t="s">
        <v>30</v>
      </c>
      <c r="B119" s="2">
        <v>3.499844</v>
      </c>
      <c r="C119" s="2">
        <v>0.44418410000000003</v>
      </c>
      <c r="D119" s="2">
        <v>9.8699999999999992</v>
      </c>
      <c r="E119" s="2">
        <v>0</v>
      </c>
      <c r="F119" s="2">
        <f>B119-2.729092</f>
        <v>0.77075199999999988</v>
      </c>
      <c r="G119" s="2">
        <f>4.488274-B119</f>
        <v>0.9884299999999997</v>
      </c>
    </row>
    <row r="120" spans="1:7" x14ac:dyDescent="0.25">
      <c r="A120" s="36" t="s">
        <v>67</v>
      </c>
      <c r="B120" s="2">
        <v>1</v>
      </c>
      <c r="C120" s="2"/>
      <c r="D120" s="2"/>
      <c r="E120" s="2"/>
      <c r="F120" s="2">
        <f>0</f>
        <v>0</v>
      </c>
      <c r="G120" s="2">
        <v>0</v>
      </c>
    </row>
    <row r="121" spans="1:7" x14ac:dyDescent="0.25">
      <c r="A121" s="36" t="s">
        <v>31</v>
      </c>
      <c r="B121" s="2">
        <v>1.2399180000000001</v>
      </c>
      <c r="C121" s="2">
        <v>0.13922590000000001</v>
      </c>
      <c r="D121" s="2">
        <v>1.92</v>
      </c>
      <c r="E121" s="2">
        <v>5.5E-2</v>
      </c>
      <c r="F121" s="2">
        <f>B121-0.994981</f>
        <v>0.24493700000000007</v>
      </c>
      <c r="G121" s="2">
        <f>1.545153-B121</f>
        <v>0.30523499999999992</v>
      </c>
    </row>
    <row r="122" spans="1:7" x14ac:dyDescent="0.25">
      <c r="A122" s="36" t="s">
        <v>32</v>
      </c>
      <c r="B122" s="2">
        <v>1.319475</v>
      </c>
      <c r="C122" s="2">
        <v>0.13985420000000001</v>
      </c>
      <c r="D122" s="2">
        <v>2.62</v>
      </c>
      <c r="E122" s="2">
        <v>8.9999999999999993E-3</v>
      </c>
      <c r="F122" s="2">
        <f>B122-1.071965</f>
        <v>0.2475099999999999</v>
      </c>
      <c r="G122" s="2">
        <f>1.624134-B122</f>
        <v>0.30465900000000001</v>
      </c>
    </row>
    <row r="123" spans="1:7" x14ac:dyDescent="0.25">
      <c r="A123" s="36" t="s">
        <v>33</v>
      </c>
      <c r="B123" s="2">
        <v>2.53532</v>
      </c>
      <c r="C123" s="2">
        <v>0.35330699999999998</v>
      </c>
      <c r="D123" s="2">
        <v>6.68</v>
      </c>
      <c r="E123" s="2">
        <v>0</v>
      </c>
      <c r="F123" s="2">
        <f>B123-1.929366</f>
        <v>0.6059540000000001</v>
      </c>
      <c r="G123" s="2">
        <f>3.331587-B123</f>
        <v>0.79626699999999984</v>
      </c>
    </row>
    <row r="124" spans="1:7" x14ac:dyDescent="0.25">
      <c r="A124" s="36" t="s">
        <v>34</v>
      </c>
      <c r="B124" s="2">
        <v>0.65490199999999998</v>
      </c>
      <c r="C124" s="2">
        <v>6.5125000000000002E-2</v>
      </c>
      <c r="D124" s="2">
        <v>-4.26</v>
      </c>
      <c r="E124" s="2">
        <v>0</v>
      </c>
      <c r="F124" s="2">
        <f>B124-0.5389281</f>
        <v>0.11597389999999996</v>
      </c>
      <c r="G124" s="2">
        <f>0.7958326-B124</f>
        <v>0.14093060000000002</v>
      </c>
    </row>
    <row r="125" spans="1:7" x14ac:dyDescent="0.25">
      <c r="A125" s="36" t="s">
        <v>35</v>
      </c>
      <c r="B125" s="2">
        <v>1.187894</v>
      </c>
      <c r="C125" s="2">
        <v>0.13576669999999999</v>
      </c>
      <c r="D125" s="2">
        <v>1.51</v>
      </c>
      <c r="E125" s="2">
        <v>0.13200000000000001</v>
      </c>
      <c r="F125" s="2">
        <f>B125-0.9494939</f>
        <v>0.2384001</v>
      </c>
      <c r="G125" s="2">
        <f>1.486152-B125</f>
        <v>0.29825799999999991</v>
      </c>
    </row>
    <row r="126" spans="1:7" x14ac:dyDescent="0.25">
      <c r="A126" s="36" t="s">
        <v>36</v>
      </c>
      <c r="B126" s="2">
        <v>1.1055060000000001</v>
      </c>
      <c r="C126" s="2">
        <v>0.121142</v>
      </c>
      <c r="D126" s="2">
        <v>0.92</v>
      </c>
      <c r="E126" s="2">
        <v>0.36</v>
      </c>
      <c r="F126" s="2">
        <f>B126-0.8918381</f>
        <v>0.21366790000000013</v>
      </c>
      <c r="G126" s="2">
        <f>1.370365-B126</f>
        <v>0.26485899999999996</v>
      </c>
    </row>
    <row r="127" spans="1:7" x14ac:dyDescent="0.25">
      <c r="A127" s="36" t="s">
        <v>37</v>
      </c>
      <c r="B127" s="2">
        <v>1.1298710000000001</v>
      </c>
      <c r="C127" s="2">
        <v>0.20643300000000001</v>
      </c>
      <c r="D127" s="2">
        <v>0.67</v>
      </c>
      <c r="E127" s="2">
        <v>0.504</v>
      </c>
      <c r="F127" s="2">
        <f>B127-0.7897873</f>
        <v>0.3400837000000001</v>
      </c>
      <c r="G127" s="2">
        <f>1.616395-B127</f>
        <v>0.48652399999999996</v>
      </c>
    </row>
    <row r="128" spans="1:7" x14ac:dyDescent="0.25">
      <c r="A128" s="36" t="s">
        <v>50</v>
      </c>
      <c r="B128" s="2">
        <v>9.0196100000000001E-2</v>
      </c>
      <c r="C128" s="2">
        <v>1.9721700000000002E-2</v>
      </c>
      <c r="D128" s="2">
        <v>-11</v>
      </c>
      <c r="E128" s="2">
        <v>0</v>
      </c>
      <c r="F128" s="2">
        <f>B128-0.0587583</f>
        <v>3.1437800000000002E-2</v>
      </c>
      <c r="G128" s="2">
        <f>0.1384542-B128</f>
        <v>4.8258099999999998E-2</v>
      </c>
    </row>
    <row r="129" spans="1:10" x14ac:dyDescent="0.25">
      <c r="A129" s="36" t="s">
        <v>51</v>
      </c>
      <c r="B129" s="2">
        <v>0.2427812</v>
      </c>
      <c r="C129" s="2">
        <v>4.9355700000000002E-2</v>
      </c>
      <c r="D129" s="2">
        <v>-6.96</v>
      </c>
      <c r="E129" s="2">
        <v>0</v>
      </c>
      <c r="F129" s="2">
        <f>B129-0.1629941</f>
        <v>7.97871E-2</v>
      </c>
      <c r="G129" s="2">
        <f>0.3616249-B129</f>
        <v>0.11884370000000002</v>
      </c>
    </row>
    <row r="130" spans="1:10" x14ac:dyDescent="0.25">
      <c r="A130" s="36" t="s">
        <v>52</v>
      </c>
      <c r="B130" s="2">
        <v>0.29717909999999997</v>
      </c>
      <c r="C130" s="2">
        <v>4.8226900000000003E-2</v>
      </c>
      <c r="D130" s="2">
        <v>-7.48</v>
      </c>
      <c r="E130" s="2">
        <v>0</v>
      </c>
      <c r="F130" s="2">
        <f>B130-0.2162137</f>
        <v>8.0965399999999965E-2</v>
      </c>
      <c r="G130" s="2">
        <f>0.4084635-B130</f>
        <v>0.11128440000000001</v>
      </c>
    </row>
    <row r="131" spans="1:10" x14ac:dyDescent="0.25">
      <c r="A131" s="36" t="s">
        <v>53</v>
      </c>
      <c r="B131" s="2">
        <v>0.2480205</v>
      </c>
      <c r="C131" s="2">
        <v>8.5033700000000004E-2</v>
      </c>
      <c r="D131" s="2">
        <v>-4.07</v>
      </c>
      <c r="E131" s="2">
        <v>0</v>
      </c>
      <c r="F131" s="2">
        <f>B131-0.1266641</f>
        <v>0.1213564</v>
      </c>
      <c r="G131" s="2">
        <f>0.4856479-B131</f>
        <v>0.23762740000000002</v>
      </c>
    </row>
    <row r="132" spans="1:10" x14ac:dyDescent="0.25">
      <c r="A132" s="36" t="s">
        <v>54</v>
      </c>
      <c r="B132" s="2">
        <v>7.8431399999999998E-2</v>
      </c>
      <c r="C132" s="2">
        <v>1.8215700000000001E-2</v>
      </c>
      <c r="D132" s="2">
        <v>-10.96</v>
      </c>
      <c r="E132" s="2">
        <v>0</v>
      </c>
      <c r="F132" s="2">
        <f>B132-0.0497505</f>
        <v>2.8680899999999995E-2</v>
      </c>
      <c r="G132" s="2">
        <f>0.1236465-B132</f>
        <v>4.5215100000000008E-2</v>
      </c>
    </row>
    <row r="133" spans="1:10" x14ac:dyDescent="0.25">
      <c r="A133" s="36" t="s">
        <v>55</v>
      </c>
      <c r="B133" s="2">
        <v>0.1474029</v>
      </c>
      <c r="C133" s="2">
        <v>4.2905499999999999E-2</v>
      </c>
      <c r="D133" s="2">
        <v>-6.58</v>
      </c>
      <c r="E133" s="2">
        <v>0</v>
      </c>
      <c r="F133" s="2">
        <f>B133-0.0833185</f>
        <v>6.40844E-2</v>
      </c>
      <c r="G133" s="2">
        <f>0.2607777-B133</f>
        <v>0.1133748</v>
      </c>
    </row>
    <row r="134" spans="1:10" x14ac:dyDescent="0.25">
      <c r="A134" s="36" t="s">
        <v>56</v>
      </c>
      <c r="B134" s="2">
        <v>0.19613820000000001</v>
      </c>
      <c r="C134" s="2">
        <v>3.8309799999999998E-2</v>
      </c>
      <c r="D134" s="2">
        <v>-8.34</v>
      </c>
      <c r="E134" s="2">
        <v>0</v>
      </c>
      <c r="F134" s="2">
        <f>B134-0.1337535</f>
        <v>6.2384700000000015E-2</v>
      </c>
      <c r="G134" s="2">
        <f>0.2876201-B134</f>
        <v>9.1481899999999977E-2</v>
      </c>
    </row>
    <row r="135" spans="1:10" x14ac:dyDescent="0.25">
      <c r="A135" s="36" t="s">
        <v>57</v>
      </c>
      <c r="B135" s="2">
        <v>0.2755783</v>
      </c>
      <c r="C135" s="2">
        <v>8.9927300000000002E-2</v>
      </c>
      <c r="D135" s="2">
        <v>-3.95</v>
      </c>
      <c r="E135" s="2">
        <v>0</v>
      </c>
      <c r="F135" s="2">
        <f>B135-0.1453714</f>
        <v>0.13020689999999999</v>
      </c>
      <c r="G135" s="2">
        <f>0.5224093-B135</f>
        <v>0.24683099999999997</v>
      </c>
    </row>
    <row r="136" spans="1:10" x14ac:dyDescent="0.25">
      <c r="A136" s="36" t="s">
        <v>58</v>
      </c>
      <c r="B136" s="2">
        <v>0.15686269999999999</v>
      </c>
      <c r="C136" s="2">
        <v>2.6863100000000001E-2</v>
      </c>
      <c r="D136" s="2">
        <v>-10.82</v>
      </c>
      <c r="E136" s="2">
        <v>0</v>
      </c>
      <c r="F136" s="2">
        <f>B136-0.1121371</f>
        <v>4.472559999999999E-2</v>
      </c>
      <c r="G136" s="2">
        <f>0.219427-B136</f>
        <v>6.2564300000000017E-2</v>
      </c>
    </row>
    <row r="137" spans="1:10" x14ac:dyDescent="0.25">
      <c r="A137" s="36" t="s">
        <v>59</v>
      </c>
      <c r="B137" s="2">
        <v>0.35550110000000001</v>
      </c>
      <c r="C137" s="2">
        <v>6.1782799999999999E-2</v>
      </c>
      <c r="D137" s="2">
        <v>-5.95</v>
      </c>
      <c r="E137" s="2">
        <v>0</v>
      </c>
      <c r="F137" s="2">
        <f>B137-0.2528773</f>
        <v>0.10262379999999999</v>
      </c>
      <c r="G137" s="2">
        <f>0.499772-B137</f>
        <v>0.14427089999999998</v>
      </c>
    </row>
    <row r="138" spans="1:10" x14ac:dyDescent="0.25">
      <c r="A138" s="36" t="s">
        <v>60</v>
      </c>
      <c r="B138" s="2">
        <v>0.44576860000000001</v>
      </c>
      <c r="C138" s="2">
        <v>6.2702900000000006E-2</v>
      </c>
      <c r="D138" s="2">
        <v>-5.74</v>
      </c>
      <c r="E138" s="2">
        <v>0</v>
      </c>
      <c r="F138" s="2">
        <f>B138-0.3383587</f>
        <v>0.1074099</v>
      </c>
      <c r="G138" s="2">
        <f>0.5872752-B138</f>
        <v>0.14150659999999998</v>
      </c>
    </row>
    <row r="139" spans="1:10" x14ac:dyDescent="0.25">
      <c r="A139" s="36" t="s">
        <v>61</v>
      </c>
      <c r="B139" s="2">
        <v>0.30313610000000002</v>
      </c>
      <c r="C139" s="2">
        <v>0.1023158</v>
      </c>
      <c r="D139" s="2">
        <v>-3.54</v>
      </c>
      <c r="E139" s="2">
        <v>0</v>
      </c>
      <c r="F139" s="2">
        <f>B139-0.1564359</f>
        <v>0.14670020000000003</v>
      </c>
      <c r="G139" s="2">
        <f>0.5874067-B139</f>
        <v>0.28427059999999993</v>
      </c>
    </row>
    <row r="140" spans="1:10" x14ac:dyDescent="0.25">
      <c r="A140" s="36"/>
      <c r="B140" s="3"/>
      <c r="C140" s="3"/>
      <c r="D140" s="3"/>
      <c r="E140" s="3"/>
      <c r="F140" s="3"/>
      <c r="G140" s="3"/>
    </row>
    <row r="141" spans="1:10" x14ac:dyDescent="0.25">
      <c r="A141" s="5" t="s">
        <v>6</v>
      </c>
      <c r="B141" s="6">
        <v>1.3891000000000001E-3</v>
      </c>
      <c r="C141" s="6">
        <v>1.6980000000000001E-4</v>
      </c>
      <c r="D141" s="6">
        <v>-53.81</v>
      </c>
      <c r="E141" s="6">
        <v>0</v>
      </c>
      <c r="F141" s="6">
        <v>1.0931000000000001E-3</v>
      </c>
      <c r="G141" s="6">
        <v>1.7652E-3</v>
      </c>
    </row>
    <row r="142" spans="1:10" ht="15.75" thickBot="1" x14ac:dyDescent="0.3"/>
    <row r="143" spans="1:10" x14ac:dyDescent="0.25">
      <c r="A143" s="10"/>
      <c r="B143" s="11" t="s">
        <v>10</v>
      </c>
      <c r="C143" s="11" t="s">
        <v>40</v>
      </c>
      <c r="D143" s="11" t="s">
        <v>11</v>
      </c>
      <c r="E143" s="11" t="s">
        <v>7</v>
      </c>
      <c r="F143" s="11" t="s">
        <v>8</v>
      </c>
      <c r="G143" s="11" t="s">
        <v>62</v>
      </c>
      <c r="H143" s="11" t="s">
        <v>63</v>
      </c>
      <c r="I143" s="11" t="s">
        <v>64</v>
      </c>
      <c r="J143" s="12" t="s">
        <v>65</v>
      </c>
    </row>
    <row r="144" spans="1:10" x14ac:dyDescent="0.25">
      <c r="A144" s="13" t="s">
        <v>12</v>
      </c>
      <c r="B144" s="14">
        <f>B104</f>
        <v>0.55294120000000002</v>
      </c>
      <c r="C144" s="15">
        <f>B108</f>
        <v>0.1176471</v>
      </c>
      <c r="D144" s="15">
        <f>B112</f>
        <v>0.2117647</v>
      </c>
      <c r="E144" s="15">
        <f>B116</f>
        <v>0.68627450000000001</v>
      </c>
      <c r="F144" s="15">
        <f>B120</f>
        <v>1</v>
      </c>
      <c r="G144" s="15">
        <f>B124</f>
        <v>0.65490199999999998</v>
      </c>
      <c r="H144" s="16">
        <f>B128</f>
        <v>9.0196100000000001E-2</v>
      </c>
      <c r="I144" s="16">
        <f>B132</f>
        <v>7.8431399999999998E-2</v>
      </c>
      <c r="J144" s="17">
        <f>B136</f>
        <v>0.15686269999999999</v>
      </c>
    </row>
    <row r="145" spans="1:10" x14ac:dyDescent="0.25">
      <c r="A145" s="13" t="s">
        <v>13</v>
      </c>
      <c r="B145" s="15">
        <f>B105</f>
        <v>1.4913700000000001</v>
      </c>
      <c r="C145" s="15">
        <f>B109</f>
        <v>0.32081799999999999</v>
      </c>
      <c r="D145" s="15">
        <f>B113</f>
        <v>0.45087939999999999</v>
      </c>
      <c r="E145" s="15">
        <f>B117</f>
        <v>1.9509209999999999</v>
      </c>
      <c r="F145" s="15">
        <f>B121</f>
        <v>1.2399180000000001</v>
      </c>
      <c r="G145" s="15">
        <f>B125</f>
        <v>1.187894</v>
      </c>
      <c r="H145" s="16">
        <f>B129</f>
        <v>0.2427812</v>
      </c>
      <c r="I145" s="16">
        <f>B133</f>
        <v>0.1474029</v>
      </c>
      <c r="J145" s="18">
        <f>B137</f>
        <v>0.35550110000000001</v>
      </c>
    </row>
    <row r="146" spans="1:10" x14ac:dyDescent="0.25">
      <c r="A146" s="13" t="s">
        <v>14</v>
      </c>
      <c r="B146" s="15">
        <f>B106</f>
        <v>2.365545</v>
      </c>
      <c r="C146" s="15">
        <f>B110</f>
        <v>0.67756830000000001</v>
      </c>
      <c r="D146" s="15">
        <f>B114</f>
        <v>0.77266559999999995</v>
      </c>
      <c r="E146" s="15">
        <f>B118</f>
        <v>1.9197770000000001</v>
      </c>
      <c r="F146" s="15">
        <f>B122</f>
        <v>1.319475</v>
      </c>
      <c r="G146" s="15">
        <f>B126</f>
        <v>1.1055060000000001</v>
      </c>
      <c r="H146" s="16">
        <f>B130</f>
        <v>0.29717909999999997</v>
      </c>
      <c r="I146" s="16">
        <f>B134</f>
        <v>0.19613820000000001</v>
      </c>
      <c r="J146" s="18">
        <f>B138</f>
        <v>0.44576860000000001</v>
      </c>
    </row>
    <row r="147" spans="1:10" ht="15.75" thickBot="1" x14ac:dyDescent="0.3">
      <c r="A147" s="19" t="s">
        <v>371</v>
      </c>
      <c r="B147" s="20">
        <f>B107</f>
        <v>0.79917709999999997</v>
      </c>
      <c r="C147" s="20">
        <f>B111</f>
        <v>0.2480205</v>
      </c>
      <c r="D147" s="20">
        <f>B115</f>
        <v>0.44092530000000002</v>
      </c>
      <c r="E147" s="20">
        <f>B119</f>
        <v>3.499844</v>
      </c>
      <c r="F147" s="20">
        <f>B123</f>
        <v>2.53532</v>
      </c>
      <c r="G147" s="20">
        <f>B127</f>
        <v>1.1298710000000001</v>
      </c>
      <c r="H147" s="21">
        <f>B131</f>
        <v>0.2480205</v>
      </c>
      <c r="I147" s="21">
        <f>B135</f>
        <v>0.2755783</v>
      </c>
      <c r="J147" s="22">
        <f>B139</f>
        <v>0.30313610000000002</v>
      </c>
    </row>
    <row r="166" spans="1:7" s="1" customFormat="1" x14ac:dyDescent="0.25">
      <c r="A166" s="1" t="s">
        <v>90</v>
      </c>
    </row>
    <row r="168" spans="1:7" x14ac:dyDescent="0.25">
      <c r="A168" s="36"/>
      <c r="B168" s="2" t="s">
        <v>1</v>
      </c>
      <c r="C168" s="3"/>
      <c r="D168" s="3"/>
      <c r="E168" s="3"/>
      <c r="F168" s="3"/>
      <c r="G168" s="3"/>
    </row>
    <row r="169" spans="1:7" x14ac:dyDescent="0.25">
      <c r="A169" s="5" t="s">
        <v>2</v>
      </c>
      <c r="B169" s="6" t="s">
        <v>269</v>
      </c>
      <c r="C169" s="6" t="s">
        <v>270</v>
      </c>
      <c r="D169" s="6" t="s">
        <v>3</v>
      </c>
      <c r="E169" s="6" t="s">
        <v>4</v>
      </c>
      <c r="F169" s="6" t="s">
        <v>271</v>
      </c>
      <c r="G169" s="6" t="s">
        <v>272</v>
      </c>
    </row>
    <row r="170" spans="1:7" x14ac:dyDescent="0.25">
      <c r="A170" s="36"/>
      <c r="B170" s="2"/>
      <c r="C170" s="2"/>
      <c r="D170" s="3"/>
      <c r="E170" s="3"/>
      <c r="F170" s="3"/>
      <c r="G170" s="3"/>
    </row>
    <row r="171" spans="1:7" x14ac:dyDescent="0.25">
      <c r="A171" s="36" t="s">
        <v>74</v>
      </c>
      <c r="B171" s="3"/>
      <c r="C171" s="3"/>
      <c r="D171" s="3"/>
      <c r="E171" s="3"/>
      <c r="F171" s="3"/>
      <c r="G171" s="3"/>
    </row>
    <row r="172" spans="1:7" x14ac:dyDescent="0.25">
      <c r="A172" s="36" t="s">
        <v>75</v>
      </c>
      <c r="B172" s="2">
        <v>0.86940269999999997</v>
      </c>
      <c r="C172" s="2">
        <v>3.9076699999999999E-2</v>
      </c>
      <c r="D172" s="2">
        <v>-3.11</v>
      </c>
      <c r="E172" s="2">
        <v>2E-3</v>
      </c>
      <c r="F172" s="2">
        <v>0.79609039999999998</v>
      </c>
      <c r="G172" s="2">
        <v>0.94946629999999999</v>
      </c>
    </row>
    <row r="173" spans="1:7" x14ac:dyDescent="0.25">
      <c r="A173" s="36" t="s">
        <v>76</v>
      </c>
      <c r="B173" s="2">
        <v>0.78787529999999995</v>
      </c>
      <c r="C173" s="2">
        <v>4.7700800000000002E-2</v>
      </c>
      <c r="D173" s="2">
        <v>-3.94</v>
      </c>
      <c r="E173" s="2">
        <v>0</v>
      </c>
      <c r="F173" s="2">
        <v>0.69971740000000004</v>
      </c>
      <c r="G173" s="2">
        <v>0.88714020000000005</v>
      </c>
    </row>
    <row r="174" spans="1:7" x14ac:dyDescent="0.25">
      <c r="A174" s="36" t="s">
        <v>77</v>
      </c>
      <c r="B174" s="2">
        <v>0.61583719999999997</v>
      </c>
      <c r="C174" s="2">
        <v>4.4744699999999998E-2</v>
      </c>
      <c r="D174" s="2">
        <v>-6.67</v>
      </c>
      <c r="E174" s="2">
        <v>0</v>
      </c>
      <c r="F174" s="2">
        <v>0.5340973</v>
      </c>
      <c r="G174" s="2">
        <v>0.71008680000000002</v>
      </c>
    </row>
    <row r="175" spans="1:7" x14ac:dyDescent="0.25">
      <c r="A175" s="36" t="s">
        <v>78</v>
      </c>
      <c r="B175" s="2">
        <v>0.61843599999999999</v>
      </c>
      <c r="C175" s="2">
        <v>4.7517499999999997E-2</v>
      </c>
      <c r="D175" s="2">
        <v>-6.25</v>
      </c>
      <c r="E175" s="2">
        <v>0</v>
      </c>
      <c r="F175" s="2">
        <v>0.53197680000000003</v>
      </c>
      <c r="G175" s="2">
        <v>0.71894690000000006</v>
      </c>
    </row>
    <row r="176" spans="1:7" x14ac:dyDescent="0.25">
      <c r="A176" s="36" t="s">
        <v>79</v>
      </c>
      <c r="B176" s="2">
        <v>0.47010360000000001</v>
      </c>
      <c r="C176" s="2">
        <v>4.0211799999999999E-2</v>
      </c>
      <c r="D176" s="2">
        <v>-8.82</v>
      </c>
      <c r="E176" s="2">
        <v>0</v>
      </c>
      <c r="F176" s="2">
        <v>0.39754230000000002</v>
      </c>
      <c r="G176" s="2">
        <v>0.55590919999999999</v>
      </c>
    </row>
    <row r="177" spans="1:7" x14ac:dyDescent="0.25">
      <c r="A177" s="36" t="s">
        <v>80</v>
      </c>
      <c r="B177" s="2">
        <v>0.4007193</v>
      </c>
      <c r="C177" s="2">
        <v>4.02473E-2</v>
      </c>
      <c r="D177" s="2">
        <v>-9.11</v>
      </c>
      <c r="E177" s="2">
        <v>0</v>
      </c>
      <c r="F177" s="2">
        <v>0.32911489999999999</v>
      </c>
      <c r="G177" s="2">
        <v>0.48790220000000001</v>
      </c>
    </row>
    <row r="178" spans="1:7" x14ac:dyDescent="0.25">
      <c r="A178" s="36" t="s">
        <v>86</v>
      </c>
      <c r="B178" s="2">
        <v>0.3511146</v>
      </c>
      <c r="C178" s="2">
        <v>3.8753299999999997E-2</v>
      </c>
      <c r="D178" s="2">
        <v>-9.48</v>
      </c>
      <c r="E178" s="2">
        <v>0</v>
      </c>
      <c r="F178" s="2">
        <v>0.28281329999999999</v>
      </c>
      <c r="G178" s="2">
        <v>0.4359112</v>
      </c>
    </row>
    <row r="179" spans="1:7" x14ac:dyDescent="0.25">
      <c r="A179" s="36" t="s">
        <v>87</v>
      </c>
      <c r="B179" s="2">
        <v>0.26421559999999999</v>
      </c>
      <c r="C179" s="2">
        <v>3.7913000000000002E-2</v>
      </c>
      <c r="D179" s="2">
        <v>-9.2799999999999994</v>
      </c>
      <c r="E179" s="2">
        <v>0</v>
      </c>
      <c r="F179" s="2">
        <v>0.19944219999999999</v>
      </c>
      <c r="G179" s="2">
        <v>0.35002549999999999</v>
      </c>
    </row>
    <row r="180" spans="1:7" x14ac:dyDescent="0.25">
      <c r="A180" s="36" t="s">
        <v>88</v>
      </c>
      <c r="B180" s="2">
        <v>8.98143E-2</v>
      </c>
      <c r="C180" s="2">
        <v>2.70216E-2</v>
      </c>
      <c r="D180" s="2">
        <v>-8.01</v>
      </c>
      <c r="E180" s="2">
        <v>0</v>
      </c>
      <c r="F180" s="2">
        <v>4.9802699999999998E-2</v>
      </c>
      <c r="G180" s="2">
        <v>0.16197149999999999</v>
      </c>
    </row>
    <row r="181" spans="1:7" x14ac:dyDescent="0.25">
      <c r="A181" s="36"/>
      <c r="B181" s="3"/>
      <c r="C181" s="3"/>
      <c r="D181" s="3"/>
      <c r="E181" s="3"/>
      <c r="F181" s="3"/>
      <c r="G181" s="3"/>
    </row>
    <row r="182" spans="1:7" x14ac:dyDescent="0.25">
      <c r="A182" s="36" t="s">
        <v>113</v>
      </c>
      <c r="B182" s="3"/>
      <c r="C182" s="3"/>
      <c r="D182" s="3"/>
      <c r="E182" s="3"/>
      <c r="F182" s="3"/>
      <c r="G182" s="3"/>
    </row>
    <row r="183" spans="1:7" x14ac:dyDescent="0.25">
      <c r="A183" s="36">
        <v>2</v>
      </c>
      <c r="B183" s="2">
        <v>1.035763</v>
      </c>
      <c r="C183" s="2">
        <v>8.6495900000000001E-2</v>
      </c>
      <c r="D183" s="2">
        <v>0.42</v>
      </c>
      <c r="E183" s="2">
        <v>0.67400000000000004</v>
      </c>
      <c r="F183" s="2">
        <v>0.87938079999999996</v>
      </c>
      <c r="G183" s="2">
        <v>1.2199549999999999</v>
      </c>
    </row>
    <row r="184" spans="1:7" x14ac:dyDescent="0.25">
      <c r="A184" s="36">
        <v>3</v>
      </c>
      <c r="B184" s="2">
        <v>0.62902230000000003</v>
      </c>
      <c r="C184" s="2">
        <v>5.3852499999999998E-2</v>
      </c>
      <c r="D184" s="2">
        <v>-5.41</v>
      </c>
      <c r="E184" s="2">
        <v>0</v>
      </c>
      <c r="F184" s="2">
        <v>0.53185369999999998</v>
      </c>
      <c r="G184" s="2">
        <v>0.74394349999999998</v>
      </c>
    </row>
    <row r="185" spans="1:7" x14ac:dyDescent="0.25">
      <c r="A185" s="36"/>
      <c r="B185" s="3"/>
      <c r="C185" s="3"/>
      <c r="D185" s="3"/>
      <c r="E185" s="3"/>
      <c r="F185" s="3"/>
      <c r="G185" s="3"/>
    </row>
    <row r="186" spans="1:7" x14ac:dyDescent="0.25">
      <c r="A186" s="36" t="s">
        <v>108</v>
      </c>
      <c r="B186" s="3"/>
      <c r="C186" s="3"/>
      <c r="D186" s="3"/>
      <c r="E186" s="3"/>
      <c r="F186" s="3"/>
      <c r="G186" s="3"/>
    </row>
    <row r="187" spans="1:7" x14ac:dyDescent="0.25">
      <c r="A187" s="36">
        <v>2</v>
      </c>
      <c r="B187" s="2">
        <v>1.0427249999999999</v>
      </c>
      <c r="C187" s="2">
        <v>5.0901599999999998E-2</v>
      </c>
      <c r="D187" s="2">
        <v>0.86</v>
      </c>
      <c r="E187" s="2">
        <v>0.39100000000000001</v>
      </c>
      <c r="F187" s="2">
        <v>0.94758379999999998</v>
      </c>
      <c r="G187" s="2">
        <v>1.147419</v>
      </c>
    </row>
    <row r="188" spans="1:7" x14ac:dyDescent="0.25">
      <c r="A188" s="36" t="s">
        <v>109</v>
      </c>
      <c r="B188" s="2">
        <v>1.1948179999999999</v>
      </c>
      <c r="C188" s="2">
        <v>0.1211381</v>
      </c>
      <c r="D188" s="2">
        <v>1.76</v>
      </c>
      <c r="E188" s="2">
        <v>7.9000000000000001E-2</v>
      </c>
      <c r="F188" s="2">
        <v>0.97949339999999996</v>
      </c>
      <c r="G188" s="2">
        <v>1.4574769999999999</v>
      </c>
    </row>
    <row r="189" spans="1:7" x14ac:dyDescent="0.25">
      <c r="A189" s="36"/>
      <c r="B189" s="3"/>
      <c r="C189" s="3"/>
      <c r="D189" s="3"/>
      <c r="E189" s="3"/>
      <c r="F189" s="3"/>
      <c r="G189" s="3"/>
    </row>
    <row r="190" spans="1:7" x14ac:dyDescent="0.25">
      <c r="A190" s="36" t="s">
        <v>85</v>
      </c>
      <c r="B190" s="3"/>
      <c r="C190" s="3"/>
      <c r="D190" s="3"/>
      <c r="E190" s="3"/>
      <c r="F190" s="3"/>
      <c r="G190" s="3"/>
    </row>
    <row r="191" spans="1:7" x14ac:dyDescent="0.25">
      <c r="A191" s="38" t="s">
        <v>315</v>
      </c>
      <c r="B191" s="2">
        <v>1.5285519999999999</v>
      </c>
      <c r="C191" s="2">
        <v>7.8658800000000001E-2</v>
      </c>
      <c r="D191" s="2">
        <v>8.25</v>
      </c>
      <c r="E191" s="2">
        <v>0</v>
      </c>
      <c r="F191" s="2">
        <v>1.3819030000000001</v>
      </c>
      <c r="G191" s="2">
        <v>1.690763</v>
      </c>
    </row>
    <row r="192" spans="1:7" x14ac:dyDescent="0.25">
      <c r="A192" s="38" t="s">
        <v>316</v>
      </c>
      <c r="B192" s="2">
        <v>1.039121</v>
      </c>
      <c r="C192" s="2">
        <v>6.5090599999999998E-2</v>
      </c>
      <c r="D192" s="2">
        <v>0.61</v>
      </c>
      <c r="E192" s="2">
        <v>0.54</v>
      </c>
      <c r="F192" s="2">
        <v>0.9190661</v>
      </c>
      <c r="G192" s="2">
        <v>1.174858</v>
      </c>
    </row>
    <row r="193" spans="1:7" x14ac:dyDescent="0.25">
      <c r="A193" s="38" t="s">
        <v>317</v>
      </c>
      <c r="B193" s="2">
        <v>0.91383729999999996</v>
      </c>
      <c r="C193" s="2">
        <v>5.8077400000000001E-2</v>
      </c>
      <c r="D193" s="2">
        <v>-1.42</v>
      </c>
      <c r="E193" s="2">
        <v>0.156</v>
      </c>
      <c r="F193" s="2">
        <v>0.80681159999999996</v>
      </c>
      <c r="G193" s="2">
        <v>1.0350600000000001</v>
      </c>
    </row>
    <row r="194" spans="1:7" x14ac:dyDescent="0.25">
      <c r="A194" s="38" t="s">
        <v>82</v>
      </c>
      <c r="B194" s="2">
        <v>1.438652</v>
      </c>
      <c r="C194" s="2">
        <v>9.1814699999999999E-2</v>
      </c>
      <c r="D194" s="2">
        <v>5.7</v>
      </c>
      <c r="E194" s="2">
        <v>0</v>
      </c>
      <c r="F194" s="2">
        <v>1.2694989999999999</v>
      </c>
      <c r="G194" s="2">
        <v>1.6303449999999999</v>
      </c>
    </row>
    <row r="195" spans="1:7" x14ac:dyDescent="0.25">
      <c r="A195" s="36"/>
      <c r="B195" s="3"/>
      <c r="C195" s="3"/>
      <c r="D195" s="3"/>
      <c r="E195" s="3"/>
      <c r="F195" s="3"/>
      <c r="G195" s="3"/>
    </row>
    <row r="196" spans="1:7" x14ac:dyDescent="0.25">
      <c r="A196" s="36" t="s">
        <v>101</v>
      </c>
      <c r="B196" s="3"/>
      <c r="C196" s="3"/>
      <c r="D196" s="3"/>
      <c r="E196" s="3"/>
      <c r="F196" s="3"/>
      <c r="G196" s="3"/>
    </row>
    <row r="197" spans="1:7" x14ac:dyDescent="0.25">
      <c r="A197" s="36" t="s">
        <v>117</v>
      </c>
      <c r="B197" s="2">
        <v>1.5726500000000001</v>
      </c>
      <c r="C197" s="2">
        <v>0.19377520000000001</v>
      </c>
      <c r="D197" s="2">
        <v>3.67</v>
      </c>
      <c r="E197" s="2">
        <v>0</v>
      </c>
      <c r="F197" s="2">
        <f>B197-1.235238</f>
        <v>0.33741200000000005</v>
      </c>
      <c r="G197" s="2">
        <f>2.002227-B197</f>
        <v>0.42957699999999988</v>
      </c>
    </row>
    <row r="198" spans="1:7" x14ac:dyDescent="0.25">
      <c r="A198" s="36" t="s">
        <v>118</v>
      </c>
      <c r="B198" s="2">
        <v>2.9256190000000002</v>
      </c>
      <c r="C198" s="2">
        <v>0.35850359999999998</v>
      </c>
      <c r="D198" s="2">
        <v>8.76</v>
      </c>
      <c r="E198" s="2">
        <v>0</v>
      </c>
      <c r="F198" s="2">
        <f>B198-2.300975</f>
        <v>0.62464399999999998</v>
      </c>
      <c r="G198" s="2">
        <f>3.719833-B198</f>
        <v>0.79421399999999975</v>
      </c>
    </row>
    <row r="199" spans="1:7" x14ac:dyDescent="0.25">
      <c r="A199" s="36" t="s">
        <v>119</v>
      </c>
      <c r="B199" s="2">
        <v>0.48717949999999999</v>
      </c>
      <c r="C199" s="2">
        <v>7.9116900000000004E-2</v>
      </c>
      <c r="D199" s="2">
        <v>-4.43</v>
      </c>
      <c r="E199" s="2">
        <v>0</v>
      </c>
      <c r="F199" s="2">
        <f>B199-0.3543689</f>
        <v>0.1328106</v>
      </c>
      <c r="G199" s="2">
        <f>0.6697648-B199</f>
        <v>0.18258530000000006</v>
      </c>
    </row>
    <row r="200" spans="1:7" x14ac:dyDescent="0.25">
      <c r="A200" s="36" t="s">
        <v>120</v>
      </c>
      <c r="B200" s="2">
        <v>1.5448360000000001</v>
      </c>
      <c r="C200" s="2">
        <v>0.2150146</v>
      </c>
      <c r="D200" s="2">
        <v>3.12</v>
      </c>
      <c r="E200" s="2">
        <v>2E-3</v>
      </c>
      <c r="F200" s="2">
        <f>B200-1.176007</f>
        <v>0.36882900000000007</v>
      </c>
      <c r="G200" s="2">
        <f>2.029341-B200</f>
        <v>0.48450499999999996</v>
      </c>
    </row>
    <row r="201" spans="1:7" x14ac:dyDescent="0.25">
      <c r="A201" s="36" t="s">
        <v>121</v>
      </c>
      <c r="B201" s="2">
        <v>0.3162393</v>
      </c>
      <c r="C201" s="2">
        <v>5.9612499999999999E-2</v>
      </c>
      <c r="D201" s="2">
        <v>-6.11</v>
      </c>
      <c r="E201" s="2">
        <v>0</v>
      </c>
      <c r="F201" s="2">
        <f>B201-0.2185549</f>
        <v>9.7684400000000005E-2</v>
      </c>
      <c r="G201" s="2">
        <f>0.4575843-B201</f>
        <v>0.141345</v>
      </c>
    </row>
    <row r="202" spans="1:7" x14ac:dyDescent="0.25">
      <c r="A202" s="36" t="s">
        <v>122</v>
      </c>
      <c r="B202" s="2">
        <v>0.97064910000000004</v>
      </c>
      <c r="C202" s="2">
        <v>0.15097859999999999</v>
      </c>
      <c r="D202" s="2">
        <v>-0.19</v>
      </c>
      <c r="E202" s="2">
        <v>0.84799999999999998</v>
      </c>
      <c r="F202" s="2">
        <f>B202-0.7155879</f>
        <v>0.25506119999999999</v>
      </c>
      <c r="G202" s="2">
        <f>1.316623-B202</f>
        <v>0.34597390000000006</v>
      </c>
    </row>
    <row r="203" spans="1:7" x14ac:dyDescent="0.25">
      <c r="A203" s="36" t="s">
        <v>123</v>
      </c>
      <c r="B203" s="2">
        <v>1.7521370000000001</v>
      </c>
      <c r="C203" s="2">
        <v>0.2172607</v>
      </c>
      <c r="D203" s="2">
        <v>4.5199999999999996</v>
      </c>
      <c r="E203" s="2">
        <v>0</v>
      </c>
      <c r="F203" s="2">
        <f>B203-1.374109</f>
        <v>0.37802800000000003</v>
      </c>
      <c r="G203" s="2">
        <f>2.234163-B203</f>
        <v>0.48202600000000007</v>
      </c>
    </row>
    <row r="204" spans="1:7" x14ac:dyDescent="0.25">
      <c r="A204" s="36" t="s">
        <v>124</v>
      </c>
      <c r="B204" s="2">
        <v>3.1033430000000002</v>
      </c>
      <c r="C204" s="2">
        <v>0.37890190000000001</v>
      </c>
      <c r="D204" s="2">
        <v>9.2799999999999994</v>
      </c>
      <c r="E204" s="2">
        <v>0</v>
      </c>
      <c r="F204" s="2">
        <f>B204-2.442882</f>
        <v>0.66046100000000019</v>
      </c>
      <c r="G204" s="2">
        <f>3.942367-B204</f>
        <v>0.83902399999999977</v>
      </c>
    </row>
    <row r="205" spans="1:7" x14ac:dyDescent="0.25">
      <c r="A205" s="36" t="s">
        <v>153</v>
      </c>
      <c r="B205" s="2">
        <v>1</v>
      </c>
      <c r="C205" s="2"/>
      <c r="D205" s="2"/>
      <c r="E205" s="2"/>
      <c r="F205" s="2">
        <v>0</v>
      </c>
      <c r="G205" s="2">
        <v>0</v>
      </c>
    </row>
    <row r="206" spans="1:7" x14ac:dyDescent="0.25">
      <c r="A206" s="36" t="s">
        <v>125</v>
      </c>
      <c r="B206" s="2">
        <v>1.3944540000000001</v>
      </c>
      <c r="C206" s="2">
        <v>0.19827420000000001</v>
      </c>
      <c r="D206" s="2">
        <v>2.34</v>
      </c>
      <c r="E206" s="2">
        <v>1.9E-2</v>
      </c>
      <c r="F206" s="2">
        <f>B206-1.055295</f>
        <v>0.33915899999999999</v>
      </c>
      <c r="G206" s="2">
        <f>1.842614-B206</f>
        <v>0.44815999999999989</v>
      </c>
    </row>
    <row r="207" spans="1:7" x14ac:dyDescent="0.25">
      <c r="A207" s="36" t="s">
        <v>126</v>
      </c>
      <c r="B207" s="2">
        <v>1.7350429999999999</v>
      </c>
      <c r="C207" s="2">
        <v>0.205597</v>
      </c>
      <c r="D207" s="2">
        <v>4.6500000000000004</v>
      </c>
      <c r="E207" s="2">
        <v>0</v>
      </c>
      <c r="F207" s="2">
        <f>B207-1.375452</f>
        <v>0.35959099999999999</v>
      </c>
      <c r="G207" s="2">
        <f>2.188643-B207</f>
        <v>0.4536</v>
      </c>
    </row>
    <row r="208" spans="1:7" x14ac:dyDescent="0.25">
      <c r="A208" s="36" t="s">
        <v>127</v>
      </c>
      <c r="B208" s="2">
        <v>1.872943</v>
      </c>
      <c r="C208" s="2">
        <v>0.2456892</v>
      </c>
      <c r="D208" s="2">
        <v>4.78</v>
      </c>
      <c r="E208" s="2">
        <v>0</v>
      </c>
      <c r="F208" s="2">
        <f>B208-1.448323</f>
        <v>0.42462</v>
      </c>
      <c r="G208" s="2">
        <f>2.422052-B208</f>
        <v>0.54910899999999985</v>
      </c>
    </row>
    <row r="209" spans="1:7" x14ac:dyDescent="0.25">
      <c r="A209" s="36" t="s">
        <v>128</v>
      </c>
      <c r="B209" s="2">
        <v>0.23931620000000001</v>
      </c>
      <c r="C209" s="2">
        <v>5.0504500000000001E-2</v>
      </c>
      <c r="D209" s="2">
        <v>-6.78</v>
      </c>
      <c r="E209" s="2">
        <v>0</v>
      </c>
      <c r="F209" s="2">
        <f>B209-0.1582477</f>
        <v>8.1068500000000016E-2</v>
      </c>
      <c r="G209" s="2">
        <f>0.3619153-B209</f>
        <v>0.12259909999999999</v>
      </c>
    </row>
    <row r="210" spans="1:7" x14ac:dyDescent="0.25">
      <c r="A210" s="36" t="s">
        <v>129</v>
      </c>
      <c r="B210" s="2">
        <v>0.3827912</v>
      </c>
      <c r="C210" s="2">
        <v>8.2332900000000001E-2</v>
      </c>
      <c r="D210" s="2">
        <v>-4.46</v>
      </c>
      <c r="E210" s="2">
        <v>0</v>
      </c>
      <c r="F210" s="2">
        <f>B210-0.2511196</f>
        <v>0.1316716</v>
      </c>
      <c r="G210" s="2">
        <f>0.5835032-B210</f>
        <v>0.200712</v>
      </c>
    </row>
    <row r="211" spans="1:7" x14ac:dyDescent="0.25">
      <c r="A211" s="36" t="s">
        <v>130</v>
      </c>
      <c r="B211" s="2">
        <v>0.25641029999999998</v>
      </c>
      <c r="C211" s="2">
        <v>6.0423600000000001E-2</v>
      </c>
      <c r="D211" s="2">
        <v>-5.78</v>
      </c>
      <c r="E211" s="2">
        <v>0</v>
      </c>
      <c r="F211" s="2">
        <f>B211-0.1615653</f>
        <v>9.4844999999999985E-2</v>
      </c>
      <c r="G211" s="2">
        <f>0.4069328-B211</f>
        <v>0.1505225</v>
      </c>
    </row>
    <row r="212" spans="1:7" x14ac:dyDescent="0.25">
      <c r="A212" s="36" t="s">
        <v>131</v>
      </c>
      <c r="B212" s="2">
        <v>0.51950240000000003</v>
      </c>
      <c r="C212" s="2">
        <v>0.1004203</v>
      </c>
      <c r="D212" s="2">
        <v>-3.39</v>
      </c>
      <c r="E212" s="2">
        <v>1E-3</v>
      </c>
      <c r="F212" s="2">
        <f>B212-0.3556718</f>
        <v>0.16383060000000005</v>
      </c>
      <c r="G212" s="2">
        <f>0.758797-B212</f>
        <v>0.23929460000000002</v>
      </c>
    </row>
    <row r="213" spans="1:7" x14ac:dyDescent="0.25">
      <c r="A213" s="36" t="s">
        <v>132</v>
      </c>
      <c r="B213" s="2">
        <v>0.46153850000000002</v>
      </c>
      <c r="C213" s="2">
        <v>7.7158199999999996E-2</v>
      </c>
      <c r="D213" s="2">
        <v>-4.63</v>
      </c>
      <c r="E213" s="2">
        <v>0</v>
      </c>
      <c r="F213" s="2">
        <f>B213-0.3325886</f>
        <v>0.12894990000000001</v>
      </c>
      <c r="G213" s="2">
        <f>0.6404843-B213</f>
        <v>0.17894579999999999</v>
      </c>
    </row>
    <row r="214" spans="1:7" x14ac:dyDescent="0.25">
      <c r="A214" s="36" t="s">
        <v>133</v>
      </c>
      <c r="B214" s="2">
        <v>0.82026690000000002</v>
      </c>
      <c r="C214" s="2">
        <v>0.1360151</v>
      </c>
      <c r="D214" s="2">
        <v>-1.19</v>
      </c>
      <c r="E214" s="2">
        <v>0.23200000000000001</v>
      </c>
      <c r="F214" s="2">
        <f>B214-0.5926668</f>
        <v>0.22760009999999997</v>
      </c>
      <c r="G214" s="2">
        <f>1.135272-B214</f>
        <v>0.31500510000000004</v>
      </c>
    </row>
    <row r="215" spans="1:7" x14ac:dyDescent="0.25">
      <c r="A215" s="36" t="s">
        <v>134</v>
      </c>
      <c r="B215" s="2">
        <v>1.2162299999999999</v>
      </c>
      <c r="C215" s="2">
        <v>0.1552355</v>
      </c>
      <c r="D215" s="2">
        <v>1.53</v>
      </c>
      <c r="E215" s="2">
        <v>0.125</v>
      </c>
      <c r="F215" s="2">
        <f>B215-0.9470468</f>
        <v>0.26918319999999996</v>
      </c>
      <c r="G215" s="2">
        <f>1.561926-B215</f>
        <v>0.345696</v>
      </c>
    </row>
    <row r="216" spans="1:7" x14ac:dyDescent="0.25">
      <c r="A216" s="36" t="s">
        <v>135</v>
      </c>
      <c r="B216" s="2">
        <v>2.8390580000000001</v>
      </c>
      <c r="C216" s="2">
        <v>0.34802149999999998</v>
      </c>
      <c r="D216" s="2">
        <v>8.51</v>
      </c>
      <c r="E216" s="2">
        <v>0</v>
      </c>
      <c r="F216" s="2">
        <f>B216-2.232703</f>
        <v>0.6063550000000002</v>
      </c>
      <c r="G216" s="2">
        <f>3.610085-B216</f>
        <v>0.77102700000000013</v>
      </c>
    </row>
    <row r="217" spans="1:7" x14ac:dyDescent="0.25">
      <c r="A217" s="36" t="s">
        <v>136</v>
      </c>
      <c r="B217" s="2">
        <v>9.4281400000000001E-2</v>
      </c>
      <c r="C217" s="2">
        <v>3.1135599999999999E-2</v>
      </c>
      <c r="D217" s="2">
        <v>-7.15</v>
      </c>
      <c r="E217" s="2">
        <v>0</v>
      </c>
      <c r="F217" s="2">
        <f>B217-0.0493543</f>
        <v>4.4927100000000005E-2</v>
      </c>
      <c r="G217" s="2">
        <f>0.1801058-B217</f>
        <v>8.5824400000000009E-2</v>
      </c>
    </row>
    <row r="218" spans="1:7" x14ac:dyDescent="0.25">
      <c r="A218" s="36" t="s">
        <v>137</v>
      </c>
      <c r="B218" s="2">
        <v>0.13328909999999999</v>
      </c>
      <c r="C218" s="2">
        <v>4.4255799999999998E-2</v>
      </c>
      <c r="D218" s="2">
        <v>-6.07</v>
      </c>
      <c r="E218" s="2">
        <v>0</v>
      </c>
      <c r="F218" s="2">
        <f>B218-0.0695298</f>
        <v>6.3759299999999991E-2</v>
      </c>
      <c r="G218" s="2">
        <f>0.2555159-B218</f>
        <v>0.12222680000000002</v>
      </c>
    </row>
    <row r="219" spans="1:7" x14ac:dyDescent="0.25">
      <c r="A219" s="36" t="s">
        <v>138</v>
      </c>
      <c r="B219" s="2">
        <v>0.65054190000000001</v>
      </c>
      <c r="C219" s="2">
        <v>9.7628099999999995E-2</v>
      </c>
      <c r="D219" s="2">
        <v>-2.86</v>
      </c>
      <c r="E219" s="2">
        <v>4.0000000000000001E-3</v>
      </c>
      <c r="F219" s="2">
        <f>B219-0.4847678</f>
        <v>0.16577409999999998</v>
      </c>
      <c r="G219" s="2">
        <f>0.873005-B219</f>
        <v>0.22246310000000002</v>
      </c>
    </row>
    <row r="220" spans="1:7" x14ac:dyDescent="0.25">
      <c r="A220" s="36" t="s">
        <v>139</v>
      </c>
      <c r="B220" s="2">
        <v>0.99966820000000001</v>
      </c>
      <c r="C220" s="2">
        <v>0.15191979999999999</v>
      </c>
      <c r="D220" s="2">
        <v>0</v>
      </c>
      <c r="E220" s="2">
        <v>0.998</v>
      </c>
      <c r="F220" s="2">
        <f>B220-0.7421617</f>
        <v>0.25750649999999997</v>
      </c>
      <c r="G220" s="2">
        <f>1.346521-B220</f>
        <v>0.34685280000000007</v>
      </c>
    </row>
    <row r="221" spans="1:7" x14ac:dyDescent="0.25">
      <c r="A221" s="36" t="s">
        <v>140</v>
      </c>
      <c r="B221" s="2">
        <v>1.8384879999999999</v>
      </c>
      <c r="C221" s="2">
        <v>0.2333529</v>
      </c>
      <c r="D221" s="2">
        <v>4.8</v>
      </c>
      <c r="E221" s="2">
        <v>0</v>
      </c>
      <c r="F221" s="2">
        <f>B221-1.433576</f>
        <v>0.40491199999999994</v>
      </c>
      <c r="G221" s="2">
        <f>2.357767-B221</f>
        <v>0.51927900000000005</v>
      </c>
    </row>
    <row r="222" spans="1:7" x14ac:dyDescent="0.25">
      <c r="A222" s="36" t="s">
        <v>141</v>
      </c>
      <c r="B222" s="2">
        <v>2.9723470000000001</v>
      </c>
      <c r="C222" s="2">
        <v>0.3701933</v>
      </c>
      <c r="D222" s="2">
        <v>8.75</v>
      </c>
      <c r="E222" s="2">
        <v>0</v>
      </c>
      <c r="F222" s="2">
        <f>B222-2.328552</f>
        <v>0.6437949999999999</v>
      </c>
      <c r="G222" s="2">
        <f>3.794137-B222</f>
        <v>0.82179000000000002</v>
      </c>
    </row>
    <row r="223" spans="1:7" x14ac:dyDescent="0.25">
      <c r="A223" s="36" t="s">
        <v>142</v>
      </c>
      <c r="B223" s="2">
        <v>2.649308</v>
      </c>
      <c r="C223" s="2">
        <v>0.30134040000000001</v>
      </c>
      <c r="D223" s="2">
        <v>8.57</v>
      </c>
      <c r="E223" s="2">
        <v>0</v>
      </c>
      <c r="F223" s="2">
        <f>B223-2.119894</f>
        <v>0.52941400000000005</v>
      </c>
      <c r="G223" s="2">
        <f>3.310936-B223</f>
        <v>0.66162799999999988</v>
      </c>
    </row>
    <row r="224" spans="1:7" x14ac:dyDescent="0.25">
      <c r="A224" s="36" t="s">
        <v>143</v>
      </c>
      <c r="B224" s="2">
        <v>2.8257289999999999</v>
      </c>
      <c r="C224" s="2">
        <v>0.35118300000000002</v>
      </c>
      <c r="D224" s="2">
        <v>8.36</v>
      </c>
      <c r="E224" s="2">
        <v>0</v>
      </c>
      <c r="F224" s="2">
        <f>B224-2.214842</f>
        <v>0.61088699999999996</v>
      </c>
      <c r="G224" s="2">
        <f>3.605108-B224</f>
        <v>0.77937900000000004</v>
      </c>
    </row>
    <row r="225" spans="1:22" x14ac:dyDescent="0.25">
      <c r="A225" s="36" t="s">
        <v>144</v>
      </c>
      <c r="B225" s="2">
        <v>0.95224249999999999</v>
      </c>
      <c r="C225" s="2">
        <v>0.1315558</v>
      </c>
      <c r="D225" s="2">
        <v>-0.35</v>
      </c>
      <c r="E225" s="2">
        <v>0.72299999999999998</v>
      </c>
      <c r="F225" s="2">
        <f>B225-0.7263583</f>
        <v>0.22588419999999998</v>
      </c>
      <c r="G225" s="2">
        <f>1.248373-B225</f>
        <v>0.29613049999999996</v>
      </c>
    </row>
    <row r="226" spans="1:22" x14ac:dyDescent="0.25">
      <c r="A226" s="36" t="s">
        <v>145</v>
      </c>
      <c r="B226" s="2">
        <v>1.1996020000000001</v>
      </c>
      <c r="C226" s="2">
        <v>0.17458560000000001</v>
      </c>
      <c r="D226" s="2">
        <v>1.25</v>
      </c>
      <c r="E226" s="2">
        <v>0.21099999999999999</v>
      </c>
      <c r="F226" s="2">
        <f>B226-0.9018958</f>
        <v>0.29770620000000003</v>
      </c>
      <c r="G226" s="2">
        <f>1.595577-B226</f>
        <v>0.39597499999999997</v>
      </c>
    </row>
    <row r="227" spans="1:22" x14ac:dyDescent="0.25">
      <c r="A227" s="36" t="s">
        <v>146</v>
      </c>
      <c r="B227" s="2">
        <v>0.21684729999999999</v>
      </c>
      <c r="C227" s="2">
        <v>4.9545800000000001E-2</v>
      </c>
      <c r="D227" s="2">
        <v>-6.69</v>
      </c>
      <c r="E227" s="2">
        <v>0</v>
      </c>
      <c r="F227" s="2">
        <f>B227-0.13857</f>
        <v>7.8277299999999994E-2</v>
      </c>
      <c r="G227" s="2">
        <f>0.3393429-B227</f>
        <v>0.12249560000000001</v>
      </c>
    </row>
    <row r="228" spans="1:22" x14ac:dyDescent="0.25">
      <c r="A228" s="36" t="s">
        <v>147</v>
      </c>
      <c r="B228" s="2">
        <v>0.41319620000000001</v>
      </c>
      <c r="C228" s="2">
        <v>8.5063399999999997E-2</v>
      </c>
      <c r="D228" s="2">
        <v>-4.29</v>
      </c>
      <c r="E228" s="2">
        <v>0</v>
      </c>
      <c r="F228" s="2">
        <f>B228-0.2760083</f>
        <v>0.13718790000000003</v>
      </c>
      <c r="G228" s="2">
        <f>0.6185724-B228</f>
        <v>0.20537620000000001</v>
      </c>
    </row>
    <row r="229" spans="1:22" x14ac:dyDescent="0.25">
      <c r="A229" s="36" t="s">
        <v>148</v>
      </c>
      <c r="B229" s="2">
        <v>6.5997E-2</v>
      </c>
      <c r="C229" s="2">
        <v>2.5699E-2</v>
      </c>
      <c r="D229" s="2">
        <v>-6.98</v>
      </c>
      <c r="E229" s="2">
        <v>0</v>
      </c>
      <c r="F229" s="2">
        <f>B229-0.0307659</f>
        <v>3.5231100000000001E-2</v>
      </c>
      <c r="G229" s="2">
        <f>0.1415727-B229</f>
        <v>7.5575699999999996E-2</v>
      </c>
    </row>
    <row r="230" spans="1:22" x14ac:dyDescent="0.25">
      <c r="A230" s="36" t="s">
        <v>149</v>
      </c>
      <c r="B230" s="2">
        <v>6.6644499999999995E-2</v>
      </c>
      <c r="C230" s="2">
        <v>3.05665E-2</v>
      </c>
      <c r="D230" s="2">
        <v>-5.91</v>
      </c>
      <c r="E230" s="2">
        <v>0</v>
      </c>
      <c r="F230" s="2">
        <f>B230-0.0271245</f>
        <v>3.952E-2</v>
      </c>
      <c r="G230" s="2">
        <f>0.1637448-B230</f>
        <v>9.71003E-2</v>
      </c>
    </row>
    <row r="231" spans="1:22" x14ac:dyDescent="0.25">
      <c r="A231" s="36" t="s">
        <v>150</v>
      </c>
      <c r="B231" s="2">
        <v>0.25455990000000001</v>
      </c>
      <c r="C231" s="2">
        <v>5.4279000000000001E-2</v>
      </c>
      <c r="D231" s="2">
        <v>-6.42</v>
      </c>
      <c r="E231" s="2">
        <v>0</v>
      </c>
      <c r="F231" s="2">
        <f>B231-0.1676066</f>
        <v>8.6953300000000011E-2</v>
      </c>
      <c r="G231" s="2">
        <f>0.386624-B231</f>
        <v>0.13206410000000002</v>
      </c>
    </row>
    <row r="232" spans="1:22" x14ac:dyDescent="0.25">
      <c r="A232" s="36" t="s">
        <v>151</v>
      </c>
      <c r="B232" s="2">
        <v>0.34655160000000002</v>
      </c>
      <c r="C232" s="2">
        <v>7.5964599999999993E-2</v>
      </c>
      <c r="D232" s="2">
        <v>-4.83</v>
      </c>
      <c r="E232" s="2">
        <v>0</v>
      </c>
      <c r="F232" s="2">
        <f>B232-0.2255191</f>
        <v>0.12103250000000002</v>
      </c>
      <c r="G232" s="2">
        <f>0.5325403-B232</f>
        <v>0.18598869999999995</v>
      </c>
    </row>
    <row r="233" spans="1:22" x14ac:dyDescent="0.25">
      <c r="A233" s="36"/>
      <c r="B233" s="3"/>
      <c r="C233" s="3"/>
      <c r="D233" s="3"/>
      <c r="E233" s="3"/>
      <c r="F233" s="3"/>
      <c r="G233" s="3"/>
    </row>
    <row r="234" spans="1:22" x14ac:dyDescent="0.25">
      <c r="A234" s="5" t="s">
        <v>6</v>
      </c>
      <c r="B234" s="6">
        <v>9.59E-4</v>
      </c>
      <c r="C234" s="6">
        <v>1.3300000000000001E-4</v>
      </c>
      <c r="D234" s="6">
        <v>-50.1</v>
      </c>
      <c r="E234" s="6">
        <v>0</v>
      </c>
      <c r="F234" s="6">
        <v>7.3070000000000003E-4</v>
      </c>
      <c r="G234" s="6">
        <v>1.2587E-3</v>
      </c>
    </row>
    <row r="236" spans="1:22" ht="15.75" thickBot="1" x14ac:dyDescent="0.3">
      <c r="N236" s="9"/>
      <c r="O236" s="9"/>
      <c r="P236" s="9"/>
      <c r="Q236" s="9"/>
      <c r="R236" s="7"/>
      <c r="S236" s="7"/>
      <c r="U236" s="9"/>
      <c r="V236" s="9"/>
    </row>
    <row r="237" spans="1:22" x14ac:dyDescent="0.25">
      <c r="A237" s="10"/>
      <c r="B237" s="11"/>
      <c r="C237" s="11" t="s">
        <v>10</v>
      </c>
      <c r="D237" s="11" t="s">
        <v>40</v>
      </c>
      <c r="E237" s="11" t="s">
        <v>11</v>
      </c>
      <c r="F237" s="11" t="s">
        <v>7</v>
      </c>
      <c r="G237" s="11" t="s">
        <v>8</v>
      </c>
      <c r="H237" s="11" t="s">
        <v>62</v>
      </c>
      <c r="I237" s="11" t="s">
        <v>63</v>
      </c>
      <c r="J237" s="11" t="s">
        <v>64</v>
      </c>
      <c r="K237" s="12" t="s">
        <v>65</v>
      </c>
      <c r="N237" s="2">
        <v>0.33741200000000005</v>
      </c>
      <c r="O237" s="2">
        <v>0.42957699999999988</v>
      </c>
      <c r="P237" s="2">
        <v>0.37802800000000003</v>
      </c>
      <c r="Q237" s="2">
        <v>0.48202600000000007</v>
      </c>
      <c r="R237" s="2">
        <v>8.1068500000000016E-2</v>
      </c>
      <c r="S237" s="2">
        <v>0.12259909999999999</v>
      </c>
      <c r="U237" s="2"/>
      <c r="V237" s="2"/>
    </row>
    <row r="238" spans="1:22" x14ac:dyDescent="0.25">
      <c r="A238" s="24" t="s">
        <v>91</v>
      </c>
      <c r="B238" s="7" t="s">
        <v>152</v>
      </c>
      <c r="C238" s="14">
        <f>B197</f>
        <v>1.5726500000000001</v>
      </c>
      <c r="D238" s="15">
        <f>B199</f>
        <v>0.48717949999999999</v>
      </c>
      <c r="E238" s="15">
        <f>B201</f>
        <v>0.3162393</v>
      </c>
      <c r="F238" s="15">
        <f>B203</f>
        <v>1.7521370000000001</v>
      </c>
      <c r="G238" s="15">
        <f>B205</f>
        <v>1</v>
      </c>
      <c r="H238" s="15">
        <f>B207</f>
        <v>1.7350429999999999</v>
      </c>
      <c r="I238" s="16">
        <f>B209</f>
        <v>0.23931620000000001</v>
      </c>
      <c r="J238" s="16">
        <f>B211</f>
        <v>0.25641029999999998</v>
      </c>
      <c r="K238" s="17">
        <f>B213</f>
        <v>0.46153850000000002</v>
      </c>
      <c r="N238" s="2">
        <v>0.62464399999999998</v>
      </c>
      <c r="O238" s="2">
        <v>0.79421399999999975</v>
      </c>
      <c r="P238" s="2">
        <v>0.66046100000000019</v>
      </c>
      <c r="Q238" s="2">
        <v>0.83902399999999977</v>
      </c>
      <c r="R238" s="2">
        <v>0.1316716</v>
      </c>
      <c r="S238" s="2">
        <v>0.200712</v>
      </c>
      <c r="U238" s="2"/>
      <c r="V238" s="2"/>
    </row>
    <row r="239" spans="1:22" x14ac:dyDescent="0.25">
      <c r="A239" s="24"/>
      <c r="B239" s="7" t="s">
        <v>372</v>
      </c>
      <c r="C239" s="15">
        <f>B198</f>
        <v>2.9256190000000002</v>
      </c>
      <c r="D239" s="15">
        <f>B200</f>
        <v>1.5448360000000001</v>
      </c>
      <c r="E239" s="15">
        <f>B202</f>
        <v>0.97064910000000004</v>
      </c>
      <c r="F239" s="15">
        <f>B204</f>
        <v>3.1033430000000002</v>
      </c>
      <c r="G239" s="15">
        <f>B206</f>
        <v>1.3944540000000001</v>
      </c>
      <c r="H239" s="15">
        <f>B208</f>
        <v>1.872943</v>
      </c>
      <c r="I239" s="16">
        <f>B210</f>
        <v>0.3827912</v>
      </c>
      <c r="J239" s="16">
        <f>B212</f>
        <v>0.51950240000000003</v>
      </c>
      <c r="K239" s="18">
        <f>B214</f>
        <v>0.82026690000000002</v>
      </c>
      <c r="N239" s="2">
        <v>0.26918319999999996</v>
      </c>
      <c r="O239" s="2">
        <v>0.345696</v>
      </c>
      <c r="P239" s="2">
        <v>0.40491199999999994</v>
      </c>
      <c r="Q239" s="2">
        <v>0.51927900000000005</v>
      </c>
      <c r="R239" s="2">
        <v>7.8277299999999994E-2</v>
      </c>
      <c r="S239" s="2">
        <v>0.12249560000000001</v>
      </c>
      <c r="U239" s="2"/>
      <c r="V239" s="2"/>
    </row>
    <row r="240" spans="1:22" x14ac:dyDescent="0.25">
      <c r="A240" s="24" t="s">
        <v>73</v>
      </c>
      <c r="B240" s="7" t="s">
        <v>152</v>
      </c>
      <c r="C240" s="25">
        <f>B215</f>
        <v>1.2162299999999999</v>
      </c>
      <c r="D240" s="15">
        <f>B217</f>
        <v>9.4281400000000001E-2</v>
      </c>
      <c r="E240" s="15">
        <f>B219</f>
        <v>0.65054190000000001</v>
      </c>
      <c r="F240" s="25">
        <f>B221</f>
        <v>1.8384879999999999</v>
      </c>
      <c r="G240" s="25">
        <f>B223</f>
        <v>2.649308</v>
      </c>
      <c r="H240" s="15">
        <f>B225</f>
        <v>0.95224249999999999</v>
      </c>
      <c r="I240" s="16">
        <f>B227</f>
        <v>0.21684729999999999</v>
      </c>
      <c r="J240" s="16">
        <f>B229</f>
        <v>6.5997E-2</v>
      </c>
      <c r="K240" s="17">
        <f>B231</f>
        <v>0.25455990000000001</v>
      </c>
      <c r="N240" s="2">
        <v>0.6063550000000002</v>
      </c>
      <c r="O240" s="2">
        <v>0.77102700000000013</v>
      </c>
      <c r="P240" s="2">
        <v>0.6437949999999999</v>
      </c>
      <c r="Q240" s="2">
        <v>0.82179000000000002</v>
      </c>
      <c r="R240" s="2">
        <v>0.13718790000000003</v>
      </c>
      <c r="S240" s="2">
        <v>0.20537620000000001</v>
      </c>
      <c r="U240" s="2"/>
      <c r="V240" s="2"/>
    </row>
    <row r="241" spans="1:22" ht="15.75" thickBot="1" x14ac:dyDescent="0.3">
      <c r="A241" s="26"/>
      <c r="B241" s="27" t="s">
        <v>372</v>
      </c>
      <c r="C241" s="28">
        <f>B216</f>
        <v>2.8390580000000001</v>
      </c>
      <c r="D241" s="28">
        <f>B218</f>
        <v>0.13328909999999999</v>
      </c>
      <c r="E241" s="29">
        <f>B220</f>
        <v>0.99966820000000001</v>
      </c>
      <c r="F241" s="28">
        <f>B222</f>
        <v>2.9723470000000001</v>
      </c>
      <c r="G241" s="28">
        <f>B224</f>
        <v>2.8257289999999999</v>
      </c>
      <c r="H241" s="28">
        <f>B226</f>
        <v>1.1996020000000001</v>
      </c>
      <c r="I241" s="29">
        <f>B228</f>
        <v>0.41319620000000001</v>
      </c>
      <c r="J241" s="30">
        <f>B230</f>
        <v>6.6644499999999995E-2</v>
      </c>
      <c r="K241" s="31">
        <f>B232</f>
        <v>0.34655160000000002</v>
      </c>
      <c r="N241" s="2">
        <v>0.1328106</v>
      </c>
      <c r="O241" s="2">
        <v>0.18258530000000006</v>
      </c>
      <c r="P241" s="2">
        <v>0</v>
      </c>
      <c r="Q241" s="2">
        <v>0</v>
      </c>
      <c r="R241" s="2">
        <v>9.4844999999999985E-2</v>
      </c>
      <c r="S241" s="2">
        <v>0.1505225</v>
      </c>
      <c r="U241" s="2"/>
      <c r="V241" s="2"/>
    </row>
    <row r="242" spans="1:22" x14ac:dyDescent="0.25">
      <c r="N242" s="2">
        <v>0.36882900000000007</v>
      </c>
      <c r="O242" s="2">
        <v>0.48450499999999996</v>
      </c>
      <c r="P242" s="2">
        <v>0.33915899999999999</v>
      </c>
      <c r="Q242" s="2">
        <v>0.44815999999999989</v>
      </c>
      <c r="R242" s="2">
        <v>0.16383060000000005</v>
      </c>
      <c r="S242" s="2">
        <v>0.23929460000000002</v>
      </c>
      <c r="U242" s="2"/>
      <c r="V242" s="2"/>
    </row>
    <row r="243" spans="1:22" x14ac:dyDescent="0.25">
      <c r="N243" s="2">
        <v>4.4927100000000005E-2</v>
      </c>
      <c r="O243" s="2">
        <v>8.5824400000000009E-2</v>
      </c>
      <c r="P243" s="2">
        <v>0.52941400000000005</v>
      </c>
      <c r="Q243" s="2">
        <v>0.66162799999999988</v>
      </c>
      <c r="R243" s="2">
        <v>3.5231100000000001E-2</v>
      </c>
      <c r="S243" s="2">
        <v>7.5575699999999996E-2</v>
      </c>
      <c r="U243" s="2"/>
      <c r="V243" s="2"/>
    </row>
    <row r="244" spans="1:22" x14ac:dyDescent="0.25">
      <c r="N244" s="2">
        <v>6.3759299999999991E-2</v>
      </c>
      <c r="O244" s="2">
        <v>0.12222680000000002</v>
      </c>
      <c r="P244" s="2">
        <v>0.61088699999999996</v>
      </c>
      <c r="Q244" s="2">
        <v>0.77937900000000004</v>
      </c>
      <c r="R244" s="2">
        <v>3.952E-2</v>
      </c>
      <c r="S244" s="2">
        <v>9.71003E-2</v>
      </c>
      <c r="U244" s="2"/>
      <c r="V244" s="2"/>
    </row>
    <row r="245" spans="1:22" x14ac:dyDescent="0.25">
      <c r="N245" s="2">
        <v>9.7684400000000005E-2</v>
      </c>
      <c r="O245" s="2">
        <v>0.141345</v>
      </c>
      <c r="P245" s="2">
        <v>0.35959099999999999</v>
      </c>
      <c r="Q245" s="2">
        <v>0.4536</v>
      </c>
      <c r="R245" s="2">
        <v>0.12894990000000001</v>
      </c>
      <c r="S245" s="2">
        <v>0.17894579999999999</v>
      </c>
      <c r="U245" s="2"/>
      <c r="V245" s="2"/>
    </row>
    <row r="246" spans="1:22" x14ac:dyDescent="0.25">
      <c r="N246" s="2">
        <v>0.25506119999999999</v>
      </c>
      <c r="O246" s="2">
        <v>0.34597390000000006</v>
      </c>
      <c r="P246" s="2">
        <v>0.42462</v>
      </c>
      <c r="Q246" s="2">
        <v>0.54910899999999985</v>
      </c>
      <c r="R246" s="2">
        <v>0.22760009999999997</v>
      </c>
      <c r="S246" s="2">
        <v>0.31500510000000004</v>
      </c>
      <c r="U246" s="2"/>
      <c r="V246" s="2"/>
    </row>
    <row r="247" spans="1:22" x14ac:dyDescent="0.25">
      <c r="N247" s="2">
        <v>0.16577409999999998</v>
      </c>
      <c r="O247" s="2">
        <v>0.22246310000000002</v>
      </c>
      <c r="P247" s="2">
        <v>0.22588419999999998</v>
      </c>
      <c r="Q247" s="2">
        <v>0.29613049999999996</v>
      </c>
      <c r="R247" s="2">
        <v>8.6953300000000011E-2</v>
      </c>
      <c r="S247" s="2">
        <v>0.13206410000000002</v>
      </c>
      <c r="U247" s="2"/>
      <c r="V247" s="2"/>
    </row>
    <row r="248" spans="1:22" x14ac:dyDescent="0.25">
      <c r="N248" s="2">
        <v>0.25750649999999997</v>
      </c>
      <c r="O248" s="2">
        <v>0.34685280000000007</v>
      </c>
      <c r="P248" s="2">
        <v>0.29770620000000003</v>
      </c>
      <c r="Q248" s="2">
        <v>0.39597499999999997</v>
      </c>
      <c r="R248" s="2">
        <v>0.12103250000000002</v>
      </c>
      <c r="S248" s="2">
        <v>0.18598869999999995</v>
      </c>
      <c r="U248" s="2"/>
      <c r="V248" s="2"/>
    </row>
    <row r="249" spans="1:22" x14ac:dyDescent="0.25">
      <c r="N249" s="2"/>
      <c r="O249" s="2"/>
      <c r="P249" s="2"/>
      <c r="Q249" s="2"/>
      <c r="R249" s="7"/>
      <c r="S249" s="7"/>
      <c r="U249" s="2"/>
      <c r="V249" s="2"/>
    </row>
    <row r="250" spans="1:22" x14ac:dyDescent="0.25">
      <c r="N250" s="2"/>
      <c r="O250" s="2"/>
      <c r="P250" s="2"/>
      <c r="Q250" s="2"/>
      <c r="R250" s="7"/>
      <c r="S250" s="7"/>
      <c r="U250" s="2"/>
      <c r="V250" s="2"/>
    </row>
    <row r="251" spans="1:22" x14ac:dyDescent="0.25">
      <c r="N251" s="2"/>
      <c r="O251" s="2"/>
      <c r="P251" s="2"/>
      <c r="Q251" s="2"/>
      <c r="R251" s="7"/>
      <c r="S251" s="9"/>
      <c r="U251" s="2"/>
      <c r="V251" s="2"/>
    </row>
    <row r="252" spans="1:22" x14ac:dyDescent="0.25">
      <c r="N252" s="2"/>
      <c r="O252" s="2"/>
      <c r="P252" s="2"/>
      <c r="Q252" s="2"/>
      <c r="R252" s="7"/>
      <c r="S252" s="7"/>
      <c r="U252" s="2"/>
      <c r="V252" s="2"/>
    </row>
    <row r="253" spans="1:22" x14ac:dyDescent="0.25">
      <c r="N253" s="2"/>
      <c r="O253" s="2"/>
      <c r="Q253" s="9"/>
      <c r="R253" s="7"/>
      <c r="S253" s="7"/>
      <c r="U253" s="2"/>
      <c r="V253" s="2"/>
    </row>
    <row r="254" spans="1:22" x14ac:dyDescent="0.25">
      <c r="N254" s="2"/>
      <c r="O254" s="2"/>
      <c r="Q254" s="9"/>
      <c r="R254" s="7"/>
      <c r="S254" s="7"/>
      <c r="U254" s="2"/>
      <c r="V254" s="2"/>
    </row>
    <row r="255" spans="1:22" x14ac:dyDescent="0.25">
      <c r="N255" s="2"/>
      <c r="O255" s="2"/>
      <c r="P255" s="9"/>
      <c r="Q255" s="9"/>
      <c r="R255" s="7"/>
      <c r="S255" s="9"/>
      <c r="U255" s="9"/>
      <c r="V255" s="9"/>
    </row>
    <row r="256" spans="1:22" x14ac:dyDescent="0.25">
      <c r="N256" s="2"/>
      <c r="O256" s="2"/>
      <c r="P256" s="7"/>
      <c r="Q256" s="7"/>
      <c r="U256" s="7"/>
      <c r="V256" s="7"/>
    </row>
    <row r="257" spans="1:22" x14ac:dyDescent="0.25">
      <c r="N257" s="2"/>
      <c r="O257" s="2"/>
      <c r="P257" s="7"/>
      <c r="Q257" s="9"/>
      <c r="U257" s="7"/>
      <c r="V257" s="9"/>
    </row>
    <row r="258" spans="1:22" x14ac:dyDescent="0.25">
      <c r="N258" s="2"/>
      <c r="O258" s="2"/>
      <c r="P258" s="9"/>
      <c r="Q258" s="9"/>
      <c r="U258" s="7"/>
      <c r="V258" s="9"/>
    </row>
    <row r="259" spans="1:22" x14ac:dyDescent="0.25">
      <c r="N259" s="9"/>
      <c r="O259" s="9"/>
      <c r="P259" s="7"/>
      <c r="Q259" s="9"/>
      <c r="U259" s="7"/>
      <c r="V259" s="9"/>
    </row>
    <row r="260" spans="1:22" s="1" customFormat="1" x14ac:dyDescent="0.25">
      <c r="A260" s="1" t="s">
        <v>99</v>
      </c>
      <c r="N260" s="32"/>
      <c r="O260" s="32"/>
      <c r="P260" s="33"/>
      <c r="Q260" s="33"/>
      <c r="U260" s="33"/>
      <c r="V260" s="33"/>
    </row>
    <row r="261" spans="1:22" x14ac:dyDescent="0.25">
      <c r="N261" s="9"/>
      <c r="O261" s="9"/>
      <c r="P261" s="7"/>
      <c r="Q261" s="7"/>
      <c r="U261" s="7"/>
      <c r="V261" s="7"/>
    </row>
    <row r="262" spans="1:22" x14ac:dyDescent="0.25">
      <c r="A262" s="36"/>
      <c r="B262" s="2" t="s">
        <v>1</v>
      </c>
      <c r="C262" s="3"/>
      <c r="D262" s="3"/>
      <c r="E262" s="3"/>
      <c r="F262" s="3"/>
      <c r="G262" s="3"/>
      <c r="N262" s="9"/>
      <c r="O262" s="9"/>
      <c r="P262" s="7"/>
      <c r="Q262" s="7"/>
      <c r="U262" s="7"/>
      <c r="V262" s="7"/>
    </row>
    <row r="263" spans="1:22" x14ac:dyDescent="0.25">
      <c r="A263" s="5" t="s">
        <v>2</v>
      </c>
      <c r="B263" s="6" t="s">
        <v>269</v>
      </c>
      <c r="C263" s="6" t="s">
        <v>270</v>
      </c>
      <c r="D263" s="6" t="s">
        <v>3</v>
      </c>
      <c r="E263" s="6" t="s">
        <v>4</v>
      </c>
      <c r="F263" s="6" t="s">
        <v>271</v>
      </c>
      <c r="G263" s="6" t="s">
        <v>272</v>
      </c>
      <c r="N263" s="9"/>
      <c r="O263" s="9"/>
      <c r="P263" s="7"/>
      <c r="Q263" s="9"/>
      <c r="U263" s="23"/>
      <c r="V263" s="23"/>
    </row>
    <row r="264" spans="1:22" x14ac:dyDescent="0.25">
      <c r="A264" s="36"/>
      <c r="B264" s="2"/>
      <c r="C264" s="2"/>
      <c r="D264" s="3"/>
      <c r="E264" s="3"/>
      <c r="F264" s="3"/>
      <c r="G264" s="3"/>
      <c r="N264" s="7"/>
      <c r="O264" s="7"/>
      <c r="U264" s="7"/>
      <c r="V264" s="7"/>
    </row>
    <row r="265" spans="1:22" x14ac:dyDescent="0.25">
      <c r="A265" s="36" t="s">
        <v>72</v>
      </c>
      <c r="B265" s="3"/>
      <c r="C265" s="3"/>
      <c r="D265" s="3"/>
      <c r="E265" s="3"/>
      <c r="F265" s="3"/>
      <c r="G265" s="3"/>
      <c r="N265" s="7"/>
      <c r="O265" s="7"/>
      <c r="U265" s="7"/>
      <c r="V265" s="7"/>
    </row>
    <row r="266" spans="1:22" x14ac:dyDescent="0.25">
      <c r="A266" s="36" t="s">
        <v>73</v>
      </c>
      <c r="B266" s="2">
        <v>0.95446629999999999</v>
      </c>
      <c r="C266" s="2">
        <v>3.1499600000000003E-2</v>
      </c>
      <c r="D266" s="2">
        <v>-1.41</v>
      </c>
      <c r="E266" s="2">
        <v>0.158</v>
      </c>
      <c r="F266" s="2">
        <v>0.89468259999999999</v>
      </c>
      <c r="G266" s="2">
        <v>1.0182450000000001</v>
      </c>
      <c r="N266" s="7"/>
      <c r="O266" s="9"/>
      <c r="U266" s="7"/>
      <c r="V266" s="7"/>
    </row>
    <row r="267" spans="1:22" x14ac:dyDescent="0.25">
      <c r="A267" s="36"/>
      <c r="B267" s="3"/>
      <c r="C267" s="3"/>
      <c r="D267" s="3"/>
      <c r="E267" s="3"/>
      <c r="F267" s="3"/>
      <c r="G267" s="3"/>
      <c r="N267" s="7"/>
      <c r="O267" s="9"/>
      <c r="U267" s="7"/>
      <c r="V267" s="9"/>
    </row>
    <row r="268" spans="1:22" x14ac:dyDescent="0.25">
      <c r="A268" s="36" t="s">
        <v>113</v>
      </c>
      <c r="B268" s="3"/>
      <c r="C268" s="3"/>
      <c r="D268" s="3"/>
      <c r="E268" s="3"/>
      <c r="F268" s="3"/>
      <c r="G268" s="3"/>
      <c r="N268" s="7"/>
      <c r="O268" s="7"/>
    </row>
    <row r="269" spans="1:22" x14ac:dyDescent="0.25">
      <c r="A269" s="36">
        <v>2</v>
      </c>
      <c r="B269" s="2">
        <v>1.150531</v>
      </c>
      <c r="C269" s="2">
        <v>9.7513100000000005E-2</v>
      </c>
      <c r="D269" s="2">
        <v>1.65</v>
      </c>
      <c r="E269" s="2">
        <v>9.8000000000000004E-2</v>
      </c>
      <c r="F269" s="2">
        <v>0.97443939999999996</v>
      </c>
      <c r="G269" s="2">
        <v>1.358444</v>
      </c>
      <c r="N269" s="7"/>
      <c r="O269" s="9"/>
    </row>
    <row r="270" spans="1:22" x14ac:dyDescent="0.25">
      <c r="A270" s="36">
        <v>3</v>
      </c>
      <c r="B270" s="2">
        <v>0.70942170000000004</v>
      </c>
      <c r="C270" s="2">
        <v>6.18241E-2</v>
      </c>
      <c r="D270" s="2">
        <v>-3.94</v>
      </c>
      <c r="E270" s="2">
        <v>0</v>
      </c>
      <c r="F270" s="2">
        <v>0.59803240000000002</v>
      </c>
      <c r="G270" s="2">
        <v>0.84155840000000004</v>
      </c>
      <c r="N270" s="9"/>
      <c r="O270" s="9"/>
    </row>
    <row r="271" spans="1:22" x14ac:dyDescent="0.25">
      <c r="A271" s="36"/>
      <c r="B271" s="3"/>
      <c r="C271" s="3"/>
      <c r="D271" s="3"/>
      <c r="E271" s="3"/>
      <c r="F271" s="3"/>
      <c r="G271" s="3"/>
      <c r="N271" s="7"/>
      <c r="O271" s="9"/>
    </row>
    <row r="272" spans="1:22" x14ac:dyDescent="0.25">
      <c r="A272" s="36" t="s">
        <v>108</v>
      </c>
      <c r="B272" s="3"/>
      <c r="C272" s="3"/>
      <c r="D272" s="3"/>
      <c r="E272" s="3"/>
      <c r="F272" s="3"/>
      <c r="G272" s="3"/>
      <c r="N272" s="7"/>
      <c r="O272" s="7"/>
    </row>
    <row r="273" spans="1:15" x14ac:dyDescent="0.25">
      <c r="A273" s="36">
        <v>2</v>
      </c>
      <c r="B273" s="2">
        <v>1.0077020000000001</v>
      </c>
      <c r="C273" s="2">
        <v>4.9108100000000002E-2</v>
      </c>
      <c r="D273" s="2">
        <v>0.16</v>
      </c>
      <c r="E273" s="2">
        <v>0.875</v>
      </c>
      <c r="F273" s="2">
        <v>0.91590559999999999</v>
      </c>
      <c r="G273" s="2">
        <v>1.108698</v>
      </c>
      <c r="N273" s="7"/>
      <c r="O273" s="7"/>
    </row>
    <row r="274" spans="1:15" x14ac:dyDescent="0.25">
      <c r="A274" s="36" t="s">
        <v>109</v>
      </c>
      <c r="B274" s="2">
        <v>1.1710579999999999</v>
      </c>
      <c r="C274" s="2">
        <v>0.1159719</v>
      </c>
      <c r="D274" s="2">
        <v>1.59</v>
      </c>
      <c r="E274" s="2">
        <v>0.111</v>
      </c>
      <c r="F274" s="2">
        <v>0.96445639999999999</v>
      </c>
      <c r="G274" s="2">
        <v>1.421918</v>
      </c>
      <c r="N274" s="7"/>
      <c r="O274" s="7"/>
    </row>
    <row r="275" spans="1:15" x14ac:dyDescent="0.25">
      <c r="A275" s="36"/>
      <c r="B275" s="3"/>
      <c r="C275" s="3"/>
      <c r="D275" s="3"/>
      <c r="E275" s="3"/>
      <c r="F275" s="3"/>
      <c r="G275" s="3"/>
      <c r="N275" s="7"/>
      <c r="O275" s="9"/>
    </row>
    <row r="276" spans="1:15" x14ac:dyDescent="0.25">
      <c r="A276" s="36" t="s">
        <v>85</v>
      </c>
      <c r="B276" s="3"/>
      <c r="C276" s="3"/>
      <c r="D276" s="3"/>
      <c r="E276" s="3"/>
      <c r="F276" s="3"/>
      <c r="G276" s="3"/>
    </row>
    <row r="277" spans="1:15" x14ac:dyDescent="0.25">
      <c r="A277" s="38" t="s">
        <v>315</v>
      </c>
      <c r="B277" s="2">
        <v>1.507798</v>
      </c>
      <c r="C277" s="2">
        <v>7.7846799999999994E-2</v>
      </c>
      <c r="D277" s="2">
        <v>7.95</v>
      </c>
      <c r="E277" s="2">
        <v>0</v>
      </c>
      <c r="F277" s="2">
        <v>1.362687</v>
      </c>
      <c r="G277" s="2">
        <v>1.6683619999999999</v>
      </c>
    </row>
    <row r="278" spans="1:15" x14ac:dyDescent="0.25">
      <c r="A278" s="38" t="s">
        <v>316</v>
      </c>
      <c r="B278" s="2">
        <v>1.006173</v>
      </c>
      <c r="C278" s="2">
        <v>6.3000399999999998E-2</v>
      </c>
      <c r="D278" s="2">
        <v>0.1</v>
      </c>
      <c r="E278" s="2">
        <v>0.92200000000000004</v>
      </c>
      <c r="F278" s="2">
        <v>0.88997079999999995</v>
      </c>
      <c r="G278" s="2">
        <v>1.137548</v>
      </c>
    </row>
    <row r="279" spans="1:15" x14ac:dyDescent="0.25">
      <c r="A279" s="38" t="s">
        <v>317</v>
      </c>
      <c r="B279" s="2">
        <v>0.86973959999999995</v>
      </c>
      <c r="C279" s="2">
        <v>5.4634599999999998E-2</v>
      </c>
      <c r="D279" s="2">
        <v>-2.2200000000000002</v>
      </c>
      <c r="E279" s="2">
        <v>2.5999999999999999E-2</v>
      </c>
      <c r="F279" s="2">
        <v>0.76898730000000004</v>
      </c>
      <c r="G279" s="2">
        <v>0.98369240000000002</v>
      </c>
    </row>
    <row r="280" spans="1:15" x14ac:dyDescent="0.25">
      <c r="A280" s="38" t="s">
        <v>82</v>
      </c>
      <c r="B280" s="2">
        <v>1.487287</v>
      </c>
      <c r="C280" s="2">
        <v>9.3960000000000002E-2</v>
      </c>
      <c r="D280" s="2">
        <v>6.28</v>
      </c>
      <c r="E280" s="2">
        <v>0</v>
      </c>
      <c r="F280" s="2">
        <v>1.314073</v>
      </c>
      <c r="G280" s="2">
        <v>1.6833320000000001</v>
      </c>
    </row>
    <row r="281" spans="1:15" x14ac:dyDescent="0.25">
      <c r="A281" s="36"/>
      <c r="B281" s="3"/>
      <c r="C281" s="3"/>
      <c r="D281" s="3"/>
      <c r="E281" s="3"/>
      <c r="F281" s="3"/>
      <c r="G281" s="3"/>
    </row>
    <row r="282" spans="1:15" x14ac:dyDescent="0.25">
      <c r="A282" s="36" t="s">
        <v>102</v>
      </c>
      <c r="B282" s="3"/>
      <c r="C282" s="3"/>
      <c r="D282" s="3"/>
      <c r="E282" s="3"/>
      <c r="F282" s="3"/>
      <c r="G282" s="3"/>
    </row>
    <row r="283" spans="1:15" x14ac:dyDescent="0.25">
      <c r="A283" s="36" t="s">
        <v>154</v>
      </c>
      <c r="B283" s="2">
        <v>0.8851675</v>
      </c>
      <c r="C283" s="2">
        <v>9.2701400000000003E-2</v>
      </c>
      <c r="D283" s="2">
        <v>-1.1599999999999999</v>
      </c>
      <c r="E283" s="2">
        <v>0.24399999999999999</v>
      </c>
      <c r="F283" s="2">
        <f>B283-0.7209103</f>
        <v>0.16425719999999999</v>
      </c>
      <c r="G283" s="2">
        <f>1.08685-B283</f>
        <v>0.2016825000000001</v>
      </c>
    </row>
    <row r="284" spans="1:15" x14ac:dyDescent="0.25">
      <c r="A284" s="36" t="s">
        <v>155</v>
      </c>
      <c r="B284" s="2">
        <v>1.5406740000000001</v>
      </c>
      <c r="C284" s="2">
        <v>0.14560119999999999</v>
      </c>
      <c r="D284" s="2">
        <v>4.57</v>
      </c>
      <c r="E284" s="2">
        <v>0</v>
      </c>
      <c r="F284" s="2">
        <f>B284-1.280171</f>
        <v>0.26050300000000015</v>
      </c>
      <c r="G284" s="2">
        <f>1.854186-B284</f>
        <v>0.31351199999999979</v>
      </c>
    </row>
    <row r="285" spans="1:15" x14ac:dyDescent="0.25">
      <c r="A285" s="36" t="s">
        <v>156</v>
      </c>
      <c r="B285" s="2">
        <v>0.18660289999999999</v>
      </c>
      <c r="C285" s="2">
        <v>3.2827599999999998E-2</v>
      </c>
      <c r="D285" s="2">
        <v>-9.5399999999999991</v>
      </c>
      <c r="E285" s="2">
        <v>0</v>
      </c>
      <c r="F285" s="2">
        <f>B285-0.1321822</f>
        <v>5.4420699999999989E-2</v>
      </c>
      <c r="G285" s="2">
        <f>0.263429-B285</f>
        <v>7.6826100000000036E-2</v>
      </c>
    </row>
    <row r="286" spans="1:15" x14ac:dyDescent="0.25">
      <c r="A286" s="36" t="s">
        <v>157</v>
      </c>
      <c r="B286" s="2">
        <v>0.4690878</v>
      </c>
      <c r="C286" s="2">
        <v>5.8607399999999997E-2</v>
      </c>
      <c r="D286" s="2">
        <v>-6.06</v>
      </c>
      <c r="E286" s="2">
        <v>0</v>
      </c>
      <c r="F286" s="2">
        <f>B286-0.3672026</f>
        <v>0.10188520000000001</v>
      </c>
      <c r="G286" s="2">
        <f>0.5992423-B286</f>
        <v>0.13015450000000001</v>
      </c>
    </row>
    <row r="287" spans="1:15" x14ac:dyDescent="0.25">
      <c r="A287" s="36" t="s">
        <v>158</v>
      </c>
      <c r="B287" s="2">
        <v>0.24880379999999999</v>
      </c>
      <c r="C287" s="2">
        <v>3.9361300000000002E-2</v>
      </c>
      <c r="D287" s="2">
        <v>-8.7899999999999991</v>
      </c>
      <c r="E287" s="2">
        <v>0</v>
      </c>
      <c r="F287" s="2">
        <f>B287-0.1824716</f>
        <v>6.633219999999998E-2</v>
      </c>
      <c r="G287" s="2">
        <f>0.3392492-B287</f>
        <v>9.0445399999999981E-2</v>
      </c>
    </row>
    <row r="288" spans="1:15" x14ac:dyDescent="0.25">
      <c r="A288" s="36" t="s">
        <v>159</v>
      </c>
      <c r="B288" s="2">
        <v>0.51212340000000001</v>
      </c>
      <c r="C288" s="2">
        <v>6.1419799999999997E-2</v>
      </c>
      <c r="D288" s="2">
        <v>-5.58</v>
      </c>
      <c r="E288" s="2">
        <v>0</v>
      </c>
      <c r="F288" s="2">
        <f>B288-0.4048449</f>
        <v>0.1072785</v>
      </c>
      <c r="G288" s="2">
        <f>0.6478293-B288</f>
        <v>0.13570590000000005</v>
      </c>
    </row>
    <row r="289" spans="1:7" x14ac:dyDescent="0.25">
      <c r="A289" s="36" t="s">
        <v>160</v>
      </c>
      <c r="B289" s="2">
        <v>1.311005</v>
      </c>
      <c r="C289" s="2">
        <v>0.1328598</v>
      </c>
      <c r="D289" s="2">
        <v>2.67</v>
      </c>
      <c r="E289" s="2">
        <v>8.0000000000000002E-3</v>
      </c>
      <c r="F289" s="2">
        <f>B289-1.074835</f>
        <v>0.23616999999999999</v>
      </c>
      <c r="G289" s="2">
        <f>1.599067-B289</f>
        <v>0.28806200000000004</v>
      </c>
    </row>
    <row r="290" spans="1:7" x14ac:dyDescent="0.25">
      <c r="A290" s="36" t="s">
        <v>161</v>
      </c>
      <c r="B290" s="2">
        <v>1.7601549999999999</v>
      </c>
      <c r="C290" s="2">
        <v>0.16408880000000001</v>
      </c>
      <c r="D290" s="2">
        <v>6.06</v>
      </c>
      <c r="E290" s="2">
        <v>0</v>
      </c>
      <c r="F290" s="2">
        <f>B290-1.466218</f>
        <v>0.29393699999999989</v>
      </c>
      <c r="G290" s="2">
        <f>2.113019-B290</f>
        <v>0.35286400000000007</v>
      </c>
    </row>
    <row r="291" spans="1:7" x14ac:dyDescent="0.25">
      <c r="A291" s="36" t="s">
        <v>189</v>
      </c>
      <c r="B291" s="2">
        <v>1</v>
      </c>
      <c r="C291" s="2"/>
      <c r="D291" s="2"/>
      <c r="E291" s="2"/>
      <c r="F291" s="2">
        <v>0</v>
      </c>
      <c r="G291" s="2">
        <v>0</v>
      </c>
    </row>
    <row r="292" spans="1:7" x14ac:dyDescent="0.25">
      <c r="A292" s="36" t="s">
        <v>162</v>
      </c>
      <c r="B292" s="2">
        <v>1.0758890000000001</v>
      </c>
      <c r="C292" s="2">
        <v>0.1085409</v>
      </c>
      <c r="D292" s="2">
        <v>0.73</v>
      </c>
      <c r="E292" s="2">
        <v>0.46800000000000003</v>
      </c>
      <c r="F292" s="2">
        <f>B292-0.882865</f>
        <v>0.19302400000000008</v>
      </c>
      <c r="G292" s="2">
        <f>1.311116-B292</f>
        <v>0.23522699999999985</v>
      </c>
    </row>
    <row r="293" spans="1:7" x14ac:dyDescent="0.25">
      <c r="A293" s="36" t="s">
        <v>163</v>
      </c>
      <c r="B293" s="2">
        <v>0.70813400000000004</v>
      </c>
      <c r="C293" s="2">
        <v>7.7853699999999998E-2</v>
      </c>
      <c r="D293" s="2">
        <v>-3.14</v>
      </c>
      <c r="E293" s="2">
        <v>2E-3</v>
      </c>
      <c r="F293" s="2">
        <f>B293-0.5708639</f>
        <v>0.13727010000000006</v>
      </c>
      <c r="G293" s="2">
        <f>0.878412-B293</f>
        <v>0.17027799999999993</v>
      </c>
    </row>
    <row r="294" spans="1:7" x14ac:dyDescent="0.25">
      <c r="A294" s="36" t="s">
        <v>164</v>
      </c>
      <c r="B294" s="2">
        <v>0.83489020000000003</v>
      </c>
      <c r="C294" s="2">
        <v>8.8185200000000005E-2</v>
      </c>
      <c r="D294" s="2">
        <v>-1.71</v>
      </c>
      <c r="E294" s="2">
        <v>8.7999999999999995E-2</v>
      </c>
      <c r="F294" s="2">
        <f>B294-0.6787678</f>
        <v>0.15612239999999999</v>
      </c>
      <c r="G294" s="2">
        <f>1.026922-B294</f>
        <v>0.19203179999999986</v>
      </c>
    </row>
    <row r="295" spans="1:7" x14ac:dyDescent="0.25">
      <c r="A295" s="36" t="s">
        <v>165</v>
      </c>
      <c r="B295" s="2">
        <v>0.1674641</v>
      </c>
      <c r="C295" s="2">
        <v>3.1046600000000001E-2</v>
      </c>
      <c r="D295" s="2">
        <v>-9.64</v>
      </c>
      <c r="E295" s="2">
        <v>0</v>
      </c>
      <c r="F295" s="2">
        <f>B295-0.1164435</f>
        <v>5.1020599999999999E-2</v>
      </c>
      <c r="G295" s="2">
        <f>0.2408398-B295</f>
        <v>7.3375699999999988E-2</v>
      </c>
    </row>
    <row r="296" spans="1:7" x14ac:dyDescent="0.25">
      <c r="A296" s="36" t="s">
        <v>166</v>
      </c>
      <c r="B296" s="2">
        <v>0.22378500000000001</v>
      </c>
      <c r="C296" s="2">
        <v>3.5735500000000003E-2</v>
      </c>
      <c r="D296" s="2">
        <v>-9.3800000000000008</v>
      </c>
      <c r="E296" s="2">
        <v>0</v>
      </c>
      <c r="F296" s="2">
        <f>B296-0.163646</f>
        <v>6.0138999999999998E-2</v>
      </c>
      <c r="G296" s="2">
        <f>0.3060247-B296</f>
        <v>8.2239699999999971E-2</v>
      </c>
    </row>
    <row r="297" spans="1:7" x14ac:dyDescent="0.25">
      <c r="A297" s="36" t="s">
        <v>167</v>
      </c>
      <c r="B297" s="2">
        <v>9.0909100000000007E-2</v>
      </c>
      <c r="C297" s="2">
        <v>2.4906299999999999E-2</v>
      </c>
      <c r="D297" s="2">
        <v>-8.75</v>
      </c>
      <c r="E297" s="2">
        <v>0</v>
      </c>
      <c r="F297" s="2">
        <f>B297-0.0531378</f>
        <v>3.7771300000000008E-2</v>
      </c>
      <c r="G297" s="2">
        <f>0.1555288-B297</f>
        <v>6.4619699999999988E-2</v>
      </c>
    </row>
    <row r="298" spans="1:7" x14ac:dyDescent="0.25">
      <c r="A298" s="36" t="s">
        <v>168</v>
      </c>
      <c r="B298" s="2">
        <v>0.16353519999999999</v>
      </c>
      <c r="C298" s="2">
        <v>2.9935199999999999E-2</v>
      </c>
      <c r="D298" s="2">
        <v>-9.89</v>
      </c>
      <c r="E298" s="2">
        <v>0</v>
      </c>
      <c r="F298" s="2">
        <f>B298-0.1142348</f>
        <v>4.9300399999999994E-2</v>
      </c>
      <c r="G298" s="2">
        <f>0.2341122-B298</f>
        <v>7.0577000000000001E-2</v>
      </c>
    </row>
    <row r="299" spans="1:7" x14ac:dyDescent="0.25">
      <c r="A299" s="36" t="s">
        <v>169</v>
      </c>
      <c r="B299" s="2">
        <v>0.22009570000000001</v>
      </c>
      <c r="C299" s="2">
        <v>3.6523100000000003E-2</v>
      </c>
      <c r="D299" s="2">
        <v>-9.1199999999999992</v>
      </c>
      <c r="E299" s="2">
        <v>0</v>
      </c>
      <c r="F299" s="2">
        <f>B299-0.1589869</f>
        <v>6.1108800000000019E-2</v>
      </c>
      <c r="G299" s="2">
        <f>0.3046924-B299</f>
        <v>8.4596699999999969E-2</v>
      </c>
    </row>
    <row r="300" spans="1:7" x14ac:dyDescent="0.25">
      <c r="A300" s="36" t="s">
        <v>170</v>
      </c>
      <c r="B300" s="2">
        <v>0.30985620000000003</v>
      </c>
      <c r="C300" s="2">
        <v>4.4033500000000003E-2</v>
      </c>
      <c r="D300" s="2">
        <v>-8.24</v>
      </c>
      <c r="E300" s="2">
        <v>0</v>
      </c>
      <c r="F300" s="2">
        <f>B300-0.2345289</f>
        <v>7.5327300000000014E-2</v>
      </c>
      <c r="G300" s="2">
        <f>0.4093775-B300</f>
        <v>9.9521299999999979E-2</v>
      </c>
    </row>
    <row r="301" spans="1:7" x14ac:dyDescent="0.25">
      <c r="A301" s="36" t="s">
        <v>171</v>
      </c>
      <c r="B301" s="2">
        <v>0.32962970000000003</v>
      </c>
      <c r="C301" s="2">
        <v>3.8286199999999999E-2</v>
      </c>
      <c r="D301" s="2">
        <v>-9.5500000000000007</v>
      </c>
      <c r="E301" s="2">
        <v>0</v>
      </c>
      <c r="F301" s="2">
        <f>B301-0.2625186</f>
        <v>6.7111100000000035E-2</v>
      </c>
      <c r="G301" s="2">
        <f>0.4138974-B301</f>
        <v>8.4267700000000001E-2</v>
      </c>
    </row>
    <row r="302" spans="1:7" x14ac:dyDescent="0.25">
      <c r="A302" s="36" t="s">
        <v>172</v>
      </c>
      <c r="B302" s="2">
        <v>1.9158189999999999</v>
      </c>
      <c r="C302" s="2">
        <v>0.27328069999999999</v>
      </c>
      <c r="D302" s="2">
        <v>4.5599999999999996</v>
      </c>
      <c r="E302" s="2">
        <v>0</v>
      </c>
      <c r="F302" s="2">
        <f>B302-1.448557</f>
        <v>0.46726199999999984</v>
      </c>
      <c r="G302" s="2">
        <f>2.533807-B302</f>
        <v>0.61798799999999998</v>
      </c>
    </row>
    <row r="303" spans="1:7" x14ac:dyDescent="0.25">
      <c r="A303" s="36" t="s">
        <v>173</v>
      </c>
      <c r="B303" s="2">
        <v>7.2106500000000004E-2</v>
      </c>
      <c r="C303" s="2">
        <v>1.46281E-2</v>
      </c>
      <c r="D303" s="2">
        <v>-12.96</v>
      </c>
      <c r="E303" s="2">
        <v>0</v>
      </c>
      <c r="F303" s="2">
        <f>B303-0.0484499</f>
        <v>2.3656600000000007E-2</v>
      </c>
      <c r="G303" s="2">
        <f>0.1073139-B303</f>
        <v>3.52074E-2</v>
      </c>
    </row>
    <row r="304" spans="1:7" x14ac:dyDescent="0.25">
      <c r="A304" s="36" t="s">
        <v>174</v>
      </c>
      <c r="B304" s="2">
        <v>0.38871689999999998</v>
      </c>
      <c r="C304" s="2">
        <v>0.1069325</v>
      </c>
      <c r="D304" s="2">
        <v>-3.43</v>
      </c>
      <c r="E304" s="2">
        <v>1E-3</v>
      </c>
      <c r="F304" s="2">
        <f>B304-0.2267127</f>
        <v>0.16200419999999999</v>
      </c>
      <c r="G304" s="2">
        <f>0.6664862-B304</f>
        <v>0.27776930000000005</v>
      </c>
    </row>
    <row r="305" spans="1:7" x14ac:dyDescent="0.25">
      <c r="A305" s="36" t="s">
        <v>175</v>
      </c>
      <c r="B305" s="2">
        <v>0.13906250000000001</v>
      </c>
      <c r="C305" s="2">
        <v>2.11427E-2</v>
      </c>
      <c r="D305" s="2">
        <v>-12.98</v>
      </c>
      <c r="E305" s="2">
        <v>0</v>
      </c>
      <c r="F305" s="2">
        <f>B305-0.1032276</f>
        <v>3.5834900000000003E-2</v>
      </c>
      <c r="G305" s="2">
        <f>0.1873374-B305</f>
        <v>4.8274899999999982E-2</v>
      </c>
    </row>
    <row r="306" spans="1:7" x14ac:dyDescent="0.25">
      <c r="A306" s="36" t="s">
        <v>176</v>
      </c>
      <c r="B306" s="2">
        <v>0.74966840000000001</v>
      </c>
      <c r="C306" s="2">
        <v>0.15388060000000001</v>
      </c>
      <c r="D306" s="2">
        <v>-1.4</v>
      </c>
      <c r="E306" s="2">
        <v>0.16</v>
      </c>
      <c r="F306" s="2">
        <f>B306-0.5013574</f>
        <v>0.24831100000000006</v>
      </c>
      <c r="G306" s="2">
        <f>1.120962-B306</f>
        <v>0.3712936</v>
      </c>
    </row>
    <row r="307" spans="1:7" x14ac:dyDescent="0.25">
      <c r="A307" s="36" t="s">
        <v>177</v>
      </c>
      <c r="B307" s="2">
        <v>0.32447930000000003</v>
      </c>
      <c r="C307" s="2">
        <v>4.0200100000000002E-2</v>
      </c>
      <c r="D307" s="2">
        <v>-9.08</v>
      </c>
      <c r="E307" s="2">
        <v>0</v>
      </c>
      <c r="F307" s="2">
        <f>B307-0.2545252</f>
        <v>6.9954100000000019E-2</v>
      </c>
      <c r="G307" s="2">
        <f>0.4136596-B307</f>
        <v>8.918029999999999E-2</v>
      </c>
    </row>
    <row r="308" spans="1:7" x14ac:dyDescent="0.25">
      <c r="A308" s="36" t="s">
        <v>178</v>
      </c>
      <c r="B308" s="2">
        <v>1.138385</v>
      </c>
      <c r="C308" s="2">
        <v>0.21080099999999999</v>
      </c>
      <c r="D308" s="2">
        <v>0.7</v>
      </c>
      <c r="E308" s="2">
        <v>0.48399999999999999</v>
      </c>
      <c r="F308" s="2">
        <f>B308-0.7918952</f>
        <v>0.34648979999999996</v>
      </c>
      <c r="G308" s="2">
        <f>1.636481-B308</f>
        <v>0.49809600000000009</v>
      </c>
    </row>
    <row r="309" spans="1:7" x14ac:dyDescent="0.25">
      <c r="A309" s="36" t="s">
        <v>179</v>
      </c>
      <c r="B309" s="2">
        <v>0.48671890000000001</v>
      </c>
      <c r="C309" s="2">
        <v>5.0902799999999998E-2</v>
      </c>
      <c r="D309" s="2">
        <v>-6.89</v>
      </c>
      <c r="E309" s="2">
        <v>0</v>
      </c>
      <c r="F309" s="2">
        <f>B309-0.3965122</f>
        <v>9.0206700000000029E-2</v>
      </c>
      <c r="G309" s="2">
        <f>0.5974477-B309</f>
        <v>0.11072880000000002</v>
      </c>
    </row>
    <row r="310" spans="1:7" x14ac:dyDescent="0.25">
      <c r="A310" s="36" t="s">
        <v>180</v>
      </c>
      <c r="B310" s="2">
        <v>1.7769919999999999</v>
      </c>
      <c r="C310" s="2">
        <v>0.26464929999999998</v>
      </c>
      <c r="D310" s="2">
        <v>3.86</v>
      </c>
      <c r="E310" s="2">
        <v>0</v>
      </c>
      <c r="F310" s="2">
        <f>B310-1.327135</f>
        <v>0.44985699999999995</v>
      </c>
      <c r="G310" s="2">
        <f>2.379336-B310</f>
        <v>0.60234399999999999</v>
      </c>
    </row>
    <row r="311" spans="1:7" x14ac:dyDescent="0.25">
      <c r="A311" s="36" t="s">
        <v>181</v>
      </c>
      <c r="B311" s="2">
        <v>0.40173629999999999</v>
      </c>
      <c r="C311" s="2">
        <v>4.4865500000000003E-2</v>
      </c>
      <c r="D311" s="2">
        <v>-8.17</v>
      </c>
      <c r="E311" s="2">
        <v>0</v>
      </c>
      <c r="F311" s="2">
        <f>B311-0.3227601</f>
        <v>7.8976199999999996E-2</v>
      </c>
      <c r="G311" s="2">
        <f>0.5000372-B311</f>
        <v>9.8300899999999969E-2</v>
      </c>
    </row>
    <row r="312" spans="1:7" x14ac:dyDescent="0.25">
      <c r="A312" s="36" t="s">
        <v>182</v>
      </c>
      <c r="B312" s="2">
        <v>0.9162614</v>
      </c>
      <c r="C312" s="2">
        <v>0.17946390000000001</v>
      </c>
      <c r="D312" s="2">
        <v>-0.45</v>
      </c>
      <c r="E312" s="2">
        <v>0.65500000000000003</v>
      </c>
      <c r="F312" s="2">
        <f>B312-0.6241636</f>
        <v>0.29209779999999996</v>
      </c>
      <c r="G312" s="2">
        <f>1.345056-B312</f>
        <v>0.42879460000000003</v>
      </c>
    </row>
    <row r="313" spans="1:7" x14ac:dyDescent="0.25">
      <c r="A313" s="36" t="s">
        <v>183</v>
      </c>
      <c r="B313" s="2">
        <v>4.1203700000000003E-2</v>
      </c>
      <c r="C313" s="2">
        <v>1.0761700000000001E-2</v>
      </c>
      <c r="D313" s="2">
        <v>-12.21</v>
      </c>
      <c r="E313" s="2">
        <v>0</v>
      </c>
      <c r="F313" s="2">
        <f>B313-0.0246954</f>
        <v>1.6508300000000004E-2</v>
      </c>
      <c r="G313" s="2">
        <f>0.0687474-B313</f>
        <v>2.7543699999999997E-2</v>
      </c>
    </row>
    <row r="314" spans="1:7" x14ac:dyDescent="0.25">
      <c r="A314" s="36" t="s">
        <v>184</v>
      </c>
      <c r="B314" s="2">
        <v>0.19435849999999999</v>
      </c>
      <c r="C314" s="2">
        <v>7.4989100000000003E-2</v>
      </c>
      <c r="D314" s="2">
        <v>-4.25</v>
      </c>
      <c r="E314" s="2">
        <v>0</v>
      </c>
      <c r="F314" s="2">
        <f>B314-0.09124</f>
        <v>0.10311849999999999</v>
      </c>
      <c r="G314" s="2">
        <f>0.4140203-B314</f>
        <v>0.21966180000000002</v>
      </c>
    </row>
    <row r="315" spans="1:7" x14ac:dyDescent="0.25">
      <c r="A315" s="36" t="s">
        <v>185</v>
      </c>
      <c r="B315" s="2">
        <v>4.6354199999999998E-2</v>
      </c>
      <c r="C315" s="2">
        <v>1.1405200000000001E-2</v>
      </c>
      <c r="D315" s="2">
        <v>-12.48</v>
      </c>
      <c r="E315" s="2">
        <v>0</v>
      </c>
      <c r="F315" s="2">
        <f>B315-0.0286191</f>
        <v>1.7735099999999997E-2</v>
      </c>
      <c r="G315" s="2">
        <f>0.0750797-B315</f>
        <v>2.8725500000000001E-2</v>
      </c>
    </row>
    <row r="316" spans="1:7" x14ac:dyDescent="0.25">
      <c r="A316" s="36" t="s">
        <v>186</v>
      </c>
      <c r="B316" s="2">
        <v>0.13882749999999999</v>
      </c>
      <c r="C316" s="2">
        <v>6.2874899999999997E-2</v>
      </c>
      <c r="D316" s="2">
        <v>-4.3600000000000003</v>
      </c>
      <c r="E316" s="2">
        <v>0</v>
      </c>
      <c r="F316" s="2">
        <f>B316-0.0571435</f>
        <v>8.1683999999999993E-2</v>
      </c>
      <c r="G316" s="2">
        <f>0.3372751-B316</f>
        <v>0.1984476</v>
      </c>
    </row>
    <row r="317" spans="1:7" x14ac:dyDescent="0.25">
      <c r="A317" s="36" t="s">
        <v>187</v>
      </c>
      <c r="B317" s="2">
        <v>9.0133099999999994E-2</v>
      </c>
      <c r="C317" s="2">
        <v>1.6543700000000001E-2</v>
      </c>
      <c r="D317" s="2">
        <v>-13.11</v>
      </c>
      <c r="E317" s="2">
        <v>0</v>
      </c>
      <c r="F317" s="2">
        <f>B317-0.0628997</f>
        <v>2.7233399999999991E-2</v>
      </c>
      <c r="G317" s="2">
        <f>0.1291578-B317</f>
        <v>3.9024699999999996E-2</v>
      </c>
    </row>
    <row r="318" spans="1:7" x14ac:dyDescent="0.25">
      <c r="A318" s="36" t="s">
        <v>188</v>
      </c>
      <c r="B318" s="2">
        <v>0.38871689999999998</v>
      </c>
      <c r="C318" s="2">
        <v>0.1079002</v>
      </c>
      <c r="D318" s="2">
        <v>-3.4</v>
      </c>
      <c r="E318" s="2">
        <v>1E-3</v>
      </c>
      <c r="F318" s="2">
        <f>B318-0.2256091</f>
        <v>0.16310779999999997</v>
      </c>
      <c r="G318" s="2">
        <f>0.6697463-B318</f>
        <v>0.28102940000000004</v>
      </c>
    </row>
    <row r="319" spans="1:7" x14ac:dyDescent="0.25">
      <c r="A319" s="36"/>
      <c r="B319" s="3"/>
      <c r="C319" s="3"/>
      <c r="D319" s="3"/>
      <c r="E319" s="3"/>
      <c r="F319" s="3"/>
      <c r="G319" s="3"/>
    </row>
    <row r="320" spans="1:7" x14ac:dyDescent="0.25">
      <c r="A320" s="5" t="s">
        <v>6</v>
      </c>
      <c r="B320" s="6">
        <v>1.4372E-3</v>
      </c>
      <c r="C320" s="6">
        <v>1.7340000000000001E-4</v>
      </c>
      <c r="D320" s="6">
        <v>-54.26</v>
      </c>
      <c r="E320" s="6">
        <v>0</v>
      </c>
      <c r="F320" s="6">
        <v>1.1345999999999999E-3</v>
      </c>
      <c r="G320" s="6">
        <v>1.8205000000000001E-3</v>
      </c>
    </row>
    <row r="322" spans="1:22" ht="15.75" thickBot="1" x14ac:dyDescent="0.3">
      <c r="N322" s="2">
        <v>0.16425719999999999</v>
      </c>
      <c r="O322" s="2">
        <v>0.2016825000000001</v>
      </c>
      <c r="P322" s="2">
        <v>0.23616999999999999</v>
      </c>
      <c r="Q322" s="2">
        <v>0.28806200000000004</v>
      </c>
      <c r="R322" s="2">
        <v>5.1020599999999999E-2</v>
      </c>
      <c r="S322" s="2">
        <v>7.3375699999999988E-2</v>
      </c>
      <c r="U322" s="2"/>
      <c r="V322" s="2"/>
    </row>
    <row r="323" spans="1:22" x14ac:dyDescent="0.25">
      <c r="A323" s="10"/>
      <c r="B323" s="11"/>
      <c r="C323" s="11" t="s">
        <v>10</v>
      </c>
      <c r="D323" s="11" t="s">
        <v>40</v>
      </c>
      <c r="E323" s="11" t="s">
        <v>11</v>
      </c>
      <c r="F323" s="11" t="s">
        <v>7</v>
      </c>
      <c r="G323" s="11" t="s">
        <v>8</v>
      </c>
      <c r="H323" s="11" t="s">
        <v>62</v>
      </c>
      <c r="I323" s="11" t="s">
        <v>63</v>
      </c>
      <c r="J323" s="11" t="s">
        <v>64</v>
      </c>
      <c r="K323" s="12" t="s">
        <v>65</v>
      </c>
      <c r="N323" s="2">
        <v>0.26050300000000015</v>
      </c>
      <c r="O323" s="2">
        <v>0.31351199999999979</v>
      </c>
      <c r="P323" s="2">
        <v>0.29393699999999989</v>
      </c>
      <c r="Q323" s="2">
        <v>0.35286400000000007</v>
      </c>
      <c r="R323" s="2">
        <v>6.0138999999999998E-2</v>
      </c>
      <c r="S323" s="2">
        <v>8.2239699999999971E-2</v>
      </c>
      <c r="U323" s="2"/>
      <c r="V323" s="2"/>
    </row>
    <row r="324" spans="1:22" x14ac:dyDescent="0.25">
      <c r="A324" s="24" t="s">
        <v>94</v>
      </c>
      <c r="B324" s="7" t="s">
        <v>152</v>
      </c>
      <c r="C324" s="14">
        <f>B283</f>
        <v>0.8851675</v>
      </c>
      <c r="D324" s="15">
        <f>B285</f>
        <v>0.18660289999999999</v>
      </c>
      <c r="E324" s="15">
        <f>B287</f>
        <v>0.24880379999999999</v>
      </c>
      <c r="F324" s="15">
        <f>B289</f>
        <v>1.311005</v>
      </c>
      <c r="G324" s="15">
        <f>B291</f>
        <v>1</v>
      </c>
      <c r="H324" s="15">
        <f>B293</f>
        <v>0.70813400000000004</v>
      </c>
      <c r="I324" s="16">
        <f>B295</f>
        <v>0.1674641</v>
      </c>
      <c r="J324" s="16">
        <f>B297</f>
        <v>9.0909100000000007E-2</v>
      </c>
      <c r="K324" s="17">
        <f>B299</f>
        <v>0.22009570000000001</v>
      </c>
      <c r="N324" s="2">
        <v>6.7111100000000035E-2</v>
      </c>
      <c r="O324" s="2">
        <v>8.4267700000000001E-2</v>
      </c>
      <c r="P324" s="2">
        <v>6.9954100000000019E-2</v>
      </c>
      <c r="Q324" s="2">
        <v>8.918029999999999E-2</v>
      </c>
      <c r="R324" s="2">
        <v>1.6508300000000004E-2</v>
      </c>
      <c r="S324" s="2">
        <v>2.7543699999999997E-2</v>
      </c>
      <c r="U324" s="2"/>
      <c r="V324" s="2"/>
    </row>
    <row r="325" spans="1:22" x14ac:dyDescent="0.25">
      <c r="A325" s="24"/>
      <c r="B325" s="7" t="s">
        <v>372</v>
      </c>
      <c r="C325" s="15">
        <f>B284</f>
        <v>1.5406740000000001</v>
      </c>
      <c r="D325" s="15">
        <f>B286</f>
        <v>0.4690878</v>
      </c>
      <c r="E325" s="15">
        <f>B288</f>
        <v>0.51212340000000001</v>
      </c>
      <c r="F325" s="15">
        <f>B290</f>
        <v>1.7601549999999999</v>
      </c>
      <c r="G325" s="15">
        <f>B292</f>
        <v>1.0758890000000001</v>
      </c>
      <c r="H325" s="15">
        <f>B294</f>
        <v>0.83489020000000003</v>
      </c>
      <c r="I325" s="16">
        <f>B296</f>
        <v>0.22378500000000001</v>
      </c>
      <c r="J325" s="16">
        <f>B298</f>
        <v>0.16353519999999999</v>
      </c>
      <c r="K325" s="18">
        <f>B300</f>
        <v>0.30985620000000003</v>
      </c>
      <c r="N325" s="2">
        <v>0.46726199999999984</v>
      </c>
      <c r="O325" s="2">
        <v>0.61798799999999998</v>
      </c>
      <c r="P325" s="2">
        <v>0.34648979999999996</v>
      </c>
      <c r="Q325" s="2">
        <v>0.49809600000000009</v>
      </c>
      <c r="R325" s="2">
        <v>0.10311849999999999</v>
      </c>
      <c r="S325" s="2">
        <v>0.21966180000000002</v>
      </c>
      <c r="U325" s="2"/>
      <c r="V325" s="2"/>
    </row>
    <row r="326" spans="1:22" x14ac:dyDescent="0.25">
      <c r="A326" s="24" t="s">
        <v>95</v>
      </c>
      <c r="B326" s="7" t="s">
        <v>152</v>
      </c>
      <c r="C326" s="15">
        <f>B301</f>
        <v>0.32962970000000003</v>
      </c>
      <c r="D326" s="15">
        <f>B303</f>
        <v>7.2106500000000004E-2</v>
      </c>
      <c r="E326" s="15">
        <f>B305</f>
        <v>0.13906250000000001</v>
      </c>
      <c r="F326" s="15">
        <f>B307</f>
        <v>0.32447930000000003</v>
      </c>
      <c r="G326" s="15">
        <f>B309</f>
        <v>0.48671890000000001</v>
      </c>
      <c r="H326" s="15">
        <f>B311</f>
        <v>0.40173629999999999</v>
      </c>
      <c r="I326" s="16">
        <f>B313</f>
        <v>4.1203700000000003E-2</v>
      </c>
      <c r="J326" s="16">
        <f>B315</f>
        <v>4.6354199999999998E-2</v>
      </c>
      <c r="K326" s="17">
        <f>B317</f>
        <v>9.0133099999999994E-2</v>
      </c>
      <c r="N326" s="2">
        <v>5.4420699999999989E-2</v>
      </c>
      <c r="O326" s="2">
        <v>7.6826100000000036E-2</v>
      </c>
      <c r="P326" s="2">
        <v>0</v>
      </c>
      <c r="Q326" s="2">
        <v>0</v>
      </c>
      <c r="R326" s="2">
        <v>3.7771300000000008E-2</v>
      </c>
      <c r="S326" s="2">
        <v>6.4619699999999988E-2</v>
      </c>
      <c r="U326" s="2"/>
      <c r="V326" s="2"/>
    </row>
    <row r="327" spans="1:22" ht="15.75" thickBot="1" x14ac:dyDescent="0.3">
      <c r="A327" s="26"/>
      <c r="B327" s="27" t="s">
        <v>372</v>
      </c>
      <c r="C327" s="30">
        <f>B302</f>
        <v>1.9158189999999999</v>
      </c>
      <c r="D327" s="28">
        <f>B304</f>
        <v>0.38871689999999998</v>
      </c>
      <c r="E327" s="30">
        <f>B306</f>
        <v>0.74966840000000001</v>
      </c>
      <c r="F327" s="28">
        <f>B308</f>
        <v>1.138385</v>
      </c>
      <c r="G327" s="30">
        <f>B310</f>
        <v>1.7769919999999999</v>
      </c>
      <c r="H327" s="30">
        <f>B312</f>
        <v>0.9162614</v>
      </c>
      <c r="I327" s="30">
        <f>B314</f>
        <v>0.19435849999999999</v>
      </c>
      <c r="J327" s="30">
        <f>B316</f>
        <v>0.13882749999999999</v>
      </c>
      <c r="K327" s="34">
        <f>B318</f>
        <v>0.38871689999999998</v>
      </c>
      <c r="N327" s="2">
        <v>0.10188520000000001</v>
      </c>
      <c r="O327" s="2">
        <v>0.13015450000000001</v>
      </c>
      <c r="P327" s="2">
        <v>0.19302400000000008</v>
      </c>
      <c r="Q327" s="2">
        <v>0.23522699999999985</v>
      </c>
      <c r="R327" s="2">
        <v>4.9300399999999994E-2</v>
      </c>
      <c r="S327" s="2">
        <v>7.0577000000000001E-2</v>
      </c>
      <c r="U327" s="2"/>
      <c r="V327" s="2"/>
    </row>
    <row r="328" spans="1:22" x14ac:dyDescent="0.25">
      <c r="N328" s="2">
        <v>2.3656600000000007E-2</v>
      </c>
      <c r="O328" s="2">
        <v>3.52074E-2</v>
      </c>
      <c r="P328" s="2">
        <v>9.0206700000000029E-2</v>
      </c>
      <c r="Q328" s="2">
        <v>0.11072880000000002</v>
      </c>
      <c r="R328" s="2">
        <v>1.7735099999999997E-2</v>
      </c>
      <c r="S328" s="2">
        <v>2.8725500000000001E-2</v>
      </c>
      <c r="U328" s="2"/>
      <c r="V328" s="2"/>
    </row>
    <row r="329" spans="1:22" x14ac:dyDescent="0.25">
      <c r="N329" s="2">
        <v>0.16200419999999999</v>
      </c>
      <c r="O329" s="2">
        <v>0.27776930000000005</v>
      </c>
      <c r="P329" s="2">
        <v>0.44985699999999995</v>
      </c>
      <c r="Q329" s="2">
        <v>0.60234399999999999</v>
      </c>
      <c r="R329" s="2">
        <v>8.1683999999999993E-2</v>
      </c>
      <c r="S329" s="2">
        <v>0.1984476</v>
      </c>
      <c r="U329" s="2"/>
      <c r="V329" s="2"/>
    </row>
    <row r="330" spans="1:22" x14ac:dyDescent="0.25">
      <c r="N330" s="2">
        <v>6.633219999999998E-2</v>
      </c>
      <c r="O330" s="2">
        <v>9.0445399999999981E-2</v>
      </c>
      <c r="P330" s="2">
        <v>0.13727010000000006</v>
      </c>
      <c r="Q330" s="2">
        <v>0.17027799999999993</v>
      </c>
      <c r="R330" s="2">
        <v>6.1108800000000019E-2</v>
      </c>
      <c r="S330" s="2">
        <v>8.4596699999999969E-2</v>
      </c>
      <c r="U330" s="2"/>
      <c r="V330" s="2"/>
    </row>
    <row r="331" spans="1:22" x14ac:dyDescent="0.25">
      <c r="N331" s="2">
        <v>0.1072785</v>
      </c>
      <c r="O331" s="2">
        <v>0.13570590000000005</v>
      </c>
      <c r="P331" s="2">
        <v>0.15612239999999999</v>
      </c>
      <c r="Q331" s="2">
        <v>0.19203179999999986</v>
      </c>
      <c r="R331" s="2">
        <v>7.5327300000000014E-2</v>
      </c>
      <c r="S331" s="2">
        <v>9.9521299999999979E-2</v>
      </c>
      <c r="U331" s="2"/>
      <c r="V331" s="2"/>
    </row>
    <row r="332" spans="1:22" x14ac:dyDescent="0.25">
      <c r="N332" s="2">
        <v>3.5834900000000003E-2</v>
      </c>
      <c r="O332" s="2">
        <v>4.8274899999999982E-2</v>
      </c>
      <c r="P332" s="2">
        <v>7.8976199999999996E-2</v>
      </c>
      <c r="Q332" s="2">
        <v>9.8300899999999969E-2</v>
      </c>
      <c r="R332" s="2">
        <v>2.7233399999999991E-2</v>
      </c>
      <c r="S332" s="2">
        <v>3.9024699999999996E-2</v>
      </c>
      <c r="U332" s="2"/>
      <c r="V332" s="2"/>
    </row>
    <row r="333" spans="1:22" x14ac:dyDescent="0.25">
      <c r="N333" s="2">
        <v>0.24831100000000006</v>
      </c>
      <c r="O333" s="2">
        <v>0.3712936</v>
      </c>
      <c r="P333" s="2">
        <v>0.29209779999999996</v>
      </c>
      <c r="Q333" s="2">
        <v>0.42879460000000003</v>
      </c>
      <c r="R333" s="2">
        <v>0.16310779999999997</v>
      </c>
      <c r="S333" s="2">
        <v>0.28102940000000004</v>
      </c>
      <c r="U333" s="2"/>
      <c r="V333" s="2"/>
    </row>
    <row r="334" spans="1:22" x14ac:dyDescent="0.25">
      <c r="N334" s="9"/>
      <c r="O334" s="9"/>
      <c r="P334" s="7"/>
      <c r="Q334" s="7"/>
      <c r="R334" s="23"/>
      <c r="S334" s="23"/>
      <c r="U334" s="2"/>
      <c r="V334" s="2"/>
    </row>
    <row r="335" spans="1:22" x14ac:dyDescent="0.25">
      <c r="N335" s="9"/>
      <c r="O335" s="9"/>
      <c r="P335" s="7"/>
      <c r="Q335" s="7"/>
      <c r="R335" s="7"/>
      <c r="S335" s="7"/>
      <c r="U335" s="2"/>
      <c r="V335" s="2"/>
    </row>
    <row r="336" spans="1:22" x14ac:dyDescent="0.25">
      <c r="N336" s="9"/>
      <c r="O336" s="9"/>
      <c r="P336" s="7"/>
      <c r="Q336" s="7"/>
      <c r="R336" s="7"/>
      <c r="S336" s="7"/>
      <c r="U336" s="2"/>
      <c r="V336" s="2"/>
    </row>
    <row r="337" spans="1:22" x14ac:dyDescent="0.25">
      <c r="N337" s="7"/>
      <c r="O337" s="7"/>
      <c r="P337" s="7"/>
      <c r="Q337" s="7"/>
      <c r="R337" s="7"/>
      <c r="S337" s="7"/>
      <c r="U337" s="2"/>
      <c r="V337" s="2"/>
    </row>
    <row r="338" spans="1:22" x14ac:dyDescent="0.25">
      <c r="N338" s="7"/>
      <c r="O338" s="9"/>
      <c r="P338" s="7"/>
      <c r="Q338" s="7"/>
      <c r="R338" s="7"/>
      <c r="S338" s="7"/>
      <c r="U338" s="2"/>
      <c r="V338" s="2"/>
    </row>
    <row r="339" spans="1:22" x14ac:dyDescent="0.25">
      <c r="N339" s="7"/>
      <c r="O339" s="7"/>
      <c r="P339" s="7"/>
      <c r="Q339" s="7"/>
      <c r="R339" s="7"/>
      <c r="S339" s="7"/>
      <c r="U339" s="2"/>
      <c r="V339" s="2"/>
    </row>
    <row r="340" spans="1:22" x14ac:dyDescent="0.25">
      <c r="N340" s="7"/>
      <c r="O340" s="7"/>
      <c r="P340" s="7"/>
      <c r="Q340" s="9"/>
      <c r="R340" s="7"/>
      <c r="S340" s="7"/>
      <c r="U340" s="7"/>
      <c r="V340" s="9"/>
    </row>
    <row r="341" spans="1:22" x14ac:dyDescent="0.25">
      <c r="N341" s="7"/>
      <c r="O341" s="7"/>
      <c r="P341" s="9"/>
      <c r="Q341" s="9"/>
      <c r="R341" s="7"/>
      <c r="S341" s="7"/>
      <c r="U341" s="9"/>
      <c r="V341" s="9"/>
    </row>
    <row r="342" spans="1:22" x14ac:dyDescent="0.25">
      <c r="N342" s="7"/>
      <c r="O342" s="7"/>
      <c r="P342" s="23"/>
      <c r="Q342" s="23"/>
      <c r="R342" s="23"/>
      <c r="S342" s="23"/>
      <c r="U342" s="23"/>
      <c r="V342" s="23"/>
    </row>
    <row r="343" spans="1:22" x14ac:dyDescent="0.25">
      <c r="N343" s="7"/>
      <c r="O343" s="7"/>
      <c r="P343" s="7"/>
      <c r="Q343" s="7"/>
      <c r="U343" s="7"/>
      <c r="V343" s="7"/>
    </row>
    <row r="344" spans="1:22" x14ac:dyDescent="0.25">
      <c r="N344" s="7"/>
      <c r="O344" s="7"/>
      <c r="P344" s="7"/>
      <c r="Q344" s="7"/>
      <c r="U344" s="7"/>
      <c r="V344" s="7"/>
    </row>
    <row r="345" spans="1:22" x14ac:dyDescent="0.25">
      <c r="N345" s="9"/>
      <c r="O345" s="9"/>
      <c r="P345" s="7"/>
      <c r="Q345" s="7"/>
      <c r="U345" s="7"/>
      <c r="V345" s="7"/>
    </row>
    <row r="346" spans="1:22" s="1" customFormat="1" x14ac:dyDescent="0.25">
      <c r="A346" s="1" t="s">
        <v>103</v>
      </c>
      <c r="N346" s="32"/>
      <c r="O346" s="32"/>
      <c r="P346" s="33"/>
      <c r="Q346" s="33"/>
      <c r="U346" s="35"/>
      <c r="V346" s="35"/>
    </row>
    <row r="347" spans="1:22" s="51" customFormat="1" x14ac:dyDescent="0.25">
      <c r="N347" s="52"/>
      <c r="O347" s="52"/>
      <c r="P347" s="53"/>
      <c r="Q347" s="53"/>
      <c r="U347" s="54"/>
      <c r="V347" s="54"/>
    </row>
    <row r="348" spans="1:22" s="51" customFormat="1" x14ac:dyDescent="0.25">
      <c r="A348" s="49"/>
      <c r="B348" s="46" t="s">
        <v>1</v>
      </c>
      <c r="C348" s="47"/>
      <c r="D348" s="47"/>
      <c r="E348" s="47"/>
      <c r="F348" s="47"/>
      <c r="G348" s="47"/>
      <c r="N348" s="52"/>
      <c r="O348" s="52"/>
      <c r="P348" s="53"/>
      <c r="Q348" s="53"/>
      <c r="U348" s="54"/>
      <c r="V348" s="54"/>
    </row>
    <row r="349" spans="1:22" s="51" customFormat="1" x14ac:dyDescent="0.25">
      <c r="A349" s="50" t="s">
        <v>2</v>
      </c>
      <c r="B349" s="48" t="s">
        <v>269</v>
      </c>
      <c r="C349" s="48" t="s">
        <v>270</v>
      </c>
      <c r="D349" s="48" t="s">
        <v>3</v>
      </c>
      <c r="E349" s="48" t="s">
        <v>4</v>
      </c>
      <c r="F349" s="48" t="s">
        <v>271</v>
      </c>
      <c r="G349" s="48" t="s">
        <v>272</v>
      </c>
      <c r="N349" s="52"/>
      <c r="O349" s="52"/>
      <c r="P349" s="53"/>
      <c r="Q349" s="53"/>
      <c r="U349" s="54"/>
      <c r="V349" s="54"/>
    </row>
    <row r="350" spans="1:22" x14ac:dyDescent="0.25">
      <c r="A350" s="49"/>
      <c r="B350" s="46"/>
      <c r="C350" s="46"/>
      <c r="D350" s="47"/>
      <c r="E350" s="47"/>
      <c r="F350" s="47"/>
      <c r="G350" s="47"/>
      <c r="N350" s="7"/>
      <c r="O350" s="7"/>
      <c r="P350" s="7"/>
      <c r="Q350" s="7"/>
      <c r="U350" s="7"/>
      <c r="V350" s="7"/>
    </row>
    <row r="351" spans="1:22" x14ac:dyDescent="0.25">
      <c r="A351" s="49" t="s">
        <v>72</v>
      </c>
      <c r="B351" s="47"/>
      <c r="C351" s="47"/>
      <c r="D351" s="47"/>
      <c r="E351" s="47"/>
      <c r="F351" s="47"/>
      <c r="G351" s="47"/>
      <c r="N351" s="7"/>
      <c r="O351" s="9"/>
      <c r="P351" s="7"/>
      <c r="Q351" s="7"/>
      <c r="U351" s="7"/>
      <c r="V351" s="7"/>
    </row>
    <row r="352" spans="1:22" x14ac:dyDescent="0.25">
      <c r="A352" s="49" t="s">
        <v>73</v>
      </c>
      <c r="B352" s="46">
        <v>0.94069590000000003</v>
      </c>
      <c r="C352" s="46">
        <v>3.10146E-2</v>
      </c>
      <c r="D352" s="46">
        <v>-1.85</v>
      </c>
      <c r="E352" s="46">
        <v>6.4000000000000001E-2</v>
      </c>
      <c r="F352" s="46">
        <v>0.88183080000000003</v>
      </c>
      <c r="G352" s="46">
        <v>1.00349</v>
      </c>
      <c r="N352" s="7"/>
      <c r="O352" s="9"/>
      <c r="P352" s="7"/>
      <c r="Q352" s="7"/>
      <c r="U352" s="7"/>
      <c r="V352" s="7"/>
    </row>
    <row r="353" spans="1:22" x14ac:dyDescent="0.25">
      <c r="A353" s="49"/>
      <c r="B353" s="47"/>
      <c r="C353" s="47"/>
      <c r="D353" s="47"/>
      <c r="E353" s="47"/>
      <c r="F353" s="47"/>
      <c r="G353" s="47"/>
      <c r="N353" s="9"/>
      <c r="O353" s="9"/>
      <c r="P353" s="7"/>
      <c r="Q353" s="7"/>
      <c r="U353" s="23"/>
      <c r="V353" s="23"/>
    </row>
    <row r="354" spans="1:22" x14ac:dyDescent="0.25">
      <c r="A354" s="49" t="s">
        <v>74</v>
      </c>
      <c r="B354" s="47"/>
      <c r="C354" s="47"/>
      <c r="D354" s="47"/>
      <c r="E354" s="47"/>
      <c r="F354" s="47"/>
      <c r="G354" s="47"/>
      <c r="N354" s="7"/>
      <c r="O354" s="7"/>
      <c r="U354" s="7"/>
      <c r="V354" s="7"/>
    </row>
    <row r="355" spans="1:22" x14ac:dyDescent="0.25">
      <c r="A355" s="49" t="s">
        <v>75</v>
      </c>
      <c r="B355" s="46">
        <v>0.90116019999999997</v>
      </c>
      <c r="C355" s="46">
        <v>4.0945500000000003E-2</v>
      </c>
      <c r="D355" s="46">
        <v>-2.29</v>
      </c>
      <c r="E355" s="46">
        <v>2.1999999999999999E-2</v>
      </c>
      <c r="F355" s="46">
        <v>0.82437800000000006</v>
      </c>
      <c r="G355" s="46">
        <v>0.98509380000000002</v>
      </c>
      <c r="N355" s="7"/>
      <c r="O355" s="7"/>
      <c r="U355" s="7"/>
      <c r="V355" s="7"/>
    </row>
    <row r="356" spans="1:22" x14ac:dyDescent="0.25">
      <c r="A356" s="49" t="s">
        <v>76</v>
      </c>
      <c r="B356" s="46">
        <v>0.8021992</v>
      </c>
      <c r="C356" s="46">
        <v>4.9323899999999997E-2</v>
      </c>
      <c r="D356" s="46">
        <v>-3.58</v>
      </c>
      <c r="E356" s="46">
        <v>0</v>
      </c>
      <c r="F356" s="46">
        <v>0.71112399999999998</v>
      </c>
      <c r="G356" s="46">
        <v>0.90493849999999998</v>
      </c>
      <c r="N356" s="7"/>
      <c r="O356" s="7"/>
      <c r="U356" s="7"/>
      <c r="V356" s="7"/>
    </row>
    <row r="357" spans="1:22" x14ac:dyDescent="0.25">
      <c r="A357" s="49" t="s">
        <v>77</v>
      </c>
      <c r="B357" s="46">
        <v>0.75592499999999996</v>
      </c>
      <c r="C357" s="46">
        <v>5.4390099999999997E-2</v>
      </c>
      <c r="D357" s="46">
        <v>-3.89</v>
      </c>
      <c r="E357" s="46">
        <v>0</v>
      </c>
      <c r="F357" s="46">
        <v>0.65649789999999997</v>
      </c>
      <c r="G357" s="46">
        <v>0.87041040000000003</v>
      </c>
      <c r="N357" s="7"/>
      <c r="O357" s="7"/>
      <c r="U357" s="23"/>
      <c r="V357" s="23"/>
    </row>
    <row r="358" spans="1:22" x14ac:dyDescent="0.25">
      <c r="A358" s="49" t="s">
        <v>78</v>
      </c>
      <c r="B358" s="46">
        <v>0.64832959999999995</v>
      </c>
      <c r="C358" s="46">
        <v>4.9343900000000003E-2</v>
      </c>
      <c r="D358" s="46">
        <v>-5.69</v>
      </c>
      <c r="E358" s="46">
        <v>0</v>
      </c>
      <c r="F358" s="46">
        <v>0.55848509999999996</v>
      </c>
      <c r="G358" s="46">
        <v>0.75262759999999995</v>
      </c>
      <c r="N358" s="7"/>
      <c r="O358" s="7"/>
    </row>
    <row r="359" spans="1:22" x14ac:dyDescent="0.25">
      <c r="A359" s="49" t="s">
        <v>79</v>
      </c>
      <c r="B359" s="46">
        <v>0.52814410000000001</v>
      </c>
      <c r="C359" s="46">
        <v>4.8547899999999998E-2</v>
      </c>
      <c r="D359" s="46">
        <v>-6.94</v>
      </c>
      <c r="E359" s="46">
        <v>0</v>
      </c>
      <c r="F359" s="46">
        <v>0.44107099999999999</v>
      </c>
      <c r="G359" s="46">
        <v>0.63240640000000004</v>
      </c>
      <c r="N359" s="7"/>
      <c r="O359" s="7"/>
    </row>
    <row r="360" spans="1:22" x14ac:dyDescent="0.25">
      <c r="A360" s="49" t="s">
        <v>80</v>
      </c>
      <c r="B360" s="46">
        <v>0.41403240000000002</v>
      </c>
      <c r="C360" s="46">
        <v>3.7479600000000002E-2</v>
      </c>
      <c r="D360" s="46">
        <v>-9.74</v>
      </c>
      <c r="E360" s="46">
        <v>0</v>
      </c>
      <c r="F360" s="46">
        <v>0.34672150000000002</v>
      </c>
      <c r="G360" s="46">
        <v>0.49441069999999998</v>
      </c>
      <c r="N360" s="7"/>
      <c r="O360" s="7"/>
    </row>
    <row r="361" spans="1:22" x14ac:dyDescent="0.25">
      <c r="A361" s="49" t="s">
        <v>86</v>
      </c>
      <c r="B361" s="46">
        <v>0.30762329999999999</v>
      </c>
      <c r="C361" s="46">
        <v>3.7651799999999999E-2</v>
      </c>
      <c r="D361" s="46">
        <v>-9.6300000000000008</v>
      </c>
      <c r="E361" s="46">
        <v>0</v>
      </c>
      <c r="F361" s="46">
        <v>0.24201130000000001</v>
      </c>
      <c r="G361" s="46">
        <v>0.39102340000000002</v>
      </c>
      <c r="N361" s="7"/>
      <c r="O361" s="7"/>
    </row>
    <row r="362" spans="1:22" x14ac:dyDescent="0.25">
      <c r="A362" s="49" t="s">
        <v>87</v>
      </c>
      <c r="B362" s="46">
        <v>0.27900849999999999</v>
      </c>
      <c r="C362" s="46">
        <v>3.8895600000000002E-2</v>
      </c>
      <c r="D362" s="46">
        <v>-9.16</v>
      </c>
      <c r="E362" s="46">
        <v>0</v>
      </c>
      <c r="F362" s="46">
        <v>0.2123022</v>
      </c>
      <c r="G362" s="46">
        <v>0.36667420000000001</v>
      </c>
      <c r="N362" s="7"/>
      <c r="O362" s="7"/>
    </row>
    <row r="363" spans="1:22" x14ac:dyDescent="0.25">
      <c r="A363" s="49" t="s">
        <v>88</v>
      </c>
      <c r="B363" s="46">
        <v>0.1201974</v>
      </c>
      <c r="C363" s="46">
        <v>3.61794E-2</v>
      </c>
      <c r="D363" s="46">
        <v>-7.04</v>
      </c>
      <c r="E363" s="46">
        <v>0</v>
      </c>
      <c r="F363" s="46">
        <v>6.66321E-2</v>
      </c>
      <c r="G363" s="46">
        <v>0.21682360000000001</v>
      </c>
      <c r="N363" s="7"/>
      <c r="O363" s="7"/>
    </row>
    <row r="364" spans="1:22" x14ac:dyDescent="0.25">
      <c r="A364" s="49"/>
      <c r="B364" s="47"/>
      <c r="C364" s="47"/>
      <c r="D364" s="47"/>
      <c r="E364" s="47"/>
      <c r="F364" s="47"/>
      <c r="G364" s="47"/>
      <c r="N364" s="7"/>
      <c r="O364" s="7"/>
    </row>
    <row r="365" spans="1:22" x14ac:dyDescent="0.25">
      <c r="A365" s="49" t="s">
        <v>108</v>
      </c>
      <c r="B365" s="47"/>
      <c r="C365" s="47"/>
      <c r="D365" s="47"/>
      <c r="E365" s="47"/>
      <c r="F365" s="47"/>
      <c r="G365" s="47"/>
      <c r="N365" s="7"/>
      <c r="O365" s="7"/>
    </row>
    <row r="366" spans="1:22" x14ac:dyDescent="0.25">
      <c r="A366" s="49">
        <v>2</v>
      </c>
      <c r="B366" s="46">
        <v>1.043963</v>
      </c>
      <c r="C366" s="46">
        <v>5.0888700000000002E-2</v>
      </c>
      <c r="D366" s="46">
        <v>0.88</v>
      </c>
      <c r="E366" s="46">
        <v>0.377</v>
      </c>
      <c r="F366" s="46">
        <v>0.94883949999999995</v>
      </c>
      <c r="G366" s="46">
        <v>1.1486229999999999</v>
      </c>
    </row>
    <row r="367" spans="1:22" x14ac:dyDescent="0.25">
      <c r="A367" s="49" t="s">
        <v>109</v>
      </c>
      <c r="B367" s="46">
        <v>1.1924779999999999</v>
      </c>
      <c r="C367" s="46">
        <v>0.1203325</v>
      </c>
      <c r="D367" s="46">
        <v>1.74</v>
      </c>
      <c r="E367" s="46">
        <v>8.1000000000000003E-2</v>
      </c>
      <c r="F367" s="46">
        <v>0.97848900000000005</v>
      </c>
      <c r="G367" s="46">
        <v>1.453265</v>
      </c>
    </row>
    <row r="368" spans="1:22" x14ac:dyDescent="0.25">
      <c r="A368" s="49"/>
      <c r="B368" s="47"/>
      <c r="C368" s="47"/>
      <c r="D368" s="47"/>
      <c r="E368" s="47"/>
      <c r="F368" s="47"/>
      <c r="G368" s="47"/>
    </row>
    <row r="369" spans="1:7" x14ac:dyDescent="0.25">
      <c r="A369" s="49" t="s">
        <v>85</v>
      </c>
      <c r="B369" s="47"/>
      <c r="C369" s="47"/>
      <c r="D369" s="47"/>
      <c r="E369" s="47"/>
      <c r="F369" s="47"/>
      <c r="G369" s="47"/>
    </row>
    <row r="370" spans="1:7" x14ac:dyDescent="0.25">
      <c r="A370" s="38" t="s">
        <v>315</v>
      </c>
      <c r="B370" s="46">
        <v>1.5212920000000001</v>
      </c>
      <c r="C370" s="46">
        <v>7.8267500000000004E-2</v>
      </c>
      <c r="D370" s="46">
        <v>8.16</v>
      </c>
      <c r="E370" s="46">
        <v>0</v>
      </c>
      <c r="F370" s="46">
        <v>1.3753709999999999</v>
      </c>
      <c r="G370" s="46">
        <v>1.6826939999999999</v>
      </c>
    </row>
    <row r="371" spans="1:7" x14ac:dyDescent="0.25">
      <c r="A371" s="38" t="s">
        <v>316</v>
      </c>
      <c r="B371" s="46">
        <v>1.0204869999999999</v>
      </c>
      <c r="C371" s="46">
        <v>6.3714000000000007E-2</v>
      </c>
      <c r="D371" s="46">
        <v>0.32</v>
      </c>
      <c r="E371" s="46">
        <v>0.745</v>
      </c>
      <c r="F371" s="46">
        <v>0.90294830000000004</v>
      </c>
      <c r="G371" s="46">
        <v>1.1533260000000001</v>
      </c>
    </row>
    <row r="372" spans="1:7" x14ac:dyDescent="0.25">
      <c r="A372" s="38" t="s">
        <v>317</v>
      </c>
      <c r="B372" s="46">
        <v>0.89091759999999998</v>
      </c>
      <c r="C372" s="46">
        <v>5.6295600000000001E-2</v>
      </c>
      <c r="D372" s="46">
        <v>-1.83</v>
      </c>
      <c r="E372" s="46">
        <v>6.8000000000000005E-2</v>
      </c>
      <c r="F372" s="46">
        <v>0.78713909999999998</v>
      </c>
      <c r="G372" s="46">
        <v>1.0083789999999999</v>
      </c>
    </row>
    <row r="373" spans="1:7" x14ac:dyDescent="0.25">
      <c r="A373" s="38" t="s">
        <v>82</v>
      </c>
      <c r="B373" s="46">
        <v>1.411902</v>
      </c>
      <c r="C373" s="46">
        <v>8.9838899999999999E-2</v>
      </c>
      <c r="D373" s="46">
        <v>5.42</v>
      </c>
      <c r="E373" s="46">
        <v>0</v>
      </c>
      <c r="F373" s="46">
        <v>1.2463580000000001</v>
      </c>
      <c r="G373" s="46">
        <v>1.5994330000000001</v>
      </c>
    </row>
    <row r="374" spans="1:7" x14ac:dyDescent="0.25">
      <c r="A374" s="49"/>
      <c r="B374" s="47"/>
      <c r="C374" s="47"/>
      <c r="D374" s="47"/>
      <c r="E374" s="47"/>
      <c r="F374" s="47"/>
      <c r="G374" s="47"/>
    </row>
    <row r="375" spans="1:7" x14ac:dyDescent="0.25">
      <c r="A375" s="49" t="s">
        <v>104</v>
      </c>
      <c r="B375" s="47"/>
      <c r="C375" s="47"/>
      <c r="D375" s="47"/>
      <c r="E375" s="47"/>
      <c r="F375" s="47"/>
      <c r="G375" s="47"/>
    </row>
    <row r="376" spans="1:7" x14ac:dyDescent="0.25">
      <c r="A376" s="49" t="s">
        <v>154</v>
      </c>
      <c r="B376" s="46">
        <v>0.5625078</v>
      </c>
      <c r="C376" s="46">
        <v>0.23440369999999999</v>
      </c>
      <c r="D376" s="46">
        <v>-1.38</v>
      </c>
      <c r="E376" s="46">
        <v>0.16700000000000001</v>
      </c>
      <c r="F376" s="46">
        <f>B376-0.2485551</f>
        <v>0.31395269999999997</v>
      </c>
      <c r="G376" s="46">
        <f>1.273018-B376</f>
        <v>0.71051019999999998</v>
      </c>
    </row>
    <row r="377" spans="1:7" x14ac:dyDescent="0.25">
      <c r="A377" s="49" t="s">
        <v>155</v>
      </c>
      <c r="B377" s="46">
        <v>0.98361169999999998</v>
      </c>
      <c r="C377" s="46">
        <v>0.43048389999999997</v>
      </c>
      <c r="D377" s="46">
        <v>-0.04</v>
      </c>
      <c r="E377" s="46">
        <v>0.97</v>
      </c>
      <c r="F377" s="46">
        <f>B377-0.4171478</f>
        <v>0.56646390000000002</v>
      </c>
      <c r="G377" s="46">
        <f>2.319303-B377</f>
        <v>1.3356913000000001</v>
      </c>
    </row>
    <row r="378" spans="1:7" x14ac:dyDescent="0.25">
      <c r="A378" s="49" t="s">
        <v>156</v>
      </c>
      <c r="B378" s="46">
        <v>0.31250420000000001</v>
      </c>
      <c r="C378" s="46">
        <v>0.16012789999999999</v>
      </c>
      <c r="D378" s="46">
        <v>-2.27</v>
      </c>
      <c r="E378" s="46">
        <v>2.3E-2</v>
      </c>
      <c r="F378" s="46">
        <f>B378-0.1144717</f>
        <v>0.1980325</v>
      </c>
      <c r="G378" s="46">
        <f>0.8531269-B378</f>
        <v>0.54062270000000001</v>
      </c>
    </row>
    <row r="379" spans="1:7" x14ac:dyDescent="0.25">
      <c r="A379" s="49" t="s">
        <v>157</v>
      </c>
      <c r="B379" s="46">
        <v>0.61475650000000004</v>
      </c>
      <c r="C379" s="46">
        <v>0.30324459999999998</v>
      </c>
      <c r="D379" s="46">
        <v>-0.99</v>
      </c>
      <c r="E379" s="46">
        <v>0.32400000000000001</v>
      </c>
      <c r="F379" s="46">
        <f>B379-0.23379</f>
        <v>0.38096650000000004</v>
      </c>
      <c r="G379" s="46">
        <f>1.616517-B379</f>
        <v>1.0017605000000001</v>
      </c>
    </row>
    <row r="380" spans="1:7" x14ac:dyDescent="0.25">
      <c r="A380" s="49" t="s">
        <v>158</v>
      </c>
      <c r="B380" s="46">
        <v>0.31250420000000001</v>
      </c>
      <c r="C380" s="46">
        <v>0.16012789999999999</v>
      </c>
      <c r="D380" s="46">
        <v>-2.27</v>
      </c>
      <c r="E380" s="46">
        <v>2.3E-2</v>
      </c>
      <c r="F380" s="46">
        <f>B380-0.1144717</f>
        <v>0.1980325</v>
      </c>
      <c r="G380" s="46">
        <f>0.8531269-B380</f>
        <v>0.54062270000000001</v>
      </c>
    </row>
    <row r="381" spans="1:7" x14ac:dyDescent="0.25">
      <c r="A381" s="49" t="s">
        <v>159</v>
      </c>
      <c r="B381" s="46">
        <v>0.73770559999999996</v>
      </c>
      <c r="C381" s="46">
        <v>0.34874290000000002</v>
      </c>
      <c r="D381" s="46">
        <v>-0.64</v>
      </c>
      <c r="E381" s="46">
        <v>0.52</v>
      </c>
      <c r="F381" s="46">
        <f>B381-0.2920695</f>
        <v>0.44563609999999998</v>
      </c>
      <c r="G381" s="46">
        <f>1.863288-B381</f>
        <v>1.1255824000000001</v>
      </c>
    </row>
    <row r="382" spans="1:7" x14ac:dyDescent="0.25">
      <c r="A382" s="49" t="s">
        <v>160</v>
      </c>
      <c r="B382" s="46">
        <v>0.62500800000000001</v>
      </c>
      <c r="C382" s="46">
        <v>0.2420911</v>
      </c>
      <c r="D382" s="46">
        <v>-1.21</v>
      </c>
      <c r="E382" s="46">
        <v>0.22500000000000001</v>
      </c>
      <c r="F382" s="46">
        <f>B382-0.2925368</f>
        <v>0.33247120000000002</v>
      </c>
      <c r="G382" s="46">
        <f>1.335336-B382</f>
        <v>0.71032800000000007</v>
      </c>
    </row>
    <row r="383" spans="1:7" x14ac:dyDescent="0.25">
      <c r="A383" s="49" t="s">
        <v>161</v>
      </c>
      <c r="B383" s="46">
        <v>0.86065729999999996</v>
      </c>
      <c r="C383" s="46">
        <v>0.38652809999999999</v>
      </c>
      <c r="D383" s="46">
        <v>-0.33</v>
      </c>
      <c r="E383" s="46">
        <v>0.73799999999999999</v>
      </c>
      <c r="F383" s="46">
        <f>B383-0.3569018</f>
        <v>0.50375550000000002</v>
      </c>
      <c r="G383" s="46">
        <f>2.075447-B383</f>
        <v>1.2147897000000001</v>
      </c>
    </row>
    <row r="384" spans="1:7" x14ac:dyDescent="0.25">
      <c r="A384" s="49" t="s">
        <v>189</v>
      </c>
      <c r="B384" s="46">
        <v>1</v>
      </c>
      <c r="C384" s="46"/>
      <c r="D384" s="46"/>
      <c r="E384" s="46"/>
      <c r="F384" s="46">
        <v>0</v>
      </c>
      <c r="G384" s="46">
        <v>0</v>
      </c>
    </row>
    <row r="385" spans="1:7" x14ac:dyDescent="0.25">
      <c r="A385" s="49" t="s">
        <v>162</v>
      </c>
      <c r="B385" s="46">
        <v>0.73770559999999996</v>
      </c>
      <c r="C385" s="46">
        <v>0.33902369999999998</v>
      </c>
      <c r="D385" s="46">
        <v>-0.66</v>
      </c>
      <c r="E385" s="46">
        <v>0.50800000000000001</v>
      </c>
      <c r="F385" s="46">
        <f>B385-0.2997096</f>
        <v>0.43799599999999994</v>
      </c>
      <c r="G385" s="46">
        <f>1.81579-B385</f>
        <v>1.0780844000000001</v>
      </c>
    </row>
    <row r="386" spans="1:7" x14ac:dyDescent="0.25">
      <c r="A386" s="49" t="s">
        <v>163</v>
      </c>
      <c r="B386" s="46">
        <v>0.37500480000000003</v>
      </c>
      <c r="C386" s="46">
        <v>0.17953930000000001</v>
      </c>
      <c r="D386" s="46">
        <v>-2.0499999999999998</v>
      </c>
      <c r="E386" s="46">
        <v>0.04</v>
      </c>
      <c r="F386" s="46">
        <f>B386-0.1467273</f>
        <v>0.22827750000000002</v>
      </c>
      <c r="G386" s="46">
        <f>0.9584349-B386</f>
        <v>0.58343009999999995</v>
      </c>
    </row>
    <row r="387" spans="1:7" x14ac:dyDescent="0.25">
      <c r="A387" s="49" t="s">
        <v>164</v>
      </c>
      <c r="B387" s="46">
        <v>0.49180839999999998</v>
      </c>
      <c r="C387" s="46">
        <v>0.27690409999999999</v>
      </c>
      <c r="D387" s="46">
        <v>-1.26</v>
      </c>
      <c r="E387" s="46">
        <v>0.20799999999999999</v>
      </c>
      <c r="F387" s="46">
        <f>B387-0.163133</f>
        <v>0.32867539999999995</v>
      </c>
      <c r="G387" s="46">
        <f>1.482689-B387</f>
        <v>0.99088059999999989</v>
      </c>
    </row>
    <row r="388" spans="1:7" x14ac:dyDescent="0.25">
      <c r="A388" s="49" t="s">
        <v>165</v>
      </c>
      <c r="B388" s="46">
        <v>0.12499689999999999</v>
      </c>
      <c r="C388" s="46">
        <v>9.3760800000000005E-2</v>
      </c>
      <c r="D388" s="46">
        <v>-2.77</v>
      </c>
      <c r="E388" s="46">
        <v>6.0000000000000001E-3</v>
      </c>
      <c r="F388" s="46">
        <f>B388-0.0287349</f>
        <v>9.6261999999999986E-2</v>
      </c>
      <c r="G388" s="46">
        <f>0.5437377-B388</f>
        <v>0.41874080000000002</v>
      </c>
    </row>
    <row r="389" spans="1:7" x14ac:dyDescent="0.25">
      <c r="A389" s="49" t="s">
        <v>166</v>
      </c>
      <c r="B389" s="55">
        <v>1.02E-6</v>
      </c>
      <c r="C389" s="55">
        <v>2.8599999999999999E-7</v>
      </c>
      <c r="D389" s="46">
        <v>-49.14</v>
      </c>
      <c r="E389" s="46">
        <v>0</v>
      </c>
      <c r="F389" s="55">
        <f>B389-0.000000587</f>
        <v>4.3300000000000003E-7</v>
      </c>
      <c r="G389" s="55">
        <f>0.00000176-B389</f>
        <v>7.4000000000000011E-7</v>
      </c>
    </row>
    <row r="390" spans="1:7" x14ac:dyDescent="0.25">
      <c r="A390" s="49" t="s">
        <v>167</v>
      </c>
      <c r="B390" s="46">
        <v>0.25000339999999999</v>
      </c>
      <c r="C390" s="46">
        <v>0.13977100000000001</v>
      </c>
      <c r="D390" s="46">
        <v>-2.48</v>
      </c>
      <c r="E390" s="46">
        <v>1.2999999999999999E-2</v>
      </c>
      <c r="F390" s="46">
        <f>B390-0.0835716</f>
        <v>0.16643179999999999</v>
      </c>
      <c r="G390" s="46">
        <f>0.7478814-B390</f>
        <v>0.49787800000000004</v>
      </c>
    </row>
    <row r="391" spans="1:7" x14ac:dyDescent="0.25">
      <c r="A391" s="49" t="s">
        <v>168</v>
      </c>
      <c r="B391" s="46">
        <v>0.2459046</v>
      </c>
      <c r="C391" s="46">
        <v>0.18324869999999999</v>
      </c>
      <c r="D391" s="46">
        <v>-1.88</v>
      </c>
      <c r="E391" s="46">
        <v>0.06</v>
      </c>
      <c r="F391" s="46">
        <f>B391-0.0570754</f>
        <v>0.1888292</v>
      </c>
      <c r="G391" s="46">
        <f>1.059459-B391</f>
        <v>0.8135543999999999</v>
      </c>
    </row>
    <row r="392" spans="1:7" x14ac:dyDescent="0.25">
      <c r="A392" s="49" t="s">
        <v>169</v>
      </c>
      <c r="B392" s="46">
        <v>0.50000699999999998</v>
      </c>
      <c r="C392" s="46">
        <v>0.2165328</v>
      </c>
      <c r="D392" s="46">
        <v>-1.6</v>
      </c>
      <c r="E392" s="46">
        <v>0.109</v>
      </c>
      <c r="F392" s="46">
        <f>B392-0.2139711</f>
        <v>0.28603590000000001</v>
      </c>
      <c r="G392" s="46">
        <f>1.168415-B392</f>
        <v>0.668408</v>
      </c>
    </row>
    <row r="393" spans="1:7" x14ac:dyDescent="0.25">
      <c r="A393" s="49" t="s">
        <v>170</v>
      </c>
      <c r="B393" s="46">
        <v>0.86065729999999996</v>
      </c>
      <c r="C393" s="46">
        <v>0.39357959999999997</v>
      </c>
      <c r="D393" s="46">
        <v>-0.33</v>
      </c>
      <c r="E393" s="46">
        <v>0.74299999999999999</v>
      </c>
      <c r="F393" s="46">
        <f>B393-0.3512164</f>
        <v>0.50944089999999997</v>
      </c>
      <c r="G393" s="46">
        <f>2.109044-B393</f>
        <v>1.2483867</v>
      </c>
    </row>
    <row r="394" spans="1:7" x14ac:dyDescent="0.25">
      <c r="A394" s="49" t="s">
        <v>171</v>
      </c>
      <c r="B394" s="46">
        <v>0.81458430000000004</v>
      </c>
      <c r="C394" s="46">
        <v>0.211122</v>
      </c>
      <c r="D394" s="46">
        <v>-0.79</v>
      </c>
      <c r="E394" s="46">
        <v>0.42899999999999999</v>
      </c>
      <c r="F394" s="46">
        <f>B394-0.490144</f>
        <v>0.32444030000000001</v>
      </c>
      <c r="G394" s="46">
        <f>1.353781-B394</f>
        <v>0.53919669999999986</v>
      </c>
    </row>
    <row r="395" spans="1:7" x14ac:dyDescent="0.25">
      <c r="A395" s="49" t="s">
        <v>172</v>
      </c>
      <c r="B395" s="46">
        <v>1.5937669999999999</v>
      </c>
      <c r="C395" s="46">
        <v>0.41304730000000001</v>
      </c>
      <c r="D395" s="46">
        <v>1.8</v>
      </c>
      <c r="E395" s="46">
        <v>7.1999999999999995E-2</v>
      </c>
      <c r="F395" s="46">
        <f>B395-0.9590116</f>
        <v>0.63475539999999997</v>
      </c>
      <c r="G395" s="46">
        <f>2.648657-B395</f>
        <v>1.0548900000000001</v>
      </c>
    </row>
    <row r="396" spans="1:7" x14ac:dyDescent="0.25">
      <c r="A396" s="49" t="s">
        <v>173</v>
      </c>
      <c r="B396" s="46">
        <v>0.20364940000000001</v>
      </c>
      <c r="C396" s="46">
        <v>5.8606999999999999E-2</v>
      </c>
      <c r="D396" s="46">
        <v>-5.53</v>
      </c>
      <c r="E396" s="46">
        <v>0</v>
      </c>
      <c r="F396" s="46">
        <f>B396-0.1158567</f>
        <v>8.7792700000000001E-2</v>
      </c>
      <c r="G396" s="46">
        <f>0.3579687-B396</f>
        <v>0.15431929999999996</v>
      </c>
    </row>
    <row r="397" spans="1:7" x14ac:dyDescent="0.25">
      <c r="A397" s="49" t="s">
        <v>174</v>
      </c>
      <c r="B397" s="46">
        <v>0.44401160000000001</v>
      </c>
      <c r="C397" s="46">
        <v>0.1217659</v>
      </c>
      <c r="D397" s="46">
        <v>-2.96</v>
      </c>
      <c r="E397" s="46">
        <v>3.0000000000000001E-3</v>
      </c>
      <c r="F397" s="46">
        <f>B397-0.2593944</f>
        <v>0.18461719999999998</v>
      </c>
      <c r="G397" s="46">
        <f>0.7600253-B397</f>
        <v>0.31601370000000001</v>
      </c>
    </row>
    <row r="398" spans="1:7" x14ac:dyDescent="0.25">
      <c r="A398" s="49" t="s">
        <v>175</v>
      </c>
      <c r="B398" s="46">
        <v>0.3521437</v>
      </c>
      <c r="C398" s="46">
        <v>9.5499299999999995E-2</v>
      </c>
      <c r="D398" s="46">
        <v>-3.85</v>
      </c>
      <c r="E398" s="46">
        <v>0</v>
      </c>
      <c r="F398" s="46">
        <f>B398-0.2069565</f>
        <v>0.14518720000000002</v>
      </c>
      <c r="G398" s="46">
        <f>0.5991849-B398</f>
        <v>0.24704120000000002</v>
      </c>
    </row>
    <row r="399" spans="1:7" x14ac:dyDescent="0.25">
      <c r="A399" s="49" t="s">
        <v>176</v>
      </c>
      <c r="B399" s="46">
        <v>0.5795479</v>
      </c>
      <c r="C399" s="46">
        <v>0.15561759999999999</v>
      </c>
      <c r="D399" s="46">
        <v>-2.0299999999999998</v>
      </c>
      <c r="E399" s="46">
        <v>4.2000000000000003E-2</v>
      </c>
      <c r="F399" s="46">
        <f>B399-0.3423959</f>
        <v>0.23715200000000003</v>
      </c>
      <c r="G399" s="46">
        <f>0.9809573-B399</f>
        <v>0.40140940000000003</v>
      </c>
    </row>
    <row r="400" spans="1:7" x14ac:dyDescent="0.25">
      <c r="A400" s="49" t="s">
        <v>177</v>
      </c>
      <c r="B400" s="46">
        <v>0.89519389999999999</v>
      </c>
      <c r="C400" s="46">
        <v>0.23384659999999999</v>
      </c>
      <c r="D400" s="46">
        <v>-0.42</v>
      </c>
      <c r="E400" s="46">
        <v>0.67200000000000004</v>
      </c>
      <c r="F400" s="46">
        <f>B400-0.5364909</f>
        <v>0.35870299999999999</v>
      </c>
      <c r="G400" s="46">
        <f>1.493729-B400</f>
        <v>0.5985351000000001</v>
      </c>
    </row>
    <row r="401" spans="1:7" x14ac:dyDescent="0.25">
      <c r="A401" s="49" t="s">
        <v>178</v>
      </c>
      <c r="B401" s="46">
        <v>1.3273649999999999</v>
      </c>
      <c r="C401" s="46">
        <v>0.3454779</v>
      </c>
      <c r="D401" s="46">
        <v>1.0900000000000001</v>
      </c>
      <c r="E401" s="46">
        <v>0.27700000000000002</v>
      </c>
      <c r="F401" s="46">
        <f>B401-0.7969761</f>
        <v>0.53038889999999994</v>
      </c>
      <c r="G401" s="46">
        <f>2.210729-B401</f>
        <v>0.88336400000000026</v>
      </c>
    </row>
    <row r="402" spans="1:7" x14ac:dyDescent="0.25">
      <c r="A402" s="49" t="s">
        <v>179</v>
      </c>
      <c r="B402" s="46">
        <v>0.77215860000000003</v>
      </c>
      <c r="C402" s="46">
        <v>0.20126430000000001</v>
      </c>
      <c r="D402" s="46">
        <v>-0.99</v>
      </c>
      <c r="E402" s="46">
        <v>0.32100000000000001</v>
      </c>
      <c r="F402" s="46">
        <f>B402-0.4632758</f>
        <v>0.30888280000000001</v>
      </c>
      <c r="G402" s="46">
        <f>1.286985-B402</f>
        <v>0.51482640000000002</v>
      </c>
    </row>
    <row r="403" spans="1:7" x14ac:dyDescent="0.25">
      <c r="A403" s="49" t="s">
        <v>180</v>
      </c>
      <c r="B403" s="46">
        <v>0.92073850000000002</v>
      </c>
      <c r="C403" s="46">
        <v>0.24263119999999999</v>
      </c>
      <c r="D403" s="46">
        <v>-0.31</v>
      </c>
      <c r="E403" s="46">
        <v>0.754</v>
      </c>
      <c r="F403" s="46">
        <f>B403-0.549325</f>
        <v>0.37141350000000006</v>
      </c>
      <c r="G403" s="46">
        <f>1.543275-B403</f>
        <v>0.62253649999999994</v>
      </c>
    </row>
    <row r="404" spans="1:7" x14ac:dyDescent="0.25">
      <c r="A404" s="49" t="s">
        <v>181</v>
      </c>
      <c r="B404" s="46">
        <v>0.38608540000000002</v>
      </c>
      <c r="C404" s="46">
        <v>0.10443470000000001</v>
      </c>
      <c r="D404" s="46">
        <v>-3.52</v>
      </c>
      <c r="E404" s="46">
        <v>0</v>
      </c>
      <c r="F404" s="46">
        <f>B404-0.2272147</f>
        <v>0.15887070000000003</v>
      </c>
      <c r="G404" s="46">
        <f>0.65604-B404</f>
        <v>0.26995459999999993</v>
      </c>
    </row>
    <row r="405" spans="1:7" x14ac:dyDescent="0.25">
      <c r="A405" s="49" t="s">
        <v>182</v>
      </c>
      <c r="B405" s="46">
        <v>0.48140090000000002</v>
      </c>
      <c r="C405" s="46">
        <v>0.1313609</v>
      </c>
      <c r="D405" s="46">
        <v>-2.68</v>
      </c>
      <c r="E405" s="46">
        <v>7.0000000000000001E-3</v>
      </c>
      <c r="F405" s="46">
        <f>B405-0.2819926</f>
        <v>0.19940830000000004</v>
      </c>
      <c r="G405" s="46">
        <f>0.8218187-B405</f>
        <v>0.34041779999999999</v>
      </c>
    </row>
    <row r="406" spans="1:7" x14ac:dyDescent="0.25">
      <c r="A406" s="49" t="s">
        <v>183</v>
      </c>
      <c r="B406" s="46">
        <v>0.1484935</v>
      </c>
      <c r="C406" s="46">
        <v>4.4715699999999997E-2</v>
      </c>
      <c r="D406" s="46">
        <v>-6.33</v>
      </c>
      <c r="E406" s="46">
        <v>0</v>
      </c>
      <c r="F406" s="46">
        <f>B406-0.0822974</f>
        <v>6.6196099999999994E-2</v>
      </c>
      <c r="G406" s="46">
        <f>0.2679346-B406</f>
        <v>0.11944110000000002</v>
      </c>
    </row>
    <row r="407" spans="1:7" x14ac:dyDescent="0.25">
      <c r="A407" s="49" t="s">
        <v>184</v>
      </c>
      <c r="B407" s="46">
        <v>0.21032120000000001</v>
      </c>
      <c r="C407" s="46">
        <v>6.1766799999999997E-2</v>
      </c>
      <c r="D407" s="46">
        <v>-5.31</v>
      </c>
      <c r="E407" s="46">
        <v>0</v>
      </c>
      <c r="F407" s="46">
        <f>B407-0.1182779</f>
        <v>9.2043300000000008E-2</v>
      </c>
      <c r="G407" s="46">
        <f>0.3739921-B407</f>
        <v>0.16367089999999998</v>
      </c>
    </row>
    <row r="408" spans="1:7" x14ac:dyDescent="0.25">
      <c r="A408" s="49" t="s">
        <v>185</v>
      </c>
      <c r="B408" s="46">
        <v>7.6365299999999997E-2</v>
      </c>
      <c r="C408" s="46">
        <v>2.6174300000000001E-2</v>
      </c>
      <c r="D408" s="46">
        <v>-7.5</v>
      </c>
      <c r="E408" s="46">
        <v>0</v>
      </c>
      <c r="F408" s="46">
        <f>B408-0.0390073</f>
        <v>3.7357999999999995E-2</v>
      </c>
      <c r="G408" s="46">
        <f>0.1495016-B408</f>
        <v>7.3136300000000015E-2</v>
      </c>
    </row>
    <row r="409" spans="1:7" x14ac:dyDescent="0.25">
      <c r="A409" s="49" t="s">
        <v>186</v>
      </c>
      <c r="B409" s="46">
        <v>0.14956230000000001</v>
      </c>
      <c r="C409" s="46">
        <v>4.6110600000000002E-2</v>
      </c>
      <c r="D409" s="46">
        <v>-6.16</v>
      </c>
      <c r="E409" s="46">
        <v>0</v>
      </c>
      <c r="F409" s="46">
        <f>B409-0.0817323</f>
        <v>6.7830000000000015E-2</v>
      </c>
      <c r="G409" s="46">
        <f>0.2736848-B409</f>
        <v>0.1241225</v>
      </c>
    </row>
    <row r="410" spans="1:7" x14ac:dyDescent="0.25">
      <c r="A410" s="49" t="s">
        <v>187</v>
      </c>
      <c r="B410" s="46">
        <v>0.233348</v>
      </c>
      <c r="C410" s="46">
        <v>6.6045099999999995E-2</v>
      </c>
      <c r="D410" s="46">
        <v>-5.14</v>
      </c>
      <c r="E410" s="46">
        <v>0</v>
      </c>
      <c r="F410" s="46">
        <f>B410-0.1339943</f>
        <v>9.9353699999999989E-2</v>
      </c>
      <c r="G410" s="46">
        <f>0.4063703-B410</f>
        <v>0.17302230000000002</v>
      </c>
    </row>
    <row r="411" spans="1:7" x14ac:dyDescent="0.25">
      <c r="A411" s="49" t="s">
        <v>188</v>
      </c>
      <c r="B411" s="46">
        <v>0.2851033</v>
      </c>
      <c r="C411" s="46">
        <v>8.1175200000000003E-2</v>
      </c>
      <c r="D411" s="46">
        <v>-4.41</v>
      </c>
      <c r="E411" s="46">
        <v>0</v>
      </c>
      <c r="F411" s="46">
        <f>B411-0.1631722</f>
        <v>0.12193110000000001</v>
      </c>
      <c r="G411" s="46">
        <f>0.4981477-B411</f>
        <v>0.21304440000000002</v>
      </c>
    </row>
    <row r="412" spans="1:7" x14ac:dyDescent="0.25">
      <c r="A412" s="49" t="s">
        <v>273</v>
      </c>
      <c r="B412" s="46">
        <v>0.31964169999999997</v>
      </c>
      <c r="C412" s="46">
        <v>8.4918300000000002E-2</v>
      </c>
      <c r="D412" s="46">
        <v>-4.29</v>
      </c>
      <c r="E412" s="46">
        <v>0</v>
      </c>
      <c r="F412" s="46">
        <f>B412-0.189901</f>
        <v>0.12974069999999999</v>
      </c>
      <c r="G412" s="46">
        <f>0.5380215-B412</f>
        <v>0.21837980000000007</v>
      </c>
    </row>
    <row r="413" spans="1:7" x14ac:dyDescent="0.25">
      <c r="A413" s="49" t="s">
        <v>274</v>
      </c>
      <c r="B413" s="46">
        <v>0.57823610000000003</v>
      </c>
      <c r="C413" s="46">
        <v>0.16035099999999999</v>
      </c>
      <c r="D413" s="46">
        <v>-1.98</v>
      </c>
      <c r="E413" s="46">
        <v>4.8000000000000001E-2</v>
      </c>
      <c r="F413" s="46">
        <f>B413-0.3357824</f>
        <v>0.24245370000000005</v>
      </c>
      <c r="G413" s="46">
        <f>0.9957548-B413</f>
        <v>0.41751870000000002</v>
      </c>
    </row>
    <row r="414" spans="1:7" x14ac:dyDescent="0.25">
      <c r="A414" s="49" t="s">
        <v>275</v>
      </c>
      <c r="B414" s="46">
        <v>4.2056299999999998E-2</v>
      </c>
      <c r="C414" s="46">
        <v>1.50543E-2</v>
      </c>
      <c r="D414" s="46">
        <v>-8.85</v>
      </c>
      <c r="E414" s="46">
        <v>0</v>
      </c>
      <c r="F414" s="46">
        <f>B414-0.0208515</f>
        <v>2.1204799999999999E-2</v>
      </c>
      <c r="G414" s="46">
        <f>0.0848251-B414</f>
        <v>4.2768800000000003E-2</v>
      </c>
    </row>
    <row r="415" spans="1:7" x14ac:dyDescent="0.25">
      <c r="A415" s="49" t="s">
        <v>276</v>
      </c>
      <c r="B415" s="46">
        <v>0.17050689999999999</v>
      </c>
      <c r="C415" s="46">
        <v>5.5972000000000001E-2</v>
      </c>
      <c r="D415" s="46">
        <v>-5.39</v>
      </c>
      <c r="E415" s="46">
        <v>0</v>
      </c>
      <c r="F415" s="46">
        <f>B415-0.0896023</f>
        <v>8.0904599999999993E-2</v>
      </c>
      <c r="G415" s="46">
        <f>0.3244625-B415</f>
        <v>0.1539556</v>
      </c>
    </row>
    <row r="416" spans="1:7" x14ac:dyDescent="0.25">
      <c r="A416" s="49" t="s">
        <v>277</v>
      </c>
      <c r="B416" s="46">
        <v>5.0469800000000002E-2</v>
      </c>
      <c r="C416" s="46">
        <v>1.7270199999999999E-2</v>
      </c>
      <c r="D416" s="46">
        <v>-8.73</v>
      </c>
      <c r="E416" s="46">
        <v>0</v>
      </c>
      <c r="F416" s="46">
        <f>B416-0.0258083</f>
        <v>2.4661500000000003E-2</v>
      </c>
      <c r="G416" s="46">
        <f>0.0986969-B416</f>
        <v>4.8227100000000002E-2</v>
      </c>
    </row>
    <row r="417" spans="1:22" x14ac:dyDescent="0.25">
      <c r="A417" s="49" t="s">
        <v>278</v>
      </c>
      <c r="B417" s="46">
        <v>0.1112002</v>
      </c>
      <c r="C417" s="46">
        <v>4.0159800000000002E-2</v>
      </c>
      <c r="D417" s="46">
        <v>-6.08</v>
      </c>
      <c r="E417" s="46">
        <v>0</v>
      </c>
      <c r="F417" s="46">
        <f>B417-0.0547892</f>
        <v>5.6410999999999996E-2</v>
      </c>
      <c r="G417" s="46">
        <f>0.2256919-B417</f>
        <v>0.1144917</v>
      </c>
    </row>
    <row r="418" spans="1:22" x14ac:dyDescent="0.25">
      <c r="A418" s="49" t="s">
        <v>279</v>
      </c>
      <c r="B418" s="46">
        <v>0.49908960000000002</v>
      </c>
      <c r="C418" s="46">
        <v>0.13078029999999999</v>
      </c>
      <c r="D418" s="46">
        <v>-2.65</v>
      </c>
      <c r="E418" s="46">
        <v>8.0000000000000002E-3</v>
      </c>
      <c r="F418" s="46">
        <f>B418-0.2986288</f>
        <v>0.20046079999999999</v>
      </c>
      <c r="G418" s="46">
        <f>0.834114-B418</f>
        <v>0.3350244</v>
      </c>
    </row>
    <row r="419" spans="1:22" x14ac:dyDescent="0.25">
      <c r="A419" s="49" t="s">
        <v>280</v>
      </c>
      <c r="B419" s="46">
        <v>1.171313</v>
      </c>
      <c r="C419" s="46">
        <v>0.31232100000000002</v>
      </c>
      <c r="D419" s="46">
        <v>0.59</v>
      </c>
      <c r="E419" s="46">
        <v>0.55300000000000005</v>
      </c>
      <c r="F419" s="46">
        <f>B419-0.6945554</f>
        <v>0.4767576</v>
      </c>
      <c r="G419" s="46">
        <f>1.975326-B419</f>
        <v>0.80401299999999987</v>
      </c>
    </row>
    <row r="420" spans="1:22" x14ac:dyDescent="0.25">
      <c r="A420" s="49" t="s">
        <v>281</v>
      </c>
      <c r="B420" s="46">
        <v>0.577596</v>
      </c>
      <c r="C420" s="46">
        <v>0.15030660000000001</v>
      </c>
      <c r="D420" s="46">
        <v>-2.11</v>
      </c>
      <c r="E420" s="46">
        <v>3.5000000000000003E-2</v>
      </c>
      <c r="F420" s="46">
        <f>B420-0.3468309</f>
        <v>0.2307651</v>
      </c>
      <c r="G420" s="46">
        <f>0.9619013-B420</f>
        <v>0.38430529999999996</v>
      </c>
    </row>
    <row r="421" spans="1:22" x14ac:dyDescent="0.25">
      <c r="A421" s="49" t="s">
        <v>282</v>
      </c>
      <c r="B421" s="46">
        <v>0.79322170000000003</v>
      </c>
      <c r="C421" s="46">
        <v>0.21689829999999999</v>
      </c>
      <c r="D421" s="46">
        <v>-0.85</v>
      </c>
      <c r="E421" s="46">
        <v>0.39700000000000002</v>
      </c>
      <c r="F421" s="46">
        <f>B421-0.4641328</f>
        <v>0.32908890000000002</v>
      </c>
      <c r="G421" s="46">
        <f>1.355648-B421</f>
        <v>0.56242629999999993</v>
      </c>
    </row>
    <row r="422" spans="1:22" x14ac:dyDescent="0.25">
      <c r="A422" s="49" t="s">
        <v>283</v>
      </c>
      <c r="B422" s="46">
        <v>0.58600730000000001</v>
      </c>
      <c r="C422" s="46">
        <v>0.15155460000000001</v>
      </c>
      <c r="D422" s="46">
        <v>-2.0699999999999998</v>
      </c>
      <c r="E422" s="46">
        <v>3.9E-2</v>
      </c>
      <c r="F422" s="46">
        <f>B422-0.3529907</f>
        <v>0.23301660000000002</v>
      </c>
      <c r="G422" s="46">
        <f>0.9728432-B422</f>
        <v>0.38683590000000001</v>
      </c>
    </row>
    <row r="423" spans="1:22" x14ac:dyDescent="0.25">
      <c r="A423" s="49" t="s">
        <v>284</v>
      </c>
      <c r="B423" s="46">
        <v>0.90442469999999997</v>
      </c>
      <c r="C423" s="46">
        <v>0.24337320000000001</v>
      </c>
      <c r="D423" s="46">
        <v>-0.37</v>
      </c>
      <c r="E423" s="46">
        <v>0.70899999999999996</v>
      </c>
      <c r="F423" s="46">
        <f>B423-0.5337294</f>
        <v>0.37069529999999995</v>
      </c>
      <c r="G423" s="46">
        <f>1.532582-B423</f>
        <v>0.62815730000000014</v>
      </c>
    </row>
    <row r="424" spans="1:22" x14ac:dyDescent="0.25">
      <c r="A424" s="49" t="s">
        <v>285</v>
      </c>
      <c r="B424" s="46">
        <v>4.2056299999999998E-2</v>
      </c>
      <c r="C424" s="46">
        <v>1.50717E-2</v>
      </c>
      <c r="D424" s="46">
        <v>-8.84</v>
      </c>
      <c r="E424" s="46">
        <v>0</v>
      </c>
      <c r="F424" s="46">
        <f>B424-0.0208346</f>
        <v>2.1221699999999996E-2</v>
      </c>
      <c r="G424" s="46">
        <f>0.0848938-B424</f>
        <v>4.2837500000000008E-2</v>
      </c>
    </row>
    <row r="425" spans="1:22" x14ac:dyDescent="0.25">
      <c r="A425" s="49" t="s">
        <v>286</v>
      </c>
      <c r="B425" s="46">
        <v>9.6372600000000003E-2</v>
      </c>
      <c r="C425" s="46">
        <v>3.6118400000000002E-2</v>
      </c>
      <c r="D425" s="46">
        <v>-6.24</v>
      </c>
      <c r="E425" s="46">
        <v>0</v>
      </c>
      <c r="F425" s="46">
        <f>B425-0.0462319</f>
        <v>5.0140700000000003E-2</v>
      </c>
      <c r="G425" s="46">
        <f>0.2008933-B425</f>
        <v>0.10452069999999999</v>
      </c>
    </row>
    <row r="426" spans="1:22" x14ac:dyDescent="0.25">
      <c r="A426" s="49" t="s">
        <v>287</v>
      </c>
      <c r="B426" s="46">
        <v>3.9250800000000002E-2</v>
      </c>
      <c r="C426" s="46">
        <v>1.7291999999999998E-2</v>
      </c>
      <c r="D426" s="46">
        <v>-7.35</v>
      </c>
      <c r="E426" s="46">
        <v>0</v>
      </c>
      <c r="F426" s="46">
        <f>B426-0.0165521</f>
        <v>2.2698700000000002E-2</v>
      </c>
      <c r="G426" s="46">
        <f>0.0930777-B426</f>
        <v>5.3826899999999997E-2</v>
      </c>
    </row>
    <row r="427" spans="1:22" x14ac:dyDescent="0.25">
      <c r="A427" s="49" t="s">
        <v>288</v>
      </c>
      <c r="B427" s="46">
        <v>5.9304200000000001E-2</v>
      </c>
      <c r="C427" s="46">
        <v>2.76536E-2</v>
      </c>
      <c r="D427" s="46">
        <v>-6.06</v>
      </c>
      <c r="E427" s="46">
        <v>0</v>
      </c>
      <c r="F427" s="46">
        <f>B427-0.0237777</f>
        <v>3.5526500000000003E-2</v>
      </c>
      <c r="G427" s="46">
        <f>0.1479111-B427</f>
        <v>8.8606899999999988E-2</v>
      </c>
    </row>
    <row r="428" spans="1:22" x14ac:dyDescent="0.25">
      <c r="A428" s="49" t="s">
        <v>289</v>
      </c>
      <c r="B428" s="46">
        <v>4.7665600000000002E-2</v>
      </c>
      <c r="C428" s="46">
        <v>1.6554800000000001E-2</v>
      </c>
      <c r="D428" s="46">
        <v>-8.76</v>
      </c>
      <c r="E428" s="46">
        <v>0</v>
      </c>
      <c r="F428" s="46">
        <f>B428-0.0241309</f>
        <v>2.3534700000000002E-2</v>
      </c>
      <c r="G428" s="46">
        <f>0.0941535-B428</f>
        <v>4.6487899999999999E-2</v>
      </c>
    </row>
    <row r="429" spans="1:22" x14ac:dyDescent="0.25">
      <c r="A429" s="49" t="s">
        <v>290</v>
      </c>
      <c r="B429" s="46">
        <v>0.12602730000000001</v>
      </c>
      <c r="C429" s="46">
        <v>4.4123099999999998E-2</v>
      </c>
      <c r="D429" s="46">
        <v>-5.92</v>
      </c>
      <c r="E429" s="46">
        <v>0</v>
      </c>
      <c r="F429" s="46">
        <f>B429-0.0634531</f>
        <v>6.257420000000001E-2</v>
      </c>
      <c r="G429" s="46">
        <f>0.250309-B429</f>
        <v>0.12428169999999999</v>
      </c>
    </row>
    <row r="430" spans="1:22" x14ac:dyDescent="0.25">
      <c r="A430" s="49"/>
      <c r="B430" s="47"/>
      <c r="C430" s="47"/>
      <c r="D430" s="47"/>
      <c r="E430" s="47"/>
      <c r="F430" s="47"/>
      <c r="G430" s="47"/>
    </row>
    <row r="431" spans="1:22" x14ac:dyDescent="0.25">
      <c r="A431" s="50" t="s">
        <v>6</v>
      </c>
      <c r="B431" s="48">
        <v>2.0696999999999998E-3</v>
      </c>
      <c r="C431" s="48">
        <v>5.3300000000000005E-4</v>
      </c>
      <c r="D431" s="48">
        <v>-24</v>
      </c>
      <c r="E431" s="48">
        <v>0</v>
      </c>
      <c r="F431" s="48">
        <v>1.2495E-3</v>
      </c>
      <c r="G431" s="48">
        <v>3.4283999999999999E-3</v>
      </c>
      <c r="U431" s="46"/>
      <c r="V431" s="46"/>
    </row>
    <row r="432" spans="1:22" x14ac:dyDescent="0.25">
      <c r="U432" s="46"/>
      <c r="V432" s="46"/>
    </row>
    <row r="433" spans="1:22" ht="15.75" thickBot="1" x14ac:dyDescent="0.3">
      <c r="M433" s="7"/>
      <c r="N433" s="46">
        <v>0.31395269999999997</v>
      </c>
      <c r="O433" s="46">
        <v>0.71051019999999998</v>
      </c>
      <c r="P433" s="46">
        <v>0.33247120000000002</v>
      </c>
      <c r="Q433" s="46">
        <v>0.71032800000000007</v>
      </c>
      <c r="R433" s="46">
        <v>9.6261999999999986E-2</v>
      </c>
      <c r="S433" s="46">
        <v>0.41874080000000002</v>
      </c>
      <c r="T433" s="7"/>
      <c r="U433" s="46"/>
      <c r="V433" s="46"/>
    </row>
    <row r="434" spans="1:22" x14ac:dyDescent="0.25">
      <c r="A434" s="10"/>
      <c r="B434" s="11"/>
      <c r="C434" s="11" t="s">
        <v>10</v>
      </c>
      <c r="D434" s="11" t="s">
        <v>40</v>
      </c>
      <c r="E434" s="11" t="s">
        <v>11</v>
      </c>
      <c r="F434" s="11" t="s">
        <v>7</v>
      </c>
      <c r="G434" s="11" t="s">
        <v>8</v>
      </c>
      <c r="H434" s="11" t="s">
        <v>62</v>
      </c>
      <c r="I434" s="11" t="s">
        <v>63</v>
      </c>
      <c r="J434" s="11" t="s">
        <v>64</v>
      </c>
      <c r="K434" s="12" t="s">
        <v>65</v>
      </c>
      <c r="M434" s="9"/>
      <c r="N434" s="46">
        <v>0.56646390000000002</v>
      </c>
      <c r="O434" s="46">
        <v>1.3356913000000001</v>
      </c>
      <c r="P434" s="46">
        <v>0.50375550000000002</v>
      </c>
      <c r="Q434" s="46">
        <v>1.2147897000000001</v>
      </c>
      <c r="R434" s="55">
        <v>4.3300000000000003E-7</v>
      </c>
      <c r="S434" s="55">
        <v>7.4000000000000011E-7</v>
      </c>
      <c r="T434" s="7"/>
      <c r="U434" s="46"/>
      <c r="V434" s="46"/>
    </row>
    <row r="435" spans="1:22" x14ac:dyDescent="0.25">
      <c r="A435" s="24" t="s">
        <v>105</v>
      </c>
      <c r="B435" s="7" t="s">
        <v>152</v>
      </c>
      <c r="C435" s="14">
        <f>B376</f>
        <v>0.5625078</v>
      </c>
      <c r="D435" s="15">
        <f>B378</f>
        <v>0.31250420000000001</v>
      </c>
      <c r="E435" s="15">
        <f>B380</f>
        <v>0.31250420000000001</v>
      </c>
      <c r="F435" s="15">
        <f>B382</f>
        <v>0.62500800000000001</v>
      </c>
      <c r="G435" s="15">
        <f>B384</f>
        <v>1</v>
      </c>
      <c r="H435" s="15">
        <f>B386</f>
        <v>0.37500480000000003</v>
      </c>
      <c r="I435" s="16">
        <f>B388</f>
        <v>0.12499689999999999</v>
      </c>
      <c r="J435" s="16">
        <f>B390</f>
        <v>0.25000339999999999</v>
      </c>
      <c r="K435" s="17">
        <f>B392</f>
        <v>0.50000699999999998</v>
      </c>
      <c r="M435" s="7"/>
      <c r="N435" s="46">
        <v>0.12974069999999999</v>
      </c>
      <c r="O435" s="46">
        <v>0.21837980000000007</v>
      </c>
      <c r="P435" s="46">
        <v>0.20046079999999999</v>
      </c>
      <c r="Q435" s="46">
        <v>0.3350244</v>
      </c>
      <c r="R435" s="46">
        <v>2.1221699999999996E-2</v>
      </c>
      <c r="S435" s="46">
        <v>4.2837500000000008E-2</v>
      </c>
      <c r="T435" s="7"/>
      <c r="U435" s="46"/>
      <c r="V435" s="46"/>
    </row>
    <row r="436" spans="1:22" x14ac:dyDescent="0.25">
      <c r="A436" s="24"/>
      <c r="B436" s="7" t="s">
        <v>372</v>
      </c>
      <c r="C436" s="15">
        <f>B377</f>
        <v>0.98361169999999998</v>
      </c>
      <c r="D436" s="15">
        <f>B379</f>
        <v>0.61475650000000004</v>
      </c>
      <c r="E436" s="15">
        <f>B381</f>
        <v>0.73770559999999996</v>
      </c>
      <c r="F436" s="15">
        <f>B383</f>
        <v>0.86065729999999996</v>
      </c>
      <c r="G436" s="15">
        <f>B385</f>
        <v>0.73770559999999996</v>
      </c>
      <c r="H436" s="15">
        <f>B387</f>
        <v>0.49180839999999998</v>
      </c>
      <c r="I436" s="16">
        <f>B389</f>
        <v>1.02E-6</v>
      </c>
      <c r="J436" s="16">
        <f>B391</f>
        <v>0.2459046</v>
      </c>
      <c r="K436" s="18">
        <f>B393</f>
        <v>0.86065729999999996</v>
      </c>
      <c r="M436" s="7"/>
      <c r="N436" s="46">
        <v>0.24245370000000005</v>
      </c>
      <c r="O436" s="46">
        <v>0.41751870000000002</v>
      </c>
      <c r="P436" s="46">
        <v>0.4767576</v>
      </c>
      <c r="Q436" s="46">
        <v>0.80401299999999987</v>
      </c>
      <c r="R436" s="46">
        <v>5.0140700000000003E-2</v>
      </c>
      <c r="S436" s="46">
        <v>0.10452069999999999</v>
      </c>
      <c r="T436" s="7"/>
      <c r="U436" s="46"/>
      <c r="V436" s="46"/>
    </row>
    <row r="437" spans="1:22" x14ac:dyDescent="0.25">
      <c r="A437" s="24" t="s">
        <v>106</v>
      </c>
      <c r="B437" s="7" t="s">
        <v>152</v>
      </c>
      <c r="C437" s="15">
        <f>B412</f>
        <v>0.31964169999999997</v>
      </c>
      <c r="D437" s="15">
        <f>B414</f>
        <v>4.2056299999999998E-2</v>
      </c>
      <c r="E437" s="15">
        <f>B416</f>
        <v>5.0469800000000002E-2</v>
      </c>
      <c r="F437" s="15">
        <f>B418</f>
        <v>0.49908960000000002</v>
      </c>
      <c r="G437" s="4">
        <f>B420</f>
        <v>0.577596</v>
      </c>
      <c r="H437" s="15">
        <f>B422</f>
        <v>0.58600730000000001</v>
      </c>
      <c r="I437" s="16">
        <f>B424</f>
        <v>4.2056299999999998E-2</v>
      </c>
      <c r="J437" s="16">
        <f>B426</f>
        <v>3.9250800000000002E-2</v>
      </c>
      <c r="K437" s="17">
        <f>B428</f>
        <v>4.7665600000000002E-2</v>
      </c>
      <c r="M437" s="7"/>
      <c r="N437" s="46">
        <v>0.1980325</v>
      </c>
      <c r="O437" s="46">
        <v>0.54062270000000001</v>
      </c>
      <c r="P437" s="46">
        <v>0</v>
      </c>
      <c r="Q437" s="46">
        <v>0</v>
      </c>
      <c r="R437" s="46">
        <v>0.16643179999999999</v>
      </c>
      <c r="S437" s="46">
        <v>0.49787800000000004</v>
      </c>
      <c r="T437" s="7"/>
      <c r="U437" s="46"/>
      <c r="V437" s="46"/>
    </row>
    <row r="438" spans="1:22" ht="15.75" thickBot="1" x14ac:dyDescent="0.3">
      <c r="A438" s="26"/>
      <c r="B438" s="27" t="s">
        <v>372</v>
      </c>
      <c r="C438" s="28">
        <f>B413</f>
        <v>0.57823610000000003</v>
      </c>
      <c r="D438" s="29">
        <f>B415</f>
        <v>0.17050689999999999</v>
      </c>
      <c r="E438" s="29">
        <f>B417</f>
        <v>0.1112002</v>
      </c>
      <c r="F438" s="28">
        <f>B419</f>
        <v>1.171313</v>
      </c>
      <c r="G438" s="28">
        <f>B421</f>
        <v>0.79322170000000003</v>
      </c>
      <c r="H438" s="29">
        <f>B423</f>
        <v>0.90442469999999997</v>
      </c>
      <c r="I438" s="29">
        <f>B425</f>
        <v>9.6372600000000003E-2</v>
      </c>
      <c r="J438" s="29">
        <f>B427</f>
        <v>5.9304200000000001E-2</v>
      </c>
      <c r="K438" s="31">
        <f>B429</f>
        <v>0.12602730000000001</v>
      </c>
      <c r="M438" s="9"/>
      <c r="N438" s="46">
        <v>0.38096650000000004</v>
      </c>
      <c r="O438" s="46">
        <v>1.0017605000000001</v>
      </c>
      <c r="P438" s="46">
        <v>0.43799599999999994</v>
      </c>
      <c r="Q438" s="46">
        <v>1.0780844000000001</v>
      </c>
      <c r="R438" s="46">
        <v>0.1888292</v>
      </c>
      <c r="S438" s="46">
        <v>0.8135543999999999</v>
      </c>
      <c r="T438" s="7"/>
      <c r="U438" s="46"/>
      <c r="V438" s="46"/>
    </row>
    <row r="439" spans="1:22" x14ac:dyDescent="0.25">
      <c r="M439" s="7"/>
      <c r="N439" s="46">
        <v>2.1204799999999999E-2</v>
      </c>
      <c r="O439" s="46">
        <v>4.2768800000000003E-2</v>
      </c>
      <c r="P439" s="46">
        <v>0.2307651</v>
      </c>
      <c r="Q439" s="46">
        <v>0.38430529999999996</v>
      </c>
      <c r="R439" s="46">
        <v>2.2698700000000002E-2</v>
      </c>
      <c r="S439" s="46">
        <v>5.3826899999999997E-2</v>
      </c>
      <c r="T439" s="7"/>
      <c r="U439" s="46"/>
      <c r="V439" s="46"/>
    </row>
    <row r="440" spans="1:22" x14ac:dyDescent="0.25">
      <c r="M440" s="7"/>
      <c r="N440" s="46">
        <v>8.0904599999999993E-2</v>
      </c>
      <c r="O440" s="46">
        <v>0.1539556</v>
      </c>
      <c r="P440" s="46">
        <v>0.32908890000000002</v>
      </c>
      <c r="Q440" s="46">
        <v>0.56242629999999993</v>
      </c>
      <c r="R440" s="46">
        <v>3.5526500000000003E-2</v>
      </c>
      <c r="S440" s="46">
        <v>8.8606899999999988E-2</v>
      </c>
      <c r="T440" s="7"/>
      <c r="U440" s="46"/>
      <c r="V440" s="46"/>
    </row>
    <row r="441" spans="1:22" x14ac:dyDescent="0.25">
      <c r="M441" s="7"/>
      <c r="N441" s="46">
        <v>0.1980325</v>
      </c>
      <c r="O441" s="46">
        <v>0.54062270000000001</v>
      </c>
      <c r="P441" s="46">
        <v>0.22827750000000002</v>
      </c>
      <c r="Q441" s="46">
        <v>0.58343009999999995</v>
      </c>
      <c r="R441" s="46">
        <v>0.28603590000000001</v>
      </c>
      <c r="S441" s="46">
        <v>0.668408</v>
      </c>
      <c r="T441" s="7"/>
      <c r="U441" s="46"/>
      <c r="V441" s="46"/>
    </row>
    <row r="442" spans="1:22" x14ac:dyDescent="0.25">
      <c r="M442" s="7"/>
      <c r="N442" s="46">
        <v>0.44563609999999998</v>
      </c>
      <c r="O442" s="46">
        <v>1.1255824000000001</v>
      </c>
      <c r="P442" s="46">
        <v>0.32867539999999995</v>
      </c>
      <c r="Q442" s="46">
        <v>0.99088059999999989</v>
      </c>
      <c r="R442" s="46">
        <v>0.50944089999999997</v>
      </c>
      <c r="S442" s="46">
        <v>1.2483867</v>
      </c>
      <c r="T442" s="7"/>
      <c r="U442" s="46"/>
      <c r="V442" s="46"/>
    </row>
    <row r="443" spans="1:22" x14ac:dyDescent="0.25">
      <c r="M443" s="7"/>
      <c r="N443" s="46">
        <v>2.4661500000000003E-2</v>
      </c>
      <c r="O443" s="46">
        <v>4.8227100000000002E-2</v>
      </c>
      <c r="P443" s="46">
        <v>0.23301660000000002</v>
      </c>
      <c r="Q443" s="46">
        <v>0.38683590000000001</v>
      </c>
      <c r="R443" s="46">
        <v>2.3534700000000002E-2</v>
      </c>
      <c r="S443" s="46">
        <v>4.6487899999999999E-2</v>
      </c>
      <c r="T443" s="7"/>
      <c r="U443" s="46"/>
      <c r="V443" s="46"/>
    </row>
    <row r="444" spans="1:22" x14ac:dyDescent="0.25">
      <c r="M444" s="7"/>
      <c r="N444" s="46">
        <v>5.6410999999999996E-2</v>
      </c>
      <c r="O444" s="46">
        <v>0.1144917</v>
      </c>
      <c r="P444" s="46">
        <v>0.37069529999999995</v>
      </c>
      <c r="Q444" s="46">
        <v>0.62815730000000014</v>
      </c>
      <c r="R444" s="46">
        <v>6.257420000000001E-2</v>
      </c>
      <c r="S444" s="46">
        <v>0.12428169999999999</v>
      </c>
      <c r="T444" s="7"/>
      <c r="U444" s="46"/>
      <c r="V444" s="46"/>
    </row>
    <row r="445" spans="1:22" x14ac:dyDescent="0.25">
      <c r="M445" s="7"/>
      <c r="N445" s="9"/>
      <c r="O445" s="7"/>
      <c r="P445" s="9"/>
      <c r="Q445" s="7"/>
      <c r="R445" s="7"/>
      <c r="T445" s="7"/>
      <c r="U445" s="46"/>
      <c r="V445" s="46"/>
    </row>
    <row r="446" spans="1:22" x14ac:dyDescent="0.25">
      <c r="M446" s="7"/>
      <c r="N446" s="9"/>
      <c r="O446" s="7"/>
      <c r="P446" s="7"/>
      <c r="Q446" s="9"/>
      <c r="R446" s="9"/>
      <c r="T446" s="7"/>
      <c r="U446" s="46"/>
      <c r="V446" s="46"/>
    </row>
    <row r="447" spans="1:22" x14ac:dyDescent="0.25">
      <c r="M447" s="9"/>
      <c r="N447" s="9"/>
      <c r="O447" s="7"/>
      <c r="P447" s="9"/>
      <c r="Q447" s="9"/>
      <c r="R447" s="9"/>
      <c r="T447" s="7"/>
      <c r="U447" s="46"/>
      <c r="V447" s="46"/>
    </row>
    <row r="448" spans="1:22" x14ac:dyDescent="0.25">
      <c r="M448" s="7"/>
      <c r="N448" s="7"/>
      <c r="O448" s="7"/>
      <c r="P448" s="7"/>
      <c r="Q448" s="9"/>
      <c r="R448" s="9"/>
      <c r="T448" s="7"/>
      <c r="U448" s="46"/>
      <c r="V448" s="46"/>
    </row>
    <row r="449" spans="13:22" x14ac:dyDescent="0.25">
      <c r="M449" s="7"/>
      <c r="N449" s="9"/>
      <c r="O449" s="7"/>
      <c r="P449" s="9"/>
      <c r="Q449" s="23"/>
      <c r="R449" s="23"/>
      <c r="T449" s="7"/>
      <c r="U449" s="46"/>
      <c r="V449" s="46"/>
    </row>
    <row r="450" spans="13:22" x14ac:dyDescent="0.25">
      <c r="M450" s="7"/>
      <c r="N450" s="7"/>
      <c r="O450" s="9"/>
      <c r="P450" s="7"/>
      <c r="Q450" s="7"/>
      <c r="R450" s="7"/>
      <c r="T450" s="7"/>
      <c r="U450" s="2"/>
      <c r="V450" s="2"/>
    </row>
    <row r="451" spans="13:22" x14ac:dyDescent="0.25">
      <c r="M451" s="7"/>
      <c r="N451" s="9"/>
      <c r="O451" s="7"/>
      <c r="P451" s="9"/>
      <c r="Q451" s="7"/>
      <c r="R451" s="7"/>
      <c r="U451" s="7"/>
      <c r="V451" s="9"/>
    </row>
    <row r="452" spans="13:22" x14ac:dyDescent="0.25">
      <c r="M452" s="7"/>
      <c r="N452" s="7"/>
      <c r="O452" s="9"/>
      <c r="P452" s="9"/>
      <c r="Q452" s="7"/>
      <c r="R452" s="7"/>
      <c r="U452" s="7"/>
      <c r="V452" s="9"/>
    </row>
    <row r="453" spans="13:22" x14ac:dyDescent="0.25">
      <c r="M453" s="7"/>
      <c r="N453" s="9"/>
      <c r="O453" s="9"/>
      <c r="P453" s="9"/>
      <c r="Q453" s="7"/>
      <c r="R453" s="7"/>
      <c r="U453" s="7"/>
      <c r="V453" s="9"/>
    </row>
    <row r="454" spans="13:22" x14ac:dyDescent="0.25">
      <c r="M454" s="7"/>
      <c r="N454" s="7"/>
      <c r="O454" s="9"/>
      <c r="P454" s="7"/>
      <c r="U454" s="7"/>
      <c r="V454" s="7"/>
    </row>
    <row r="455" spans="13:22" x14ac:dyDescent="0.25">
      <c r="M455" s="7"/>
      <c r="N455" s="9"/>
      <c r="O455" s="7"/>
      <c r="P455" s="9"/>
      <c r="U455" s="7"/>
      <c r="V455" s="7"/>
    </row>
    <row r="456" spans="13:22" x14ac:dyDescent="0.25">
      <c r="M456" s="9"/>
      <c r="N456" s="9"/>
      <c r="O456" s="9"/>
      <c r="P456" s="9"/>
      <c r="U456" s="7"/>
      <c r="V456" s="7"/>
    </row>
    <row r="457" spans="13:22" x14ac:dyDescent="0.25">
      <c r="M457" s="23"/>
      <c r="N457" s="23"/>
      <c r="O457" s="23"/>
      <c r="P457" s="23"/>
      <c r="U457" s="7"/>
      <c r="V457" s="7"/>
    </row>
    <row r="458" spans="13:22" x14ac:dyDescent="0.25">
      <c r="M458" s="7"/>
      <c r="N458" s="7"/>
      <c r="O458" s="7"/>
      <c r="P458" s="9"/>
      <c r="U458" s="7"/>
      <c r="V458" s="7"/>
    </row>
    <row r="459" spans="13:22" x14ac:dyDescent="0.25">
      <c r="M459" s="23"/>
      <c r="N459" s="23"/>
      <c r="O459" s="7"/>
      <c r="P459" s="9"/>
      <c r="U459" s="7"/>
      <c r="V459" s="7"/>
    </row>
    <row r="460" spans="13:22" x14ac:dyDescent="0.25">
      <c r="M460" s="7"/>
      <c r="N460" s="9"/>
      <c r="O460" s="7"/>
      <c r="P460" s="9"/>
      <c r="U460" s="7"/>
      <c r="V460" s="7"/>
    </row>
    <row r="461" spans="13:22" x14ac:dyDescent="0.25">
      <c r="M461" s="23"/>
      <c r="N461" s="23"/>
      <c r="O461" s="23"/>
      <c r="P461" s="23"/>
      <c r="U461" s="7"/>
      <c r="V461" s="7"/>
    </row>
    <row r="462" spans="13:22" x14ac:dyDescent="0.25">
      <c r="M462" s="7"/>
      <c r="N462" s="7"/>
      <c r="U462" s="7"/>
      <c r="V462" s="7"/>
    </row>
    <row r="463" spans="13:22" x14ac:dyDescent="0.25">
      <c r="M463" s="7"/>
      <c r="N463" s="9"/>
      <c r="U463" s="7"/>
      <c r="V463" s="7"/>
    </row>
    <row r="464" spans="13:22" x14ac:dyDescent="0.25">
      <c r="M464" s="7"/>
      <c r="N464" s="9"/>
      <c r="U464" s="7"/>
      <c r="V464" s="7"/>
    </row>
    <row r="465" spans="13:22" x14ac:dyDescent="0.25">
      <c r="M465" s="23"/>
      <c r="N465" s="23"/>
      <c r="U465" s="7"/>
      <c r="V465" s="7"/>
    </row>
    <row r="466" spans="13:22" x14ac:dyDescent="0.25">
      <c r="M466" s="7"/>
      <c r="N466" s="7"/>
    </row>
    <row r="467" spans="13:22" x14ac:dyDescent="0.25">
      <c r="M467" s="7"/>
      <c r="N467" s="9"/>
    </row>
    <row r="468" spans="13:22" x14ac:dyDescent="0.25">
      <c r="M468" s="9"/>
      <c r="N468" s="9"/>
    </row>
    <row r="469" spans="13:22" x14ac:dyDescent="0.25">
      <c r="M469" s="23"/>
      <c r="N469" s="23"/>
    </row>
    <row r="470" spans="13:22" x14ac:dyDescent="0.25">
      <c r="M470" s="7"/>
      <c r="N470" s="9"/>
    </row>
    <row r="471" spans="13:22" x14ac:dyDescent="0.25">
      <c r="M471" s="7"/>
      <c r="N471" s="9"/>
    </row>
    <row r="472" spans="13:22" x14ac:dyDescent="0.25">
      <c r="M472" s="7"/>
      <c r="N472" s="9"/>
    </row>
    <row r="473" spans="13:22" x14ac:dyDescent="0.25">
      <c r="M473" s="23"/>
      <c r="N473" s="23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BAEF-BB19-4D6C-A0EC-FE4E71F90C14}">
  <dimension ref="A1:W470"/>
  <sheetViews>
    <sheetView topLeftCell="A432" workbookViewId="0">
      <selection activeCell="I259" sqref="I259"/>
    </sheetView>
  </sheetViews>
  <sheetFormatPr defaultColWidth="8.7109375" defaultRowHeight="15" x14ac:dyDescent="0.25"/>
  <cols>
    <col min="1" max="1" width="8.7109375" style="4"/>
    <col min="2" max="2" width="9.42578125" style="4" bestFit="1" customWidth="1"/>
    <col min="3" max="5" width="8.7109375" style="4"/>
    <col min="6" max="7" width="10.42578125" style="4" bestFit="1" customWidth="1"/>
    <col min="8" max="16384" width="8.7109375" style="4"/>
  </cols>
  <sheetData>
    <row r="1" spans="1:7" s="1" customFormat="1" x14ac:dyDescent="0.25">
      <c r="A1" s="1" t="s">
        <v>38</v>
      </c>
    </row>
    <row r="2" spans="1:7" s="1" customFormat="1" x14ac:dyDescent="0.25">
      <c r="A2" s="1" t="s">
        <v>319</v>
      </c>
    </row>
    <row r="4" spans="1:7" x14ac:dyDescent="0.25">
      <c r="A4" s="36"/>
      <c r="B4" s="2" t="s">
        <v>1</v>
      </c>
      <c r="C4" s="3"/>
      <c r="D4" s="3"/>
      <c r="E4" s="3"/>
      <c r="F4" s="3"/>
      <c r="G4" s="3"/>
    </row>
    <row r="5" spans="1:7" x14ac:dyDescent="0.25">
      <c r="A5" s="5" t="s">
        <v>2</v>
      </c>
      <c r="B5" s="6" t="s">
        <v>269</v>
      </c>
      <c r="C5" s="6" t="s">
        <v>270</v>
      </c>
      <c r="D5" s="6" t="s">
        <v>3</v>
      </c>
      <c r="E5" s="6" t="s">
        <v>4</v>
      </c>
      <c r="F5" s="6" t="s">
        <v>271</v>
      </c>
      <c r="G5" s="6" t="s">
        <v>272</v>
      </c>
    </row>
    <row r="6" spans="1:7" x14ac:dyDescent="0.25">
      <c r="A6" s="36"/>
      <c r="B6" s="2"/>
      <c r="C6" s="2"/>
      <c r="D6" s="3"/>
      <c r="E6" s="3"/>
      <c r="F6" s="3"/>
      <c r="G6" s="3"/>
    </row>
    <row r="7" spans="1:7" x14ac:dyDescent="0.25">
      <c r="A7" s="36" t="s">
        <v>39</v>
      </c>
      <c r="B7" s="3"/>
      <c r="C7" s="3"/>
      <c r="D7" s="3"/>
      <c r="E7" s="3"/>
      <c r="F7" s="3"/>
      <c r="G7" s="3"/>
    </row>
    <row r="8" spans="1:7" x14ac:dyDescent="0.25">
      <c r="A8" s="36" t="s">
        <v>46</v>
      </c>
      <c r="B8" s="2">
        <v>0.4766147</v>
      </c>
      <c r="C8" s="2">
        <v>3.9837999999999998E-2</v>
      </c>
      <c r="D8" s="2">
        <v>-8.8699999999999992</v>
      </c>
      <c r="E8" s="2">
        <v>0</v>
      </c>
      <c r="F8" s="2">
        <v>0.40459390000000001</v>
      </c>
      <c r="G8" s="2">
        <v>0.5614557</v>
      </c>
    </row>
    <row r="9" spans="1:7" x14ac:dyDescent="0.25">
      <c r="A9" s="36" t="s">
        <v>16</v>
      </c>
      <c r="B9" s="2">
        <v>0.98764730000000001</v>
      </c>
      <c r="C9" s="2">
        <v>7.4326699999999996E-2</v>
      </c>
      <c r="D9" s="2">
        <v>-0.17</v>
      </c>
      <c r="E9" s="2">
        <v>0.86899999999999999</v>
      </c>
      <c r="F9" s="2">
        <v>0.85220399999999996</v>
      </c>
      <c r="G9" s="2">
        <v>1.144617</v>
      </c>
    </row>
    <row r="10" spans="1:7" x14ac:dyDescent="0.25">
      <c r="A10" s="36" t="s">
        <v>17</v>
      </c>
      <c r="B10" s="2">
        <v>1.705274</v>
      </c>
      <c r="C10" s="2">
        <v>0.1131786</v>
      </c>
      <c r="D10" s="2">
        <v>8.0399999999999991</v>
      </c>
      <c r="E10" s="2">
        <v>0</v>
      </c>
      <c r="F10" s="2">
        <v>1.4972700000000001</v>
      </c>
      <c r="G10" s="2">
        <v>1.9421740000000001</v>
      </c>
    </row>
    <row r="11" spans="1:7" x14ac:dyDescent="0.25">
      <c r="A11" s="36" t="s">
        <v>18</v>
      </c>
      <c r="B11" s="2">
        <v>0.87781710000000002</v>
      </c>
      <c r="C11" s="2">
        <v>0.1234252</v>
      </c>
      <c r="D11" s="2">
        <v>-0.93</v>
      </c>
      <c r="E11" s="2">
        <v>0.35399999999999998</v>
      </c>
      <c r="F11" s="2">
        <v>0.66637860000000004</v>
      </c>
      <c r="G11" s="2">
        <v>1.156344</v>
      </c>
    </row>
    <row r="12" spans="1:7" x14ac:dyDescent="0.25">
      <c r="A12" s="36" t="s">
        <v>19</v>
      </c>
      <c r="B12" s="2">
        <v>0.14922050000000001</v>
      </c>
      <c r="C12" s="2">
        <v>1.9640399999999999E-2</v>
      </c>
      <c r="D12" s="2">
        <v>-14.45</v>
      </c>
      <c r="E12" s="2">
        <v>0</v>
      </c>
      <c r="F12" s="2">
        <v>0.1152904</v>
      </c>
      <c r="G12" s="2">
        <v>0.19313620000000001</v>
      </c>
    </row>
    <row r="13" spans="1:7" x14ac:dyDescent="0.25">
      <c r="A13" s="36" t="s">
        <v>20</v>
      </c>
      <c r="B13" s="2">
        <v>0.35882150000000002</v>
      </c>
      <c r="C13" s="2">
        <v>3.9690799999999998E-2</v>
      </c>
      <c r="D13" s="2">
        <v>-9.27</v>
      </c>
      <c r="E13" s="2">
        <v>0</v>
      </c>
      <c r="F13" s="2">
        <v>0.28888399999999997</v>
      </c>
      <c r="G13" s="2">
        <v>0.44569059999999999</v>
      </c>
    </row>
    <row r="14" spans="1:7" x14ac:dyDescent="0.25">
      <c r="A14" s="36" t="s">
        <v>21</v>
      </c>
      <c r="B14" s="2">
        <v>0.54459849999999999</v>
      </c>
      <c r="C14" s="2">
        <v>5.1798799999999999E-2</v>
      </c>
      <c r="D14" s="2">
        <v>-6.39</v>
      </c>
      <c r="E14" s="2">
        <v>0</v>
      </c>
      <c r="F14" s="2">
        <v>0.45197609999999999</v>
      </c>
      <c r="G14" s="2">
        <v>0.6562017</v>
      </c>
    </row>
    <row r="15" spans="1:7" x14ac:dyDescent="0.25">
      <c r="A15" s="36" t="s">
        <v>22</v>
      </c>
      <c r="B15" s="2">
        <v>0.56537369999999998</v>
      </c>
      <c r="C15" s="2">
        <v>9.8298399999999994E-2</v>
      </c>
      <c r="D15" s="2">
        <v>-3.28</v>
      </c>
      <c r="E15" s="2">
        <v>1E-3</v>
      </c>
      <c r="F15" s="2">
        <v>0.4021072</v>
      </c>
      <c r="G15" s="2">
        <v>0.79493080000000005</v>
      </c>
    </row>
    <row r="16" spans="1:7" x14ac:dyDescent="0.25">
      <c r="A16" s="36" t="s">
        <v>23</v>
      </c>
      <c r="B16" s="2">
        <v>0.26726060000000001</v>
      </c>
      <c r="C16" s="2">
        <v>2.7493199999999999E-2</v>
      </c>
      <c r="D16" s="2">
        <v>-12.83</v>
      </c>
      <c r="E16" s="2">
        <v>0</v>
      </c>
      <c r="F16" s="2">
        <v>0.21845980000000001</v>
      </c>
      <c r="G16" s="2">
        <v>0.3269627</v>
      </c>
    </row>
    <row r="17" spans="1:7" x14ac:dyDescent="0.25">
      <c r="A17" s="36" t="s">
        <v>24</v>
      </c>
      <c r="B17" s="2">
        <v>0.52224519999999997</v>
      </c>
      <c r="C17" s="2">
        <v>5.04977E-2</v>
      </c>
      <c r="D17" s="2">
        <v>-6.72</v>
      </c>
      <c r="E17" s="2">
        <v>0</v>
      </c>
      <c r="F17" s="2">
        <v>0.43208469999999999</v>
      </c>
      <c r="G17" s="2">
        <v>0.63121890000000003</v>
      </c>
    </row>
    <row r="18" spans="1:7" x14ac:dyDescent="0.25">
      <c r="A18" s="36" t="s">
        <v>25</v>
      </c>
      <c r="B18" s="2">
        <v>0.92922119999999997</v>
      </c>
      <c r="C18" s="2">
        <v>7.2604799999999997E-2</v>
      </c>
      <c r="D18" s="2">
        <v>-0.94</v>
      </c>
      <c r="E18" s="2">
        <v>0.34699999999999998</v>
      </c>
      <c r="F18" s="2">
        <v>0.79727899999999996</v>
      </c>
      <c r="G18" s="2">
        <v>1.0829979999999999</v>
      </c>
    </row>
    <row r="19" spans="1:7" x14ac:dyDescent="0.25">
      <c r="A19" s="36" t="s">
        <v>26</v>
      </c>
      <c r="B19" s="2">
        <v>1.0414779999999999</v>
      </c>
      <c r="C19" s="2">
        <v>0.13577420000000001</v>
      </c>
      <c r="D19" s="2">
        <v>0.31</v>
      </c>
      <c r="E19" s="2">
        <v>0.755</v>
      </c>
      <c r="F19" s="2">
        <v>0.80664340000000001</v>
      </c>
      <c r="G19" s="2">
        <v>1.344679</v>
      </c>
    </row>
    <row r="20" spans="1:7" x14ac:dyDescent="0.25">
      <c r="A20" s="36" t="s">
        <v>27</v>
      </c>
      <c r="B20" s="2">
        <v>0.87305120000000003</v>
      </c>
      <c r="C20" s="2">
        <v>6.29971E-2</v>
      </c>
      <c r="D20" s="2">
        <v>-1.88</v>
      </c>
      <c r="E20" s="2">
        <v>0.06</v>
      </c>
      <c r="F20" s="2">
        <v>0.75791269999999999</v>
      </c>
      <c r="G20" s="2">
        <v>1.005681</v>
      </c>
    </row>
    <row r="21" spans="1:7" x14ac:dyDescent="0.25">
      <c r="A21" s="36" t="s">
        <v>28</v>
      </c>
      <c r="B21" s="2">
        <v>2.1671399999999998</v>
      </c>
      <c r="C21" s="2">
        <v>0.14292350000000001</v>
      </c>
      <c r="D21" s="2">
        <v>11.73</v>
      </c>
      <c r="E21" s="2">
        <v>0</v>
      </c>
      <c r="F21" s="2">
        <v>1.9043639999999999</v>
      </c>
      <c r="G21" s="2">
        <v>2.4661749999999998</v>
      </c>
    </row>
    <row r="22" spans="1:7" x14ac:dyDescent="0.25">
      <c r="A22" s="36" t="s">
        <v>29</v>
      </c>
      <c r="B22" s="2">
        <v>2.4881340000000001</v>
      </c>
      <c r="C22" s="2">
        <v>0.15575079999999999</v>
      </c>
      <c r="D22" s="2">
        <v>14.56</v>
      </c>
      <c r="E22" s="2">
        <v>0</v>
      </c>
      <c r="F22" s="2">
        <v>2.2008519999999998</v>
      </c>
      <c r="G22" s="2">
        <v>2.8129170000000001</v>
      </c>
    </row>
    <row r="23" spans="1:7" x14ac:dyDescent="0.25">
      <c r="A23" s="36" t="s">
        <v>30</v>
      </c>
      <c r="B23" s="2">
        <v>4.7759200000000002</v>
      </c>
      <c r="C23" s="2">
        <v>0.37775609999999998</v>
      </c>
      <c r="D23" s="2">
        <v>19.77</v>
      </c>
      <c r="E23" s="2">
        <v>0</v>
      </c>
      <c r="F23" s="2">
        <v>4.0900670000000003</v>
      </c>
      <c r="G23" s="2">
        <v>5.5767819999999997</v>
      </c>
    </row>
    <row r="24" spans="1:7" x14ac:dyDescent="0.25">
      <c r="A24" s="36" t="s">
        <v>67</v>
      </c>
      <c r="B24" s="2">
        <v>1</v>
      </c>
      <c r="C24" s="2"/>
      <c r="D24" s="2"/>
      <c r="E24" s="2"/>
      <c r="F24" s="2"/>
      <c r="G24" s="2"/>
    </row>
    <row r="25" spans="1:7" x14ac:dyDescent="0.25">
      <c r="A25" s="36" t="s">
        <v>31</v>
      </c>
      <c r="B25" s="2">
        <v>1.6342369999999999</v>
      </c>
      <c r="C25" s="2">
        <v>0.11261160000000001</v>
      </c>
      <c r="D25" s="2">
        <v>7.13</v>
      </c>
      <c r="E25" s="2">
        <v>0</v>
      </c>
      <c r="F25" s="2">
        <v>1.4277770000000001</v>
      </c>
      <c r="G25" s="2">
        <v>1.8705499999999999</v>
      </c>
    </row>
    <row r="26" spans="1:7" x14ac:dyDescent="0.25">
      <c r="A26" s="36" t="s">
        <v>32</v>
      </c>
      <c r="B26" s="2">
        <v>1.7222930000000001</v>
      </c>
      <c r="C26" s="2">
        <v>0.11386</v>
      </c>
      <c r="D26" s="2">
        <v>8.2200000000000006</v>
      </c>
      <c r="E26" s="2">
        <v>0</v>
      </c>
      <c r="F26" s="2">
        <v>1.5129840000000001</v>
      </c>
      <c r="G26" s="2">
        <v>1.9605570000000001</v>
      </c>
    </row>
    <row r="27" spans="1:7" x14ac:dyDescent="0.25">
      <c r="A27" s="36" t="s">
        <v>33</v>
      </c>
      <c r="B27" s="2">
        <v>4.5081110000000004</v>
      </c>
      <c r="C27" s="2">
        <v>0.3523463</v>
      </c>
      <c r="D27" s="2">
        <v>19.27</v>
      </c>
      <c r="E27" s="2">
        <v>0</v>
      </c>
      <c r="F27" s="2">
        <v>3.8678189999999999</v>
      </c>
      <c r="G27" s="2">
        <v>5.2543990000000003</v>
      </c>
    </row>
    <row r="28" spans="1:7" x14ac:dyDescent="0.25">
      <c r="A28" s="36" t="s">
        <v>34</v>
      </c>
      <c r="B28" s="2">
        <v>0.1158129</v>
      </c>
      <c r="C28" s="2">
        <v>1.7032700000000001E-2</v>
      </c>
      <c r="D28" s="2">
        <v>-14.66</v>
      </c>
      <c r="E28" s="2">
        <v>0</v>
      </c>
      <c r="F28" s="2">
        <v>8.6809999999999998E-2</v>
      </c>
      <c r="G28" s="2">
        <v>0.15450559999999999</v>
      </c>
    </row>
    <row r="29" spans="1:7" x14ac:dyDescent="0.25">
      <c r="A29" s="36" t="s">
        <v>35</v>
      </c>
      <c r="B29" s="2">
        <v>0.1882925</v>
      </c>
      <c r="C29" s="2">
        <v>2.7430800000000002E-2</v>
      </c>
      <c r="D29" s="2">
        <v>-11.46</v>
      </c>
      <c r="E29" s="2">
        <v>0</v>
      </c>
      <c r="F29" s="2">
        <v>0.14152339999999999</v>
      </c>
      <c r="G29" s="2">
        <v>0.2505172</v>
      </c>
    </row>
    <row r="30" spans="1:7" x14ac:dyDescent="0.25">
      <c r="A30" s="36" t="s">
        <v>36</v>
      </c>
      <c r="B30" s="2">
        <v>0.3369703</v>
      </c>
      <c r="C30" s="2">
        <v>3.8157900000000002E-2</v>
      </c>
      <c r="D30" s="2">
        <v>-9.61</v>
      </c>
      <c r="E30" s="2">
        <v>0</v>
      </c>
      <c r="F30" s="2">
        <v>0.26990019999999998</v>
      </c>
      <c r="G30" s="2">
        <v>0.42070740000000001</v>
      </c>
    </row>
    <row r="31" spans="1:7" x14ac:dyDescent="0.25">
      <c r="A31" s="36" t="s">
        <v>37</v>
      </c>
      <c r="B31" s="2">
        <v>0.41659109999999999</v>
      </c>
      <c r="C31" s="2">
        <v>8.0805199999999994E-2</v>
      </c>
      <c r="D31" s="2">
        <v>-4.51</v>
      </c>
      <c r="E31" s="2">
        <v>0</v>
      </c>
      <c r="F31" s="2">
        <v>0.28484229999999999</v>
      </c>
      <c r="G31" s="2">
        <v>0.60927810000000004</v>
      </c>
    </row>
    <row r="32" spans="1:7" x14ac:dyDescent="0.25">
      <c r="A32" s="36" t="s">
        <v>50</v>
      </c>
      <c r="B32" s="2">
        <v>0.30957679999999999</v>
      </c>
      <c r="C32" s="2">
        <v>3.04432E-2</v>
      </c>
      <c r="D32" s="2">
        <v>-11.92</v>
      </c>
      <c r="E32" s="2">
        <v>0</v>
      </c>
      <c r="F32" s="2">
        <v>0.25530710000000001</v>
      </c>
      <c r="G32" s="2">
        <v>0.37538250000000001</v>
      </c>
    </row>
    <row r="33" spans="1:10" x14ac:dyDescent="0.25">
      <c r="A33" s="36" t="s">
        <v>51</v>
      </c>
      <c r="B33" s="2">
        <v>0.65014190000000005</v>
      </c>
      <c r="C33" s="2">
        <v>5.8147499999999998E-2</v>
      </c>
      <c r="D33" s="2">
        <v>-4.8099999999999996</v>
      </c>
      <c r="E33" s="2">
        <v>0</v>
      </c>
      <c r="F33" s="2">
        <v>0.54560500000000001</v>
      </c>
      <c r="G33" s="2">
        <v>0.77470799999999995</v>
      </c>
    </row>
    <row r="34" spans="1:10" x14ac:dyDescent="0.25">
      <c r="A34" s="36" t="s">
        <v>52</v>
      </c>
      <c r="B34" s="2">
        <v>0.72159300000000004</v>
      </c>
      <c r="C34" s="2">
        <v>6.1282400000000001E-2</v>
      </c>
      <c r="D34" s="2">
        <v>-3.84</v>
      </c>
      <c r="E34" s="2">
        <v>0</v>
      </c>
      <c r="F34" s="2">
        <v>0.61094579999999998</v>
      </c>
      <c r="G34" s="2">
        <v>0.85227929999999996</v>
      </c>
    </row>
    <row r="35" spans="1:10" x14ac:dyDescent="0.25">
      <c r="A35" s="36" t="s">
        <v>53</v>
      </c>
      <c r="B35" s="2">
        <v>0.89269529999999997</v>
      </c>
      <c r="C35" s="2">
        <v>0.1257577</v>
      </c>
      <c r="D35" s="2">
        <v>-0.81</v>
      </c>
      <c r="E35" s="2">
        <v>0.42</v>
      </c>
      <c r="F35" s="2">
        <v>0.67731549999999996</v>
      </c>
      <c r="G35" s="2">
        <v>1.1765639999999999</v>
      </c>
    </row>
    <row r="36" spans="1:10" x14ac:dyDescent="0.25">
      <c r="A36" s="36" t="s">
        <v>54</v>
      </c>
      <c r="B36" s="2">
        <v>0.10690429999999999</v>
      </c>
      <c r="C36" s="2">
        <v>1.6294599999999999E-2</v>
      </c>
      <c r="D36" s="2">
        <v>-14.67</v>
      </c>
      <c r="E36" s="2">
        <v>0</v>
      </c>
      <c r="F36" s="2">
        <v>7.9296199999999997E-2</v>
      </c>
      <c r="G36" s="2">
        <v>0.14412440000000001</v>
      </c>
    </row>
    <row r="37" spans="1:10" x14ac:dyDescent="0.25">
      <c r="A37" s="36" t="s">
        <v>55</v>
      </c>
      <c r="B37" s="2">
        <v>0.16697629999999999</v>
      </c>
      <c r="C37" s="2">
        <v>2.6297999999999998E-2</v>
      </c>
      <c r="D37" s="2">
        <v>-11.36</v>
      </c>
      <c r="E37" s="2">
        <v>0</v>
      </c>
      <c r="F37" s="2">
        <v>0.1226294</v>
      </c>
      <c r="G37" s="2">
        <v>0.2273607</v>
      </c>
    </row>
    <row r="38" spans="1:10" x14ac:dyDescent="0.25">
      <c r="A38" s="36" t="s">
        <v>56</v>
      </c>
      <c r="B38" s="2">
        <v>0.24506929999999999</v>
      </c>
      <c r="C38" s="2">
        <v>3.2758799999999998E-2</v>
      </c>
      <c r="D38" s="2">
        <v>-10.52</v>
      </c>
      <c r="E38" s="2">
        <v>0</v>
      </c>
      <c r="F38" s="2">
        <v>0.18858520000000001</v>
      </c>
      <c r="G38" s="2">
        <v>0.31847130000000001</v>
      </c>
    </row>
    <row r="39" spans="1:10" x14ac:dyDescent="0.25">
      <c r="A39" s="36" t="s">
        <v>57</v>
      </c>
      <c r="B39" s="2">
        <v>0.26780860000000001</v>
      </c>
      <c r="C39" s="2">
        <v>6.4355999999999997E-2</v>
      </c>
      <c r="D39" s="2">
        <v>-5.48</v>
      </c>
      <c r="E39" s="2">
        <v>0</v>
      </c>
      <c r="F39" s="2">
        <v>0.16721520000000001</v>
      </c>
      <c r="G39" s="2">
        <v>0.42891699999999999</v>
      </c>
    </row>
    <row r="40" spans="1:10" x14ac:dyDescent="0.25">
      <c r="A40" s="36" t="s">
        <v>58</v>
      </c>
      <c r="B40" s="2">
        <v>0.17817369999999999</v>
      </c>
      <c r="C40" s="2">
        <v>2.1706799999999998E-2</v>
      </c>
      <c r="D40" s="2">
        <v>-14.16</v>
      </c>
      <c r="E40" s="2">
        <v>0</v>
      </c>
      <c r="F40" s="2">
        <v>0.14032729999999999</v>
      </c>
      <c r="G40" s="2">
        <v>0.22622729999999999</v>
      </c>
    </row>
    <row r="41" spans="1:10" x14ac:dyDescent="0.25">
      <c r="A41" s="36" t="s">
        <v>59</v>
      </c>
      <c r="B41" s="2">
        <v>0.28066239999999998</v>
      </c>
      <c r="C41" s="2">
        <v>3.44094E-2</v>
      </c>
      <c r="D41" s="2">
        <v>-10.36</v>
      </c>
      <c r="E41" s="2">
        <v>0</v>
      </c>
      <c r="F41" s="2">
        <v>0.2207122</v>
      </c>
      <c r="G41" s="2">
        <v>0.3568962</v>
      </c>
    </row>
    <row r="42" spans="1:10" x14ac:dyDescent="0.25">
      <c r="A42" s="36" t="s">
        <v>60</v>
      </c>
      <c r="B42" s="2">
        <v>0.50375360000000002</v>
      </c>
      <c r="C42" s="2">
        <v>4.87929E-2</v>
      </c>
      <c r="D42" s="2">
        <v>-7.08</v>
      </c>
      <c r="E42" s="2">
        <v>0</v>
      </c>
      <c r="F42" s="2">
        <v>0.41665059999999998</v>
      </c>
      <c r="G42" s="2">
        <v>0.609066</v>
      </c>
    </row>
    <row r="43" spans="1:10" x14ac:dyDescent="0.25">
      <c r="A43" s="36" t="s">
        <v>61</v>
      </c>
      <c r="B43" s="2">
        <v>0.95220830000000001</v>
      </c>
      <c r="C43" s="2">
        <v>0.12723619999999999</v>
      </c>
      <c r="D43" s="2">
        <v>-0.37</v>
      </c>
      <c r="E43" s="2">
        <v>0.71399999999999997</v>
      </c>
      <c r="F43" s="2">
        <v>0.73281189999999996</v>
      </c>
      <c r="G43" s="2">
        <v>1.23729</v>
      </c>
    </row>
    <row r="44" spans="1:10" x14ac:dyDescent="0.25">
      <c r="A44" s="36"/>
      <c r="B44" s="3"/>
      <c r="C44" s="3"/>
      <c r="D44" s="3"/>
      <c r="E44" s="3"/>
      <c r="F44" s="3"/>
      <c r="G44" s="3"/>
    </row>
    <row r="45" spans="1:10" x14ac:dyDescent="0.25">
      <c r="A45" s="5" t="s">
        <v>6</v>
      </c>
      <c r="B45" s="6">
        <v>1.8725E-3</v>
      </c>
      <c r="C45" s="6">
        <v>9.0699999999999996E-5</v>
      </c>
      <c r="D45" s="6">
        <v>-129.63999999999999</v>
      </c>
      <c r="E45" s="6">
        <v>0</v>
      </c>
      <c r="F45" s="6">
        <v>1.7029E-3</v>
      </c>
      <c r="G45" s="6">
        <v>2.0590000000000001E-3</v>
      </c>
    </row>
    <row r="46" spans="1:10" x14ac:dyDescent="0.25">
      <c r="A46" s="7"/>
      <c r="B46" s="15"/>
      <c r="C46" s="7"/>
      <c r="D46" s="7"/>
      <c r="E46" s="7"/>
      <c r="F46" s="9"/>
      <c r="G46" s="9"/>
    </row>
    <row r="47" spans="1:10" ht="15.75" thickBot="1" x14ac:dyDescent="0.3"/>
    <row r="48" spans="1:10" x14ac:dyDescent="0.25">
      <c r="A48" s="10"/>
      <c r="B48" s="11" t="s">
        <v>9</v>
      </c>
      <c r="C48" s="11" t="s">
        <v>40</v>
      </c>
      <c r="D48" s="11" t="s">
        <v>11</v>
      </c>
      <c r="E48" s="11" t="s">
        <v>7</v>
      </c>
      <c r="F48" s="11" t="s">
        <v>8</v>
      </c>
      <c r="G48" s="11" t="s">
        <v>62</v>
      </c>
      <c r="H48" s="11" t="s">
        <v>63</v>
      </c>
      <c r="I48" s="11" t="s">
        <v>64</v>
      </c>
      <c r="J48" s="12" t="s">
        <v>65</v>
      </c>
    </row>
    <row r="49" spans="1:10" x14ac:dyDescent="0.25">
      <c r="A49" s="13" t="s">
        <v>12</v>
      </c>
      <c r="B49" s="14">
        <f>B8</f>
        <v>0.4766147</v>
      </c>
      <c r="C49" s="15">
        <f>B12</f>
        <v>0.14922050000000001</v>
      </c>
      <c r="D49" s="15">
        <f>B16</f>
        <v>0.26726060000000001</v>
      </c>
      <c r="E49" s="15">
        <f>B20</f>
        <v>0.87305120000000003</v>
      </c>
      <c r="F49" s="15">
        <f>B24</f>
        <v>1</v>
      </c>
      <c r="G49" s="15">
        <f>B28</f>
        <v>0.1158129</v>
      </c>
      <c r="H49" s="16">
        <f>B32</f>
        <v>0.30957679999999999</v>
      </c>
      <c r="I49" s="16">
        <f>B36</f>
        <v>0.10690429999999999</v>
      </c>
      <c r="J49" s="17">
        <f>B40</f>
        <v>0.17817369999999999</v>
      </c>
    </row>
    <row r="50" spans="1:10" x14ac:dyDescent="0.25">
      <c r="A50" s="13" t="s">
        <v>13</v>
      </c>
      <c r="B50" s="15">
        <f>B9</f>
        <v>0.98764730000000001</v>
      </c>
      <c r="C50" s="15">
        <f>B13</f>
        <v>0.35882150000000002</v>
      </c>
      <c r="D50" s="15">
        <f>B17</f>
        <v>0.52224519999999997</v>
      </c>
      <c r="E50" s="15">
        <f>B21</f>
        <v>2.1671399999999998</v>
      </c>
      <c r="F50" s="15">
        <f>B25</f>
        <v>1.6342369999999999</v>
      </c>
      <c r="G50" s="15">
        <f>B29</f>
        <v>0.1882925</v>
      </c>
      <c r="H50" s="16">
        <f>B33</f>
        <v>0.65014190000000005</v>
      </c>
      <c r="I50" s="16">
        <f>B37</f>
        <v>0.16697629999999999</v>
      </c>
      <c r="J50" s="17">
        <f>B41</f>
        <v>0.28066239999999998</v>
      </c>
    </row>
    <row r="51" spans="1:10" x14ac:dyDescent="0.25">
      <c r="A51" s="13" t="s">
        <v>14</v>
      </c>
      <c r="B51" s="15">
        <f>B10</f>
        <v>1.705274</v>
      </c>
      <c r="C51" s="15">
        <f>B14</f>
        <v>0.54459849999999999</v>
      </c>
      <c r="D51" s="15">
        <f>B18</f>
        <v>0.92922119999999997</v>
      </c>
      <c r="E51" s="15">
        <f>B22</f>
        <v>2.4881340000000001</v>
      </c>
      <c r="F51" s="15">
        <f>B26</f>
        <v>1.7222930000000001</v>
      </c>
      <c r="G51" s="15">
        <f>B30</f>
        <v>0.3369703</v>
      </c>
      <c r="H51" s="16">
        <f>B34</f>
        <v>0.72159300000000004</v>
      </c>
      <c r="I51" s="16">
        <f>B38</f>
        <v>0.24506929999999999</v>
      </c>
      <c r="J51" s="17">
        <f>B42</f>
        <v>0.50375360000000002</v>
      </c>
    </row>
    <row r="52" spans="1:10" ht="15.75" thickBot="1" x14ac:dyDescent="0.3">
      <c r="A52" s="19" t="s">
        <v>15</v>
      </c>
      <c r="B52" s="20">
        <f>B11</f>
        <v>0.87781710000000002</v>
      </c>
      <c r="C52" s="20">
        <f>B15</f>
        <v>0.56537369999999998</v>
      </c>
      <c r="D52" s="20">
        <f>B19</f>
        <v>1.0414779999999999</v>
      </c>
      <c r="E52" s="20">
        <f>B23</f>
        <v>4.7759200000000002</v>
      </c>
      <c r="F52" s="20">
        <f>B27</f>
        <v>4.5081110000000004</v>
      </c>
      <c r="G52" s="20">
        <f>B31</f>
        <v>0.41659109999999999</v>
      </c>
      <c r="H52" s="21">
        <f>B35</f>
        <v>0.89269529999999997</v>
      </c>
      <c r="I52" s="21">
        <f>B39</f>
        <v>0.26780860000000001</v>
      </c>
      <c r="J52" s="31">
        <f>B43</f>
        <v>0.95220830000000001</v>
      </c>
    </row>
    <row r="69" spans="1:22" x14ac:dyDescent="0.25">
      <c r="N69" s="9"/>
      <c r="O69" s="9"/>
      <c r="U69" s="7"/>
      <c r="V69" s="7"/>
    </row>
    <row r="70" spans="1:22" s="1" customFormat="1" x14ac:dyDescent="0.25">
      <c r="L70" s="1" t="s">
        <v>370</v>
      </c>
      <c r="N70" s="33"/>
      <c r="O70" s="33"/>
    </row>
    <row r="71" spans="1:22" x14ac:dyDescent="0.25">
      <c r="A71" s="36"/>
      <c r="B71" s="2" t="s">
        <v>1</v>
      </c>
      <c r="C71" s="3"/>
      <c r="D71" s="3"/>
      <c r="E71" s="3"/>
      <c r="F71" s="3"/>
      <c r="G71" s="3"/>
      <c r="K71" s="36"/>
      <c r="L71" s="2" t="s">
        <v>1</v>
      </c>
      <c r="M71" s="3"/>
      <c r="N71" s="3"/>
      <c r="O71" s="3"/>
      <c r="P71" s="3"/>
      <c r="Q71" s="3"/>
    </row>
    <row r="72" spans="1:22" x14ac:dyDescent="0.25">
      <c r="A72" s="5" t="s">
        <v>2</v>
      </c>
      <c r="B72" s="6" t="s">
        <v>269</v>
      </c>
      <c r="C72" s="6" t="s">
        <v>270</v>
      </c>
      <c r="D72" s="6" t="s">
        <v>3</v>
      </c>
      <c r="E72" s="6" t="s">
        <v>4</v>
      </c>
      <c r="F72" s="6" t="s">
        <v>271</v>
      </c>
      <c r="G72" s="6" t="s">
        <v>272</v>
      </c>
      <c r="K72" s="5" t="s">
        <v>2</v>
      </c>
      <c r="L72" s="6" t="s">
        <v>269</v>
      </c>
      <c r="M72" s="6" t="s">
        <v>270</v>
      </c>
      <c r="N72" s="6" t="s">
        <v>3</v>
      </c>
      <c r="O72" s="6" t="s">
        <v>4</v>
      </c>
      <c r="P72" s="6" t="s">
        <v>271</v>
      </c>
      <c r="Q72" s="6" t="s">
        <v>272</v>
      </c>
    </row>
    <row r="73" spans="1:22" x14ac:dyDescent="0.25">
      <c r="A73" s="36"/>
      <c r="B73" s="2"/>
      <c r="C73" s="2"/>
      <c r="D73" s="3"/>
      <c r="E73" s="3"/>
      <c r="F73" s="3"/>
      <c r="G73" s="3"/>
      <c r="K73" s="36"/>
      <c r="L73" s="46"/>
      <c r="M73" s="46"/>
      <c r="N73" s="47"/>
      <c r="O73" s="47"/>
      <c r="P73" s="47"/>
      <c r="Q73" s="47"/>
    </row>
    <row r="74" spans="1:22" x14ac:dyDescent="0.25">
      <c r="A74" s="36" t="s">
        <v>72</v>
      </c>
      <c r="B74" s="3"/>
      <c r="C74" s="3"/>
      <c r="D74" s="3"/>
      <c r="E74" s="3"/>
      <c r="F74" s="3"/>
      <c r="G74" s="3"/>
      <c r="K74" s="36" t="s">
        <v>72</v>
      </c>
      <c r="L74" s="47"/>
      <c r="M74" s="47"/>
      <c r="N74" s="47"/>
      <c r="O74" s="47"/>
      <c r="P74" s="47"/>
      <c r="Q74" s="47"/>
    </row>
    <row r="75" spans="1:22" x14ac:dyDescent="0.25">
      <c r="A75" s="36" t="s">
        <v>73</v>
      </c>
      <c r="B75" s="2">
        <v>0.94449930000000004</v>
      </c>
      <c r="C75" s="2">
        <v>2.3316E-2</v>
      </c>
      <c r="D75" s="2">
        <v>-2.31</v>
      </c>
      <c r="E75" s="2">
        <v>2.1000000000000001E-2</v>
      </c>
      <c r="F75" s="2">
        <v>0.89988860000000004</v>
      </c>
      <c r="G75" s="2">
        <v>0.99132149999999997</v>
      </c>
      <c r="K75" s="36" t="s">
        <v>73</v>
      </c>
      <c r="L75" s="46">
        <v>1.186466</v>
      </c>
      <c r="M75" s="46">
        <v>7.7079599999999998E-2</v>
      </c>
      <c r="N75" s="46">
        <v>2.63</v>
      </c>
      <c r="O75" s="46">
        <v>8.0000000000000002E-3</v>
      </c>
      <c r="P75" s="46">
        <v>1.044616</v>
      </c>
      <c r="Q75" s="46">
        <v>1.3475790000000001</v>
      </c>
    </row>
    <row r="76" spans="1:22" x14ac:dyDescent="0.25">
      <c r="A76" s="36"/>
      <c r="B76" s="3"/>
      <c r="C76" s="3"/>
      <c r="D76" s="3"/>
      <c r="E76" s="3"/>
      <c r="F76" s="3"/>
      <c r="G76" s="3"/>
      <c r="K76" s="36"/>
      <c r="L76" s="47"/>
      <c r="M76" s="47"/>
      <c r="N76" s="47"/>
      <c r="O76" s="47"/>
      <c r="P76" s="47"/>
      <c r="Q76" s="47"/>
    </row>
    <row r="77" spans="1:22" x14ac:dyDescent="0.25">
      <c r="A77" s="36" t="s">
        <v>74</v>
      </c>
      <c r="B77" s="3"/>
      <c r="C77" s="3"/>
      <c r="D77" s="3"/>
      <c r="E77" s="3"/>
      <c r="F77" s="3"/>
      <c r="G77" s="3"/>
      <c r="K77" s="36" t="s">
        <v>74</v>
      </c>
      <c r="L77" s="47"/>
      <c r="M77" s="47"/>
      <c r="N77" s="47"/>
      <c r="O77" s="47"/>
      <c r="P77" s="47"/>
      <c r="Q77" s="47"/>
    </row>
    <row r="78" spans="1:22" x14ac:dyDescent="0.25">
      <c r="A78" s="36" t="s">
        <v>75</v>
      </c>
      <c r="B78" s="2">
        <v>0.90101390000000003</v>
      </c>
      <c r="C78" s="2">
        <v>2.84885E-2</v>
      </c>
      <c r="D78" s="2">
        <v>-3.3</v>
      </c>
      <c r="E78" s="2">
        <v>1E-3</v>
      </c>
      <c r="F78" s="2">
        <v>0.84687239999999997</v>
      </c>
      <c r="G78" s="2">
        <v>0.95861669999999999</v>
      </c>
      <c r="K78" s="36" t="s">
        <v>75</v>
      </c>
      <c r="L78" s="46">
        <v>0.9184698</v>
      </c>
      <c r="M78" s="46">
        <v>6.5045900000000004E-2</v>
      </c>
      <c r="N78" s="46">
        <v>-1.2</v>
      </c>
      <c r="O78" s="46">
        <v>0.23</v>
      </c>
      <c r="P78" s="46">
        <v>0.79943450000000005</v>
      </c>
      <c r="Q78" s="46">
        <v>1.055229</v>
      </c>
    </row>
    <row r="79" spans="1:22" x14ac:dyDescent="0.25">
      <c r="A79" s="36" t="s">
        <v>76</v>
      </c>
      <c r="B79" s="2">
        <v>0.71198539999999999</v>
      </c>
      <c r="C79" s="2">
        <v>3.19662E-2</v>
      </c>
      <c r="D79" s="2">
        <v>-7.57</v>
      </c>
      <c r="E79" s="2">
        <v>0</v>
      </c>
      <c r="F79" s="2">
        <v>0.65201030000000004</v>
      </c>
      <c r="G79" s="2">
        <v>0.77747730000000004</v>
      </c>
      <c r="K79" s="36" t="s">
        <v>76</v>
      </c>
      <c r="L79" s="46">
        <v>0.63957909999999996</v>
      </c>
      <c r="M79" s="46">
        <v>6.7028699999999997E-2</v>
      </c>
      <c r="N79" s="46">
        <v>-4.26</v>
      </c>
      <c r="O79" s="46">
        <v>0</v>
      </c>
      <c r="P79" s="46">
        <v>0.52081949999999999</v>
      </c>
      <c r="Q79" s="46">
        <v>0.78541870000000003</v>
      </c>
    </row>
    <row r="80" spans="1:22" x14ac:dyDescent="0.25">
      <c r="A80" s="36" t="s">
        <v>77</v>
      </c>
      <c r="B80" s="2">
        <v>0.58683850000000004</v>
      </c>
      <c r="C80" s="2">
        <v>3.3217999999999998E-2</v>
      </c>
      <c r="D80" s="2">
        <v>-9.42</v>
      </c>
      <c r="E80" s="2">
        <v>0</v>
      </c>
      <c r="F80" s="2">
        <v>0.52521410000000002</v>
      </c>
      <c r="G80" s="2">
        <v>0.65569339999999998</v>
      </c>
      <c r="K80" s="36" t="s">
        <v>77</v>
      </c>
      <c r="L80" s="46">
        <v>0.56120349999999997</v>
      </c>
      <c r="M80" s="46">
        <v>5.65195E-2</v>
      </c>
      <c r="N80" s="46">
        <v>-5.74</v>
      </c>
      <c r="O80" s="46">
        <v>0</v>
      </c>
      <c r="P80" s="46">
        <v>0.4606751</v>
      </c>
      <c r="Q80" s="46">
        <v>0.68366910000000003</v>
      </c>
    </row>
    <row r="81" spans="1:17" x14ac:dyDescent="0.25">
      <c r="A81" s="36" t="s">
        <v>78</v>
      </c>
      <c r="B81" s="2">
        <v>0.50401700000000005</v>
      </c>
      <c r="C81" s="2">
        <v>3.1160299999999998E-2</v>
      </c>
      <c r="D81" s="2">
        <v>-11.08</v>
      </c>
      <c r="E81" s="2">
        <v>0</v>
      </c>
      <c r="F81" s="2">
        <v>0.44649909999999998</v>
      </c>
      <c r="G81" s="2">
        <v>0.56894449999999996</v>
      </c>
      <c r="K81" s="36" t="s">
        <v>78</v>
      </c>
      <c r="L81" s="46">
        <v>0.53167439999999999</v>
      </c>
      <c r="M81" s="46">
        <v>5.5584000000000001E-2</v>
      </c>
      <c r="N81" s="46">
        <v>-6.04</v>
      </c>
      <c r="O81" s="46">
        <v>0</v>
      </c>
      <c r="P81" s="46">
        <v>0.43316840000000001</v>
      </c>
      <c r="Q81" s="46">
        <v>0.65258159999999998</v>
      </c>
    </row>
    <row r="82" spans="1:17" x14ac:dyDescent="0.25">
      <c r="A82" s="36" t="s">
        <v>79</v>
      </c>
      <c r="B82" s="2">
        <v>0.41226740000000001</v>
      </c>
      <c r="C82" s="2">
        <v>3.1251899999999999E-2</v>
      </c>
      <c r="D82" s="2">
        <v>-11.69</v>
      </c>
      <c r="E82" s="2">
        <v>0</v>
      </c>
      <c r="F82" s="2">
        <v>0.35534789999999999</v>
      </c>
      <c r="G82" s="2">
        <v>0.47830430000000002</v>
      </c>
      <c r="K82" s="36" t="s">
        <v>79</v>
      </c>
      <c r="L82" s="46">
        <v>0.45522629999999997</v>
      </c>
      <c r="M82" s="46">
        <v>5.7851699999999999E-2</v>
      </c>
      <c r="N82" s="46">
        <v>-6.19</v>
      </c>
      <c r="O82" s="46">
        <v>0</v>
      </c>
      <c r="P82" s="46">
        <v>0.35485729999999999</v>
      </c>
      <c r="Q82" s="46">
        <v>0.5839839</v>
      </c>
    </row>
    <row r="83" spans="1:17" x14ac:dyDescent="0.25">
      <c r="A83" s="36" t="s">
        <v>80</v>
      </c>
      <c r="B83" s="2">
        <v>0.46037830000000002</v>
      </c>
      <c r="C83" s="2">
        <v>3.8579000000000002E-2</v>
      </c>
      <c r="D83" s="2">
        <v>-9.26</v>
      </c>
      <c r="E83" s="2">
        <v>0</v>
      </c>
      <c r="F83" s="2">
        <v>0.39064789999999999</v>
      </c>
      <c r="G83" s="2">
        <v>0.54255549999999997</v>
      </c>
      <c r="K83" s="36" t="s">
        <v>80</v>
      </c>
      <c r="L83" s="46">
        <v>0.42934470000000002</v>
      </c>
      <c r="M83" s="46">
        <v>5.9959699999999998E-2</v>
      </c>
      <c r="N83" s="46">
        <v>-6.05</v>
      </c>
      <c r="O83" s="46">
        <v>0</v>
      </c>
      <c r="P83" s="46">
        <v>0.32653710000000002</v>
      </c>
      <c r="Q83" s="46">
        <v>0.56452060000000004</v>
      </c>
    </row>
    <row r="84" spans="1:17" x14ac:dyDescent="0.25">
      <c r="A84" s="36" t="s">
        <v>86</v>
      </c>
      <c r="B84" s="2">
        <v>0.28951189999999999</v>
      </c>
      <c r="C84" s="2">
        <v>3.24949E-2</v>
      </c>
      <c r="D84" s="2">
        <v>-11.04</v>
      </c>
      <c r="E84" s="2">
        <v>0</v>
      </c>
      <c r="F84" s="2">
        <v>0.23234179999999999</v>
      </c>
      <c r="G84" s="2">
        <v>0.36074919999999999</v>
      </c>
      <c r="K84" s="36" t="s">
        <v>86</v>
      </c>
      <c r="L84" s="46">
        <v>0.35880600000000001</v>
      </c>
      <c r="M84" s="46">
        <v>6.4467099999999999E-2</v>
      </c>
      <c r="N84" s="46">
        <v>-5.7</v>
      </c>
      <c r="O84" s="46">
        <v>0</v>
      </c>
      <c r="P84" s="46">
        <v>0.25230360000000002</v>
      </c>
      <c r="Q84" s="46">
        <v>0.51026519999999997</v>
      </c>
    </row>
    <row r="85" spans="1:17" x14ac:dyDescent="0.25">
      <c r="A85" s="36" t="s">
        <v>87</v>
      </c>
      <c r="B85" s="2">
        <v>0.23375660000000001</v>
      </c>
      <c r="C85" s="2">
        <v>3.7874499999999998E-2</v>
      </c>
      <c r="D85" s="2">
        <v>-8.9700000000000006</v>
      </c>
      <c r="E85" s="2">
        <v>0</v>
      </c>
      <c r="F85" s="2">
        <v>0.17015620000000001</v>
      </c>
      <c r="G85" s="2">
        <v>0.32112930000000001</v>
      </c>
      <c r="K85" s="36" t="s">
        <v>87</v>
      </c>
      <c r="L85" s="46">
        <v>0.22381980000000001</v>
      </c>
      <c r="M85" s="46">
        <v>5.5178699999999997E-2</v>
      </c>
      <c r="N85" s="46">
        <v>-6.07</v>
      </c>
      <c r="O85" s="46">
        <v>0</v>
      </c>
      <c r="P85" s="46">
        <v>0.13805439999999999</v>
      </c>
      <c r="Q85" s="46">
        <v>0.36286649999999998</v>
      </c>
    </row>
    <row r="86" spans="1:17" x14ac:dyDescent="0.25">
      <c r="A86" s="36" t="s">
        <v>88</v>
      </c>
      <c r="B86" s="2">
        <v>6.1498799999999999E-2</v>
      </c>
      <c r="C86" s="2">
        <v>2.6955900000000001E-2</v>
      </c>
      <c r="D86" s="2">
        <v>-6.36</v>
      </c>
      <c r="E86" s="2">
        <v>0</v>
      </c>
      <c r="F86" s="2">
        <v>2.6047799999999999E-2</v>
      </c>
      <c r="G86" s="2">
        <v>0.1451983</v>
      </c>
      <c r="K86" s="36" t="s">
        <v>88</v>
      </c>
      <c r="L86" s="46">
        <v>0.190029</v>
      </c>
      <c r="M86" s="46">
        <v>5.20843E-2</v>
      </c>
      <c r="N86" s="46">
        <v>-6.06</v>
      </c>
      <c r="O86" s="46">
        <v>0</v>
      </c>
      <c r="P86" s="46">
        <v>0.1110497</v>
      </c>
      <c r="Q86" s="46">
        <v>0.32517889999999999</v>
      </c>
    </row>
    <row r="87" spans="1:17" x14ac:dyDescent="0.25">
      <c r="A87" s="36"/>
      <c r="B87" s="3"/>
      <c r="C87" s="3"/>
      <c r="D87" s="3"/>
      <c r="E87" s="3"/>
      <c r="F87" s="3"/>
      <c r="G87" s="3"/>
      <c r="K87" s="36"/>
      <c r="L87" s="47"/>
      <c r="M87" s="47"/>
      <c r="N87" s="47"/>
      <c r="O87" s="47"/>
      <c r="P87" s="47"/>
      <c r="Q87" s="47"/>
    </row>
    <row r="88" spans="1:17" x14ac:dyDescent="0.25">
      <c r="A88" s="36" t="s">
        <v>113</v>
      </c>
      <c r="B88" s="3"/>
      <c r="C88" s="3"/>
      <c r="D88" s="3"/>
      <c r="E88" s="3"/>
      <c r="F88" s="3"/>
      <c r="G88" s="3"/>
      <c r="K88" s="36" t="s">
        <v>113</v>
      </c>
      <c r="L88" s="47"/>
      <c r="M88" s="47"/>
      <c r="N88" s="47"/>
      <c r="O88" s="47"/>
      <c r="P88" s="47"/>
      <c r="Q88" s="47"/>
    </row>
    <row r="89" spans="1:17" x14ac:dyDescent="0.25">
      <c r="A89" s="36">
        <v>2</v>
      </c>
      <c r="B89" s="2">
        <v>0.81306049999999996</v>
      </c>
      <c r="C89" s="2">
        <v>4.00176E-2</v>
      </c>
      <c r="D89" s="2">
        <v>-4.2</v>
      </c>
      <c r="E89" s="2">
        <v>0</v>
      </c>
      <c r="F89" s="2">
        <v>0.7382917</v>
      </c>
      <c r="G89" s="2">
        <v>0.89540129999999996</v>
      </c>
      <c r="K89" s="36">
        <v>2</v>
      </c>
      <c r="L89" s="46">
        <v>0.88862319999999995</v>
      </c>
      <c r="M89" s="46">
        <v>4.94343E-2</v>
      </c>
      <c r="N89" s="46">
        <v>-2.12</v>
      </c>
      <c r="O89" s="46">
        <v>3.4000000000000002E-2</v>
      </c>
      <c r="P89" s="46">
        <v>0.79682900000000001</v>
      </c>
      <c r="Q89" s="46">
        <v>0.99099199999999998</v>
      </c>
    </row>
    <row r="90" spans="1:17" x14ac:dyDescent="0.25">
      <c r="A90" s="36">
        <v>3</v>
      </c>
      <c r="B90" s="2">
        <v>1.056891</v>
      </c>
      <c r="C90" s="2">
        <v>6.0178799999999998E-2</v>
      </c>
      <c r="D90" s="2">
        <v>0.97</v>
      </c>
      <c r="E90" s="2">
        <v>0.33100000000000002</v>
      </c>
      <c r="F90" s="2">
        <v>0.94528630000000002</v>
      </c>
      <c r="G90" s="2">
        <v>1.181673</v>
      </c>
      <c r="K90" s="36">
        <v>3</v>
      </c>
      <c r="L90" s="46">
        <v>0.86917719999999998</v>
      </c>
      <c r="M90" s="46">
        <v>0.12701789999999999</v>
      </c>
      <c r="N90" s="46">
        <v>-0.96</v>
      </c>
      <c r="O90" s="46">
        <v>0.33700000000000002</v>
      </c>
      <c r="P90" s="46">
        <v>0.6527056</v>
      </c>
      <c r="Q90" s="46">
        <v>1.1574420000000001</v>
      </c>
    </row>
    <row r="91" spans="1:17" x14ac:dyDescent="0.25">
      <c r="A91" s="36"/>
      <c r="B91" s="3"/>
      <c r="C91" s="3"/>
      <c r="D91" s="3"/>
      <c r="E91" s="3"/>
      <c r="F91" s="3"/>
      <c r="G91" s="3"/>
      <c r="K91" s="36"/>
      <c r="L91" s="47"/>
      <c r="M91" s="47"/>
      <c r="N91" s="47"/>
      <c r="O91" s="47"/>
      <c r="P91" s="47"/>
      <c r="Q91" s="47"/>
    </row>
    <row r="92" spans="1:17" x14ac:dyDescent="0.25">
      <c r="A92" s="36" t="s">
        <v>108</v>
      </c>
      <c r="B92" s="3"/>
      <c r="C92" s="3"/>
      <c r="D92" s="3"/>
      <c r="E92" s="3"/>
      <c r="F92" s="3"/>
      <c r="G92" s="3"/>
      <c r="K92" s="36" t="s">
        <v>108</v>
      </c>
      <c r="L92" s="47"/>
      <c r="M92" s="47"/>
      <c r="N92" s="47"/>
      <c r="O92" s="47"/>
      <c r="P92" s="47"/>
      <c r="Q92" s="47"/>
    </row>
    <row r="93" spans="1:17" x14ac:dyDescent="0.25">
      <c r="A93" s="36">
        <v>2</v>
      </c>
      <c r="B93" s="2">
        <v>0.97332830000000004</v>
      </c>
      <c r="C93" s="2">
        <v>3.0136699999999999E-2</v>
      </c>
      <c r="D93" s="2">
        <v>-0.87</v>
      </c>
      <c r="E93" s="2">
        <v>0.38300000000000001</v>
      </c>
      <c r="F93" s="2">
        <v>0.916018</v>
      </c>
      <c r="G93" s="2">
        <v>1.034224</v>
      </c>
      <c r="K93" s="36">
        <v>2</v>
      </c>
      <c r="L93" s="46">
        <v>1.3105869999999999</v>
      </c>
      <c r="M93" s="46">
        <v>0.13332859999999999</v>
      </c>
      <c r="N93" s="46">
        <v>2.66</v>
      </c>
      <c r="O93" s="46">
        <v>8.0000000000000002E-3</v>
      </c>
      <c r="P93" s="46">
        <v>1.073671</v>
      </c>
      <c r="Q93" s="46">
        <v>1.59978</v>
      </c>
    </row>
    <row r="94" spans="1:17" x14ac:dyDescent="0.25">
      <c r="A94" s="36" t="s">
        <v>109</v>
      </c>
      <c r="B94" s="2">
        <v>0.91638600000000003</v>
      </c>
      <c r="C94" s="2">
        <v>4.9305599999999998E-2</v>
      </c>
      <c r="D94" s="2">
        <v>-1.62</v>
      </c>
      <c r="E94" s="2">
        <v>0.105</v>
      </c>
      <c r="F94" s="2">
        <v>0.82466969999999995</v>
      </c>
      <c r="G94" s="2">
        <v>1.018303</v>
      </c>
      <c r="K94" s="36" t="s">
        <v>109</v>
      </c>
      <c r="L94" s="46">
        <v>1.9794069999999999</v>
      </c>
      <c r="M94" s="46">
        <v>0.37678640000000002</v>
      </c>
      <c r="N94" s="46">
        <v>3.59</v>
      </c>
      <c r="O94" s="46">
        <v>0</v>
      </c>
      <c r="P94" s="46">
        <v>1.363032</v>
      </c>
      <c r="Q94" s="46">
        <v>2.874511</v>
      </c>
    </row>
    <row r="95" spans="1:17" x14ac:dyDescent="0.25">
      <c r="A95" s="36"/>
      <c r="B95" s="3"/>
      <c r="C95" s="3"/>
      <c r="D95" s="3"/>
      <c r="E95" s="3"/>
      <c r="F95" s="3"/>
      <c r="G95" s="3"/>
      <c r="K95" s="36"/>
      <c r="L95" s="47"/>
      <c r="M95" s="47"/>
      <c r="N95" s="47"/>
      <c r="O95" s="47"/>
      <c r="P95" s="47"/>
      <c r="Q95" s="47"/>
    </row>
    <row r="96" spans="1:17" x14ac:dyDescent="0.25">
      <c r="A96" s="36" t="s">
        <v>83</v>
      </c>
      <c r="B96" s="3"/>
      <c r="C96" s="3"/>
      <c r="D96" s="3"/>
      <c r="E96" s="3"/>
      <c r="F96" s="3"/>
      <c r="G96" s="3"/>
      <c r="K96" s="36" t="s">
        <v>83</v>
      </c>
      <c r="L96" s="47"/>
      <c r="M96" s="47"/>
      <c r="N96" s="47"/>
      <c r="O96" s="47"/>
      <c r="P96" s="47"/>
      <c r="Q96" s="47"/>
    </row>
    <row r="97" spans="1:17" x14ac:dyDescent="0.25">
      <c r="A97" s="38" t="s">
        <v>315</v>
      </c>
      <c r="B97" s="2">
        <v>1.255906</v>
      </c>
      <c r="C97" s="2">
        <v>4.02022E-2</v>
      </c>
      <c r="D97" s="2">
        <v>7.12</v>
      </c>
      <c r="E97" s="2">
        <v>0</v>
      </c>
      <c r="F97" s="2">
        <v>1.179532</v>
      </c>
      <c r="G97" s="2">
        <v>1.3372250000000001</v>
      </c>
      <c r="K97" s="38" t="s">
        <v>315</v>
      </c>
      <c r="L97" s="46">
        <v>1.641186</v>
      </c>
      <c r="M97" s="46">
        <v>0.12683330000000001</v>
      </c>
      <c r="N97" s="46">
        <v>6.41</v>
      </c>
      <c r="O97" s="46">
        <v>0</v>
      </c>
      <c r="P97" s="46">
        <v>1.410509</v>
      </c>
      <c r="Q97" s="46">
        <v>1.9095899999999999</v>
      </c>
    </row>
    <row r="98" spans="1:17" x14ac:dyDescent="0.25">
      <c r="A98" s="38" t="s">
        <v>316</v>
      </c>
      <c r="B98" s="2">
        <v>1.0597799999999999</v>
      </c>
      <c r="C98" s="2">
        <v>4.1838300000000002E-2</v>
      </c>
      <c r="D98" s="2">
        <v>1.47</v>
      </c>
      <c r="E98" s="2">
        <v>0.14099999999999999</v>
      </c>
      <c r="F98" s="2">
        <v>0.98087060000000004</v>
      </c>
      <c r="G98" s="2">
        <v>1.145038</v>
      </c>
      <c r="K98" s="38" t="s">
        <v>316</v>
      </c>
      <c r="L98" s="46">
        <v>1.431322</v>
      </c>
      <c r="M98" s="46">
        <v>0.13377890000000001</v>
      </c>
      <c r="N98" s="46">
        <v>3.84</v>
      </c>
      <c r="O98" s="46">
        <v>0</v>
      </c>
      <c r="P98" s="46">
        <v>1.191735</v>
      </c>
      <c r="Q98" s="46">
        <v>1.719077</v>
      </c>
    </row>
    <row r="99" spans="1:17" x14ac:dyDescent="0.25">
      <c r="A99" s="38" t="s">
        <v>317</v>
      </c>
      <c r="B99" s="2">
        <v>0.95991499999999996</v>
      </c>
      <c r="C99" s="2">
        <v>4.09751E-2</v>
      </c>
      <c r="D99" s="2">
        <v>-0.96</v>
      </c>
      <c r="E99" s="2">
        <v>0.33800000000000002</v>
      </c>
      <c r="F99" s="2">
        <v>0.88287300000000002</v>
      </c>
      <c r="G99" s="2">
        <v>1.0436799999999999</v>
      </c>
      <c r="K99" s="38" t="s">
        <v>317</v>
      </c>
      <c r="L99" s="46">
        <v>1.867648</v>
      </c>
      <c r="M99" s="46">
        <v>0.1746259</v>
      </c>
      <c r="N99" s="46">
        <v>6.68</v>
      </c>
      <c r="O99" s="46">
        <v>0</v>
      </c>
      <c r="P99" s="46">
        <v>1.554918</v>
      </c>
      <c r="Q99" s="46">
        <v>2.243277</v>
      </c>
    </row>
    <row r="100" spans="1:17" x14ac:dyDescent="0.25">
      <c r="A100" s="38" t="s">
        <v>82</v>
      </c>
      <c r="B100" s="2">
        <v>1.402361</v>
      </c>
      <c r="C100" s="2">
        <v>6.9848199999999999E-2</v>
      </c>
      <c r="D100" s="2">
        <v>6.79</v>
      </c>
      <c r="E100" s="2">
        <v>0</v>
      </c>
      <c r="F100" s="2">
        <v>1.2719309999999999</v>
      </c>
      <c r="G100" s="2">
        <v>1.5461659999999999</v>
      </c>
      <c r="K100" s="38" t="s">
        <v>82</v>
      </c>
      <c r="L100" s="46">
        <v>3.3708969999999998</v>
      </c>
      <c r="M100" s="46">
        <v>0.33050590000000002</v>
      </c>
      <c r="N100" s="46">
        <v>12.39</v>
      </c>
      <c r="O100" s="46">
        <v>0</v>
      </c>
      <c r="P100" s="46">
        <v>2.7815560000000001</v>
      </c>
      <c r="Q100" s="46">
        <v>4.0851040000000003</v>
      </c>
    </row>
    <row r="101" spans="1:17" x14ac:dyDescent="0.25">
      <c r="A101" s="36"/>
      <c r="B101" s="3"/>
      <c r="C101" s="3"/>
      <c r="D101" s="3"/>
      <c r="E101" s="3"/>
      <c r="F101" s="3"/>
      <c r="G101" s="3"/>
      <c r="K101" s="36"/>
      <c r="L101" s="47"/>
      <c r="M101" s="47"/>
      <c r="N101" s="47"/>
      <c r="O101" s="47"/>
      <c r="P101" s="47"/>
      <c r="Q101" s="47"/>
    </row>
    <row r="102" spans="1:17" x14ac:dyDescent="0.25">
      <c r="A102" s="36" t="s">
        <v>39</v>
      </c>
      <c r="B102" s="3"/>
      <c r="C102" s="3"/>
      <c r="D102" s="3"/>
      <c r="E102" s="3"/>
      <c r="F102" s="3"/>
      <c r="G102" s="3"/>
      <c r="K102" s="36" t="s">
        <v>39</v>
      </c>
      <c r="L102" s="47"/>
      <c r="M102" s="47"/>
      <c r="N102" s="47"/>
      <c r="O102" s="47"/>
      <c r="P102" s="47"/>
      <c r="Q102" s="47"/>
    </row>
    <row r="103" spans="1:17" x14ac:dyDescent="0.25">
      <c r="A103" s="36" t="s">
        <v>46</v>
      </c>
      <c r="B103" s="2">
        <v>0.4766147</v>
      </c>
      <c r="C103" s="2">
        <v>3.9837999999999998E-2</v>
      </c>
      <c r="D103" s="2">
        <v>-8.8699999999999992</v>
      </c>
      <c r="E103" s="2">
        <v>0</v>
      </c>
      <c r="F103" s="2">
        <f>B103-0.4045939</f>
        <v>7.2020799999999996E-2</v>
      </c>
      <c r="G103" s="2">
        <f>0.5614557-B103</f>
        <v>8.4841E-2</v>
      </c>
      <c r="K103" s="36" t="s">
        <v>46</v>
      </c>
      <c r="L103" s="46">
        <v>0.1162641</v>
      </c>
      <c r="M103" s="46">
        <v>4.2331000000000001E-2</v>
      </c>
      <c r="N103" s="46">
        <v>-5.91</v>
      </c>
      <c r="O103" s="46">
        <v>0</v>
      </c>
      <c r="P103" s="46">
        <f>L103-0.0569545</f>
        <v>5.9309599999999997E-2</v>
      </c>
      <c r="Q103" s="46">
        <f>0.2373355-L103</f>
        <v>0.12107140000000001</v>
      </c>
    </row>
    <row r="104" spans="1:17" x14ac:dyDescent="0.25">
      <c r="A104" s="36" t="s">
        <v>16</v>
      </c>
      <c r="B104" s="2">
        <v>0.75935790000000003</v>
      </c>
      <c r="C104" s="2">
        <v>5.9551899999999998E-2</v>
      </c>
      <c r="D104" s="2">
        <v>-3.51</v>
      </c>
      <c r="E104" s="2">
        <v>0</v>
      </c>
      <c r="F104" s="2">
        <f>B104-0.6511663</f>
        <v>0.10819160000000005</v>
      </c>
      <c r="G104" s="2">
        <f>0.8855257-B104</f>
        <v>0.12616779999999994</v>
      </c>
      <c r="K104" s="36" t="s">
        <v>16</v>
      </c>
      <c r="L104" s="46">
        <v>0.13986199999999999</v>
      </c>
      <c r="M104" s="46">
        <v>8.2415600000000006E-2</v>
      </c>
      <c r="N104" s="46">
        <v>-3.34</v>
      </c>
      <c r="O104" s="46">
        <v>1E-3</v>
      </c>
      <c r="P104" s="46">
        <f>L104-0.0440675</f>
        <v>9.5794499999999977E-2</v>
      </c>
      <c r="Q104" s="46">
        <f>0.4438965-L104</f>
        <v>0.30403450000000004</v>
      </c>
    </row>
    <row r="105" spans="1:17" x14ac:dyDescent="0.25">
      <c r="A105" s="36" t="s">
        <v>17</v>
      </c>
      <c r="B105" s="2">
        <v>1.2531840000000001</v>
      </c>
      <c r="C105" s="2">
        <v>8.97535E-2</v>
      </c>
      <c r="D105" s="2">
        <v>3.15</v>
      </c>
      <c r="E105" s="2">
        <v>2E-3</v>
      </c>
      <c r="F105" s="2">
        <f>B105-1.089059</f>
        <v>0.16412500000000008</v>
      </c>
      <c r="G105" s="2">
        <f>1.442043-B105</f>
        <v>0.18885899999999989</v>
      </c>
      <c r="K105" s="36" t="s">
        <v>17</v>
      </c>
      <c r="L105" s="46">
        <v>0.5059631</v>
      </c>
      <c r="M105" s="46">
        <v>0.20052</v>
      </c>
      <c r="N105" s="46">
        <v>-1.72</v>
      </c>
      <c r="O105" s="46">
        <v>8.5999999999999993E-2</v>
      </c>
      <c r="P105" s="46">
        <f>L105-0.2326892</f>
        <v>0.27327389999999996</v>
      </c>
      <c r="Q105" s="46">
        <f>1.100174-L105</f>
        <v>0.59421089999999999</v>
      </c>
    </row>
    <row r="106" spans="1:17" x14ac:dyDescent="0.25">
      <c r="A106" s="36" t="s">
        <v>18</v>
      </c>
      <c r="B106" s="2">
        <v>0.57983879999999999</v>
      </c>
      <c r="C106" s="2">
        <v>8.3148899999999998E-2</v>
      </c>
      <c r="D106" s="2">
        <v>-3.8</v>
      </c>
      <c r="E106" s="2">
        <v>0</v>
      </c>
      <c r="F106" s="2">
        <f>B106-0.4377689</f>
        <v>0.14206989999999997</v>
      </c>
      <c r="G106" s="2">
        <f>0.7680149-B106</f>
        <v>0.18817609999999996</v>
      </c>
      <c r="K106" s="36" t="s">
        <v>18</v>
      </c>
      <c r="L106" s="55">
        <v>7.9999999999999996E-7</v>
      </c>
      <c r="M106" s="55">
        <v>1.3799999999999999E-7</v>
      </c>
      <c r="N106" s="46">
        <v>-81.58</v>
      </c>
      <c r="O106" s="46">
        <v>0</v>
      </c>
      <c r="P106" s="55">
        <f>L106-0.000000571</f>
        <v>2.2899999999999995E-7</v>
      </c>
      <c r="Q106" s="55">
        <f>0.00000112-L106</f>
        <v>3.2000000000000011E-7</v>
      </c>
    </row>
    <row r="107" spans="1:17" x14ac:dyDescent="0.25">
      <c r="A107" s="36" t="s">
        <v>19</v>
      </c>
      <c r="B107" s="2">
        <v>0.14922050000000001</v>
      </c>
      <c r="C107" s="2">
        <v>1.9640399999999999E-2</v>
      </c>
      <c r="D107" s="2">
        <v>-14.45</v>
      </c>
      <c r="E107" s="2">
        <v>0</v>
      </c>
      <c r="F107" s="2">
        <f>B107-0.1152904</f>
        <v>3.3930100000000005E-2</v>
      </c>
      <c r="G107" s="2">
        <f>0.1931362-B107</f>
        <v>4.3915700000000002E-2</v>
      </c>
      <c r="K107" s="36" t="s">
        <v>19</v>
      </c>
      <c r="L107" s="46">
        <v>0.24419640000000001</v>
      </c>
      <c r="M107" s="46">
        <v>5.9309399999999998E-2</v>
      </c>
      <c r="N107" s="46">
        <v>-5.8</v>
      </c>
      <c r="O107" s="46">
        <v>0</v>
      </c>
      <c r="P107" s="46">
        <f>L107-0.1517061</f>
        <v>9.2490299999999998E-2</v>
      </c>
      <c r="Q107" s="46">
        <f>0.3930752-L107</f>
        <v>0.14887880000000001</v>
      </c>
    </row>
    <row r="108" spans="1:17" x14ac:dyDescent="0.25">
      <c r="A108" s="36" t="s">
        <v>20</v>
      </c>
      <c r="B108" s="2">
        <v>0.27588180000000001</v>
      </c>
      <c r="C108" s="2">
        <v>3.0890600000000001E-2</v>
      </c>
      <c r="D108" s="2">
        <v>-11.5</v>
      </c>
      <c r="E108" s="2">
        <v>0</v>
      </c>
      <c r="F108" s="2">
        <f>B108-0.2215204</f>
        <v>5.4361400000000004E-2</v>
      </c>
      <c r="G108" s="2">
        <f>0.3435836-B108</f>
        <v>6.7701799999999979E-2</v>
      </c>
      <c r="K108" s="36" t="s">
        <v>20</v>
      </c>
      <c r="L108" s="46">
        <v>0.60604139999999995</v>
      </c>
      <c r="M108" s="46">
        <v>0.18341679999999999</v>
      </c>
      <c r="N108" s="46">
        <v>-1.65</v>
      </c>
      <c r="O108" s="46">
        <v>9.8000000000000004E-2</v>
      </c>
      <c r="P108" s="46">
        <f>L108-0.3348794</f>
        <v>0.27116199999999996</v>
      </c>
      <c r="Q108" s="46">
        <f>1.096772-L108</f>
        <v>0.49073060000000013</v>
      </c>
    </row>
    <row r="109" spans="1:17" x14ac:dyDescent="0.25">
      <c r="A109" s="36" t="s">
        <v>21</v>
      </c>
      <c r="B109" s="2">
        <v>0.40021839999999997</v>
      </c>
      <c r="C109" s="2">
        <v>3.9414699999999997E-2</v>
      </c>
      <c r="D109" s="2">
        <v>-9.3000000000000007</v>
      </c>
      <c r="E109" s="2">
        <v>0</v>
      </c>
      <c r="F109" s="2">
        <f>B109-0.3299652</f>
        <v>7.025319999999996E-2</v>
      </c>
      <c r="G109" s="2">
        <f>0.4854291-B109</f>
        <v>8.5210700000000028E-2</v>
      </c>
      <c r="K109" s="36" t="s">
        <v>21</v>
      </c>
      <c r="L109" s="46">
        <v>0.5059631</v>
      </c>
      <c r="M109" s="46">
        <v>0.20145179999999999</v>
      </c>
      <c r="N109" s="46">
        <v>-1.71</v>
      </c>
      <c r="O109" s="46">
        <v>8.6999999999999994E-2</v>
      </c>
      <c r="P109" s="46">
        <f>L109-0.2318508</f>
        <v>0.27411229999999998</v>
      </c>
      <c r="Q109" s="46">
        <f>1.104153-L109</f>
        <v>0.59818989999999994</v>
      </c>
    </row>
    <row r="110" spans="1:17" x14ac:dyDescent="0.25">
      <c r="A110" s="36" t="s">
        <v>22</v>
      </c>
      <c r="B110" s="2">
        <v>0.3734555</v>
      </c>
      <c r="C110" s="2">
        <v>6.5748500000000001E-2</v>
      </c>
      <c r="D110" s="2">
        <v>-5.59</v>
      </c>
      <c r="E110" s="2">
        <v>0</v>
      </c>
      <c r="F110" s="2">
        <f>B110-0.2644728</f>
        <v>0.10898269999999999</v>
      </c>
      <c r="G110" s="2">
        <f>0.5273473-B110</f>
        <v>0.15389179999999997</v>
      </c>
      <c r="K110" s="36" t="s">
        <v>22</v>
      </c>
      <c r="L110" s="46">
        <v>1.9524760000000001</v>
      </c>
      <c r="M110" s="46">
        <v>0.83411139999999995</v>
      </c>
      <c r="N110" s="46">
        <v>1.57</v>
      </c>
      <c r="O110" s="46">
        <v>0.11700000000000001</v>
      </c>
      <c r="P110" s="46">
        <f>L110-0.8451749</f>
        <v>1.1073011000000001</v>
      </c>
      <c r="Q110" s="46">
        <f>4.510503-L110</f>
        <v>2.5580270000000001</v>
      </c>
    </row>
    <row r="111" spans="1:17" x14ac:dyDescent="0.25">
      <c r="A111" s="36" t="s">
        <v>23</v>
      </c>
      <c r="B111" s="2">
        <v>0.26726060000000001</v>
      </c>
      <c r="C111" s="2">
        <v>2.7493199999999999E-2</v>
      </c>
      <c r="D111" s="2">
        <v>-12.83</v>
      </c>
      <c r="E111" s="2">
        <v>0</v>
      </c>
      <c r="F111" s="2">
        <f>B111-0.2184598</f>
        <v>4.8800800000000005E-2</v>
      </c>
      <c r="G111" s="2">
        <f>0.3269627-B111</f>
        <v>5.970209999999998E-2</v>
      </c>
      <c r="K111" s="36" t="s">
        <v>23</v>
      </c>
      <c r="L111" s="46">
        <v>0.60463460000000002</v>
      </c>
      <c r="M111" s="46">
        <v>0.1076411</v>
      </c>
      <c r="N111" s="46">
        <v>-2.83</v>
      </c>
      <c r="O111" s="46">
        <v>5.0000000000000001E-3</v>
      </c>
      <c r="P111" s="46">
        <f>L111-0.4265367</f>
        <v>0.17809790000000003</v>
      </c>
      <c r="Q111" s="46">
        <f>0.8570961-L111</f>
        <v>0.25246150000000001</v>
      </c>
    </row>
    <row r="112" spans="1:17" x14ac:dyDescent="0.25">
      <c r="A112" s="36" t="s">
        <v>24</v>
      </c>
      <c r="B112" s="2">
        <v>0.40153100000000003</v>
      </c>
      <c r="C112" s="2">
        <v>3.9604199999999999E-2</v>
      </c>
      <c r="D112" s="2">
        <v>-9.25</v>
      </c>
      <c r="E112" s="2">
        <v>0</v>
      </c>
      <c r="F112" s="2">
        <f>B112-0.3309501</f>
        <v>7.0580900000000002E-2</v>
      </c>
      <c r="G112" s="2">
        <f>0.4871645-B112</f>
        <v>8.5633499999999974E-2</v>
      </c>
      <c r="K112" s="36" t="s">
        <v>24</v>
      </c>
      <c r="L112" s="46">
        <v>1.678323</v>
      </c>
      <c r="M112" s="46">
        <v>0.33925460000000002</v>
      </c>
      <c r="N112" s="46">
        <v>2.56</v>
      </c>
      <c r="O112" s="46">
        <v>0.01</v>
      </c>
      <c r="P112" s="46">
        <f>L112-1.129314</f>
        <v>0.54900900000000008</v>
      </c>
      <c r="Q112" s="46">
        <f>2.494231-L112</f>
        <v>0.81590800000000008</v>
      </c>
    </row>
    <row r="113" spans="1:17" x14ac:dyDescent="0.25">
      <c r="A113" s="36" t="s">
        <v>25</v>
      </c>
      <c r="B113" s="2">
        <v>0.68287260000000005</v>
      </c>
      <c r="C113" s="2">
        <v>5.6418299999999998E-2</v>
      </c>
      <c r="D113" s="2">
        <v>-4.62</v>
      </c>
      <c r="E113" s="2">
        <v>0</v>
      </c>
      <c r="F113" s="2">
        <f>B113-0.5807834</f>
        <v>0.1020892000000001</v>
      </c>
      <c r="G113" s="2">
        <f>0.8029069-B113</f>
        <v>0.12003429999999993</v>
      </c>
      <c r="K113" s="36" t="s">
        <v>25</v>
      </c>
      <c r="L113" s="46">
        <v>1.8793610000000001</v>
      </c>
      <c r="M113" s="46">
        <v>0.44053409999999998</v>
      </c>
      <c r="N113" s="46">
        <v>2.69</v>
      </c>
      <c r="O113" s="46">
        <v>7.0000000000000001E-3</v>
      </c>
      <c r="P113" s="46">
        <f>L113-1.187088</f>
        <v>0.69227300000000014</v>
      </c>
      <c r="Q113" s="46">
        <f>2.975344-L113</f>
        <v>1.0959830000000002</v>
      </c>
    </row>
    <row r="114" spans="1:17" x14ac:dyDescent="0.25">
      <c r="A114" s="36" t="s">
        <v>26</v>
      </c>
      <c r="B114" s="2">
        <v>0.68794440000000001</v>
      </c>
      <c r="C114" s="2">
        <v>9.1758500000000007E-2</v>
      </c>
      <c r="D114" s="2">
        <v>-2.8</v>
      </c>
      <c r="E114" s="2">
        <v>5.0000000000000001E-3</v>
      </c>
      <c r="F114" s="2">
        <f>B114-0.5296872</f>
        <v>0.15825719999999999</v>
      </c>
      <c r="G114" s="2">
        <f>0.8934847-B114</f>
        <v>0.20554030000000001</v>
      </c>
      <c r="K114" s="36" t="s">
        <v>26</v>
      </c>
      <c r="L114" s="46">
        <v>1.6270739999999999</v>
      </c>
      <c r="M114" s="46">
        <v>0.76275890000000002</v>
      </c>
      <c r="N114" s="46">
        <v>1.04</v>
      </c>
      <c r="O114" s="46">
        <v>0.29899999999999999</v>
      </c>
      <c r="P114" s="46">
        <f>L114-0.6491887</f>
        <v>0.97788529999999996</v>
      </c>
      <c r="Q114" s="46">
        <f>4.077966-L114</f>
        <v>2.4508920000000001</v>
      </c>
    </row>
    <row r="115" spans="1:17" x14ac:dyDescent="0.25">
      <c r="A115" s="36" t="s">
        <v>27</v>
      </c>
      <c r="B115" s="2">
        <v>0.87305120000000003</v>
      </c>
      <c r="C115" s="2">
        <v>6.29971E-2</v>
      </c>
      <c r="D115" s="2">
        <v>-1.88</v>
      </c>
      <c r="E115" s="2">
        <v>0.06</v>
      </c>
      <c r="F115" s="2">
        <f>B115-0.7579127</f>
        <v>0.11513850000000003</v>
      </c>
      <c r="G115" s="2">
        <f>1.005681-B115</f>
        <v>0.13262980000000002</v>
      </c>
      <c r="K115" s="36" t="s">
        <v>27</v>
      </c>
      <c r="L115" s="46">
        <v>3.4999199999999999</v>
      </c>
      <c r="M115" s="46">
        <v>0.44733440000000002</v>
      </c>
      <c r="N115" s="46">
        <v>9.8000000000000007</v>
      </c>
      <c r="O115" s="46">
        <v>0</v>
      </c>
      <c r="P115" s="46">
        <f>L115-2.724355</f>
        <v>0.77556499999999984</v>
      </c>
      <c r="Q115" s="46">
        <f>4.496271-L115</f>
        <v>0.99635100000000021</v>
      </c>
    </row>
    <row r="116" spans="1:17" x14ac:dyDescent="0.25">
      <c r="A116" s="36" t="s">
        <v>28</v>
      </c>
      <c r="B116" s="2">
        <v>1.6662170000000001</v>
      </c>
      <c r="C116" s="2">
        <v>0.11367339999999999</v>
      </c>
      <c r="D116" s="2">
        <v>7.48</v>
      </c>
      <c r="E116" s="2">
        <v>0</v>
      </c>
      <c r="F116" s="2">
        <f>B116-1.457674</f>
        <v>0.20854300000000014</v>
      </c>
      <c r="G116" s="2">
        <f>1.904595-B116</f>
        <v>0.23837799999999998</v>
      </c>
      <c r="K116" s="36" t="s">
        <v>28</v>
      </c>
      <c r="L116" s="46">
        <v>7.7386720000000002</v>
      </c>
      <c r="M116" s="46">
        <v>1.0854349999999999</v>
      </c>
      <c r="N116" s="46">
        <v>14.59</v>
      </c>
      <c r="O116" s="46">
        <v>0</v>
      </c>
      <c r="P116" s="46">
        <f>L116-5.878627</f>
        <v>1.8600450000000004</v>
      </c>
      <c r="Q116" s="46">
        <f>10.18725-L116</f>
        <v>2.4485780000000004</v>
      </c>
    </row>
    <row r="117" spans="1:17" x14ac:dyDescent="0.25">
      <c r="A117" s="36" t="s">
        <v>29</v>
      </c>
      <c r="B117" s="2">
        <v>1.828498</v>
      </c>
      <c r="C117" s="2">
        <v>0.1223896</v>
      </c>
      <c r="D117" s="2">
        <v>9.02</v>
      </c>
      <c r="E117" s="2">
        <v>0</v>
      </c>
      <c r="F117" s="2">
        <f>B117-1.603687</f>
        <v>0.22481099999999987</v>
      </c>
      <c r="G117" s="2">
        <f>2.084823-B117</f>
        <v>0.25632500000000014</v>
      </c>
      <c r="K117" s="36" t="s">
        <v>29</v>
      </c>
      <c r="L117" s="46">
        <v>15.9023</v>
      </c>
      <c r="M117" s="46">
        <v>2.2428590000000002</v>
      </c>
      <c r="N117" s="46">
        <v>19.61</v>
      </c>
      <c r="O117" s="46">
        <v>0</v>
      </c>
      <c r="P117" s="46">
        <f>L117-12.06165</f>
        <v>3.8406500000000001</v>
      </c>
      <c r="Q117" s="46">
        <f>20.96589-L117</f>
        <v>5.0635900000000014</v>
      </c>
    </row>
    <row r="118" spans="1:17" x14ac:dyDescent="0.25">
      <c r="A118" s="36" t="s">
        <v>30</v>
      </c>
      <c r="B118" s="2">
        <v>3.1547160000000001</v>
      </c>
      <c r="C118" s="2">
        <v>0.26496589999999998</v>
      </c>
      <c r="D118" s="2">
        <v>13.68</v>
      </c>
      <c r="E118" s="2">
        <v>0</v>
      </c>
      <c r="F118" s="2">
        <f>B118-2.675886</f>
        <v>0.47882999999999987</v>
      </c>
      <c r="G118" s="2">
        <f>3.71923-B118</f>
        <v>0.56451399999999996</v>
      </c>
      <c r="K118" s="36" t="s">
        <v>30</v>
      </c>
      <c r="L118" s="46">
        <v>17.572130000000001</v>
      </c>
      <c r="M118" s="46">
        <v>3.0486059999999999</v>
      </c>
      <c r="N118" s="46">
        <v>16.52</v>
      </c>
      <c r="O118" s="46">
        <v>0</v>
      </c>
      <c r="P118" s="46">
        <f>L118-12.50687</f>
        <v>5.0652600000000021</v>
      </c>
      <c r="Q118" s="46">
        <f>24.68881-L118</f>
        <v>7.1166799999999988</v>
      </c>
    </row>
    <row r="119" spans="1:17" x14ac:dyDescent="0.25">
      <c r="A119" s="36" t="s">
        <v>67</v>
      </c>
      <c r="B119" s="2">
        <v>1</v>
      </c>
      <c r="C119" s="2"/>
      <c r="D119" s="2"/>
      <c r="E119" s="2"/>
      <c r="F119" s="2">
        <v>0</v>
      </c>
      <c r="G119" s="2">
        <v>0</v>
      </c>
      <c r="K119" s="36" t="s">
        <v>67</v>
      </c>
      <c r="L119" s="2">
        <v>1</v>
      </c>
      <c r="M119" s="2"/>
      <c r="N119" s="2"/>
      <c r="O119" s="2"/>
      <c r="P119" s="2">
        <v>0</v>
      </c>
      <c r="Q119" s="2">
        <v>0</v>
      </c>
    </row>
    <row r="120" spans="1:17" x14ac:dyDescent="0.25">
      <c r="A120" s="36" t="s">
        <v>31</v>
      </c>
      <c r="B120" s="2">
        <v>1.2564919999999999</v>
      </c>
      <c r="C120" s="2">
        <v>8.8767399999999996E-2</v>
      </c>
      <c r="D120" s="2">
        <v>3.23</v>
      </c>
      <c r="E120" s="2">
        <v>1E-3</v>
      </c>
      <c r="F120" s="2">
        <f>B120-1.094019</f>
        <v>0.16247299999999987</v>
      </c>
      <c r="G120" s="2">
        <f>1.443093-B120</f>
        <v>0.18660100000000002</v>
      </c>
      <c r="K120" s="36" t="s">
        <v>31</v>
      </c>
      <c r="L120" s="46">
        <v>1.958032</v>
      </c>
      <c r="M120" s="46">
        <v>0.3718841</v>
      </c>
      <c r="N120" s="46">
        <v>3.54</v>
      </c>
      <c r="O120" s="46">
        <v>0</v>
      </c>
      <c r="P120" s="46">
        <f>L120-1.349439</f>
        <v>0.60859299999999994</v>
      </c>
      <c r="Q120" s="46">
        <f>2.841099-L120</f>
        <v>0.88306699999999982</v>
      </c>
    </row>
    <row r="121" spans="1:17" x14ac:dyDescent="0.25">
      <c r="A121" s="36" t="s">
        <v>32</v>
      </c>
      <c r="B121" s="2">
        <v>1.2656909999999999</v>
      </c>
      <c r="C121" s="2">
        <v>8.92183E-2</v>
      </c>
      <c r="D121" s="2">
        <v>3.34</v>
      </c>
      <c r="E121" s="2">
        <v>1E-3</v>
      </c>
      <c r="F121" s="2">
        <f>B121-1.102368</f>
        <v>0.16332299999999988</v>
      </c>
      <c r="G121" s="2">
        <f>1.453211-B121</f>
        <v>0.18752000000000013</v>
      </c>
      <c r="K121" s="36" t="s">
        <v>32</v>
      </c>
      <c r="L121" s="46">
        <v>2.3130359999999999</v>
      </c>
      <c r="M121" s="46">
        <v>0.50205460000000002</v>
      </c>
      <c r="N121" s="46">
        <v>3.86</v>
      </c>
      <c r="O121" s="46">
        <v>0</v>
      </c>
      <c r="P121" s="46">
        <f>L121-1.51156</f>
        <v>0.80147599999999986</v>
      </c>
      <c r="Q121" s="46">
        <f>3.53948-L121</f>
        <v>1.2264440000000003</v>
      </c>
    </row>
    <row r="122" spans="1:17" x14ac:dyDescent="0.25">
      <c r="A122" s="36" t="s">
        <v>33</v>
      </c>
      <c r="B122" s="2">
        <v>2.9778159999999998</v>
      </c>
      <c r="C122" s="2">
        <v>0.2479943</v>
      </c>
      <c r="D122" s="2">
        <v>13.1</v>
      </c>
      <c r="E122" s="2">
        <v>0</v>
      </c>
      <c r="F122" s="2">
        <f>B122-2.529352</f>
        <v>0.44846399999999997</v>
      </c>
      <c r="G122" s="2">
        <f>3.505795-B122</f>
        <v>0.5279790000000002</v>
      </c>
      <c r="K122" s="36" t="s">
        <v>33</v>
      </c>
      <c r="L122" s="46">
        <v>4.8810130000000003</v>
      </c>
      <c r="M122" s="46">
        <v>1.392782</v>
      </c>
      <c r="N122" s="46">
        <v>5.56</v>
      </c>
      <c r="O122" s="46">
        <v>0</v>
      </c>
      <c r="P122" s="46">
        <f>L122-2.790116</f>
        <v>2.0908970000000004</v>
      </c>
      <c r="Q122" s="46">
        <f>8.538818-L122</f>
        <v>3.6578049999999989</v>
      </c>
    </row>
    <row r="123" spans="1:17" x14ac:dyDescent="0.25">
      <c r="A123" s="36" t="s">
        <v>34</v>
      </c>
      <c r="B123" s="2">
        <v>0.1158129</v>
      </c>
      <c r="C123" s="2">
        <v>1.7032700000000001E-2</v>
      </c>
      <c r="D123" s="2">
        <v>-14.66</v>
      </c>
      <c r="E123" s="2">
        <v>0</v>
      </c>
      <c r="F123" s="2">
        <f>B123-0.08681</f>
        <v>2.9002899999999998E-2</v>
      </c>
      <c r="G123" s="2">
        <f>0.1545056-B123</f>
        <v>3.8692699999999997E-2</v>
      </c>
      <c r="K123" s="36" t="s">
        <v>34</v>
      </c>
      <c r="L123" s="46">
        <v>8.1357399999999996E-2</v>
      </c>
      <c r="M123" s="46">
        <v>3.17413E-2</v>
      </c>
      <c r="N123" s="46">
        <v>-6.43</v>
      </c>
      <c r="O123" s="46">
        <v>0</v>
      </c>
      <c r="P123" s="46">
        <f>L123-0.0378708</f>
        <v>4.3486599999999993E-2</v>
      </c>
      <c r="Q123" s="46">
        <f>0.1747793-L123</f>
        <v>9.3421900000000002E-2</v>
      </c>
    </row>
    <row r="124" spans="1:17" x14ac:dyDescent="0.25">
      <c r="A124" s="36" t="s">
        <v>35</v>
      </c>
      <c r="B124" s="2">
        <v>0.1447697</v>
      </c>
      <c r="C124" s="2">
        <v>2.12439E-2</v>
      </c>
      <c r="D124" s="2">
        <v>-13.17</v>
      </c>
      <c r="E124" s="2">
        <v>0</v>
      </c>
      <c r="F124" s="2">
        <f>B124-0.1085851</f>
        <v>3.6184599999999997E-2</v>
      </c>
      <c r="G124" s="2">
        <f>0.1930124-B124</f>
        <v>4.8242699999999999E-2</v>
      </c>
      <c r="K124" s="36" t="s">
        <v>35</v>
      </c>
      <c r="L124" s="46">
        <v>0.32633420000000002</v>
      </c>
      <c r="M124" s="46">
        <v>0.1291852</v>
      </c>
      <c r="N124" s="46">
        <v>-2.83</v>
      </c>
      <c r="O124" s="46">
        <v>5.0000000000000001E-3</v>
      </c>
      <c r="P124" s="46">
        <f>L124-0.1502102</f>
        <v>0.17612400000000003</v>
      </c>
      <c r="Q124" s="46">
        <f>0.7089666-L124</f>
        <v>0.38263239999999998</v>
      </c>
    </row>
    <row r="125" spans="1:17" x14ac:dyDescent="0.25">
      <c r="A125" s="36" t="s">
        <v>36</v>
      </c>
      <c r="B125" s="2">
        <v>0.2476351</v>
      </c>
      <c r="C125" s="2">
        <v>2.8780199999999999E-2</v>
      </c>
      <c r="D125" s="2">
        <v>-12.01</v>
      </c>
      <c r="E125" s="2">
        <v>0</v>
      </c>
      <c r="F125" s="2">
        <f>B125-0.1971902</f>
        <v>5.0444899999999987E-2</v>
      </c>
      <c r="G125" s="2">
        <f>0.3109848-B125</f>
        <v>6.3349700000000009E-2</v>
      </c>
      <c r="K125" s="36" t="s">
        <v>36</v>
      </c>
      <c r="L125" s="46">
        <v>0.5059631</v>
      </c>
      <c r="M125" s="46">
        <v>0.2007216</v>
      </c>
      <c r="N125" s="46">
        <v>-1.72</v>
      </c>
      <c r="O125" s="46">
        <v>8.5999999999999993E-2</v>
      </c>
      <c r="P125" s="46">
        <f>L125-0.2325076</f>
        <v>0.27345549999999996</v>
      </c>
      <c r="Q125" s="46">
        <f>1.101034-L125</f>
        <v>0.59507090000000007</v>
      </c>
    </row>
    <row r="126" spans="1:17" x14ac:dyDescent="0.25">
      <c r="A126" s="36" t="s">
        <v>37</v>
      </c>
      <c r="B126" s="2">
        <v>0.27517770000000003</v>
      </c>
      <c r="C126" s="2">
        <v>5.4014199999999998E-2</v>
      </c>
      <c r="D126" s="2">
        <v>-6.57</v>
      </c>
      <c r="E126" s="2">
        <v>0</v>
      </c>
      <c r="F126" s="2">
        <f>B126-0.1872976</f>
        <v>8.7880100000000017E-2</v>
      </c>
      <c r="G126" s="2">
        <f>0.4042912-B126</f>
        <v>0.12911349999999999</v>
      </c>
      <c r="K126" s="36" t="s">
        <v>37</v>
      </c>
      <c r="L126" s="46">
        <v>0.32540819999999998</v>
      </c>
      <c r="M126" s="46">
        <v>0.32941730000000002</v>
      </c>
      <c r="N126" s="46">
        <v>-1.1100000000000001</v>
      </c>
      <c r="O126" s="46">
        <v>0.26700000000000002</v>
      </c>
      <c r="P126" s="46">
        <f>L126-0.0447445</f>
        <v>0.28066369999999996</v>
      </c>
      <c r="Q126" s="46">
        <f>2.366557-L126</f>
        <v>2.0411487999999998</v>
      </c>
    </row>
    <row r="127" spans="1:17" x14ac:dyDescent="0.25">
      <c r="A127" s="36" t="s">
        <v>50</v>
      </c>
      <c r="B127" s="2">
        <v>0.30957679999999999</v>
      </c>
      <c r="C127" s="2">
        <v>3.04432E-2</v>
      </c>
      <c r="D127" s="2">
        <v>-11.92</v>
      </c>
      <c r="E127" s="2">
        <v>0</v>
      </c>
      <c r="F127" s="2">
        <f>B127-0.2553071</f>
        <v>5.4269699999999976E-2</v>
      </c>
      <c r="G127" s="2">
        <f>0.3753825-B127</f>
        <v>6.5805700000000023E-2</v>
      </c>
      <c r="K127" s="36" t="s">
        <v>50</v>
      </c>
      <c r="L127" s="46">
        <v>0.1162641</v>
      </c>
      <c r="M127" s="46">
        <v>3.9003900000000001E-2</v>
      </c>
      <c r="N127" s="46">
        <v>-6.41</v>
      </c>
      <c r="O127" s="46">
        <v>0</v>
      </c>
      <c r="P127" s="46">
        <f>L127-0.0602403</f>
        <v>5.6023799999999999E-2</v>
      </c>
      <c r="Q127" s="46">
        <f>0.2243903-L127</f>
        <v>0.10812619999999999</v>
      </c>
    </row>
    <row r="128" spans="1:17" x14ac:dyDescent="0.25">
      <c r="A128" s="36" t="s">
        <v>51</v>
      </c>
      <c r="B128" s="2">
        <v>0.49986510000000001</v>
      </c>
      <c r="C128" s="2">
        <v>4.5675800000000003E-2</v>
      </c>
      <c r="D128" s="2">
        <v>-7.59</v>
      </c>
      <c r="E128" s="2">
        <v>0</v>
      </c>
      <c r="F128" s="2">
        <f>B128-0.4179008</f>
        <v>8.196429999999999E-2</v>
      </c>
      <c r="G128" s="2">
        <f>0.5979055-B128</f>
        <v>9.8040399999999972E-2</v>
      </c>
      <c r="K128" s="36" t="s">
        <v>51</v>
      </c>
      <c r="L128" s="46">
        <v>0.4195644</v>
      </c>
      <c r="M128" s="46">
        <v>0.14727409999999999</v>
      </c>
      <c r="N128" s="46">
        <v>-2.4700000000000002</v>
      </c>
      <c r="O128" s="46">
        <v>1.2999999999999999E-2</v>
      </c>
      <c r="P128" s="46">
        <f>L128-0.210869</f>
        <v>0.2086954</v>
      </c>
      <c r="Q128" s="46">
        <f>0.8348041-L128</f>
        <v>0.41523970000000004</v>
      </c>
    </row>
    <row r="129" spans="1:21" x14ac:dyDescent="0.25">
      <c r="A129" s="36" t="s">
        <v>52</v>
      </c>
      <c r="B129" s="2">
        <v>0.53028929999999996</v>
      </c>
      <c r="C129" s="2">
        <v>4.6779000000000001E-2</v>
      </c>
      <c r="D129" s="2">
        <v>-7.19</v>
      </c>
      <c r="E129" s="2">
        <v>0</v>
      </c>
      <c r="F129" s="2">
        <f>B129-0.4460924</f>
        <v>8.4196899999999963E-2</v>
      </c>
      <c r="G129" s="2">
        <f>0.6303778-B129</f>
        <v>0.10008850000000002</v>
      </c>
      <c r="K129" s="36" t="s">
        <v>52</v>
      </c>
      <c r="L129" s="46">
        <v>0.5059631</v>
      </c>
      <c r="M129" s="46">
        <v>0.20107620000000001</v>
      </c>
      <c r="N129" s="46">
        <v>-1.71</v>
      </c>
      <c r="O129" s="46">
        <v>8.5999999999999993E-2</v>
      </c>
      <c r="P129" s="46">
        <f>L129-0.2321884</f>
        <v>0.27377470000000004</v>
      </c>
      <c r="Q129" s="46">
        <f>1.102547-L129</f>
        <v>0.59658389999999994</v>
      </c>
    </row>
    <row r="130" spans="1:21" x14ac:dyDescent="0.25">
      <c r="A130" s="36" t="s">
        <v>53</v>
      </c>
      <c r="B130" s="2">
        <v>0.58966660000000004</v>
      </c>
      <c r="C130" s="2">
        <v>8.4691799999999998E-2</v>
      </c>
      <c r="D130" s="2">
        <v>-3.68</v>
      </c>
      <c r="E130" s="2">
        <v>0</v>
      </c>
      <c r="F130" s="2">
        <f>B130-0.4449911</f>
        <v>0.14467550000000007</v>
      </c>
      <c r="G130" s="2">
        <f>0.781379-B130</f>
        <v>0.19171240000000001</v>
      </c>
      <c r="K130" s="36" t="s">
        <v>53</v>
      </c>
      <c r="L130" s="46">
        <v>0.6508081</v>
      </c>
      <c r="M130" s="46">
        <v>0.46563979999999999</v>
      </c>
      <c r="N130" s="46">
        <v>-0.6</v>
      </c>
      <c r="O130" s="46">
        <v>0.54800000000000004</v>
      </c>
      <c r="P130" s="46">
        <f>L130-0.1601164</f>
        <v>0.49069170000000001</v>
      </c>
      <c r="Q130" s="46">
        <f>2.645271-L130</f>
        <v>1.9944629000000003</v>
      </c>
    </row>
    <row r="131" spans="1:21" x14ac:dyDescent="0.25">
      <c r="A131" s="36" t="s">
        <v>54</v>
      </c>
      <c r="B131" s="2">
        <v>0.1069042</v>
      </c>
      <c r="C131" s="2">
        <v>1.6294599999999999E-2</v>
      </c>
      <c r="D131" s="2">
        <v>-14.67</v>
      </c>
      <c r="E131" s="2">
        <v>0</v>
      </c>
      <c r="F131" s="2">
        <f>B131-0.0792962</f>
        <v>2.7608000000000008E-2</v>
      </c>
      <c r="G131" s="2">
        <f>0.1441244-B131</f>
        <v>3.7220200000000009E-2</v>
      </c>
      <c r="K131" s="36" t="s">
        <v>54</v>
      </c>
      <c r="L131" s="46">
        <v>1.8372200000000001</v>
      </c>
      <c r="M131" s="46">
        <v>0.25339010000000001</v>
      </c>
      <c r="N131" s="46">
        <v>4.41</v>
      </c>
      <c r="O131" s="46">
        <v>0</v>
      </c>
      <c r="P131" s="46">
        <f>L131-1.402048</f>
        <v>0.43517200000000011</v>
      </c>
      <c r="Q131" s="46">
        <f>2.40746-L131</f>
        <v>0.57023999999999986</v>
      </c>
    </row>
    <row r="132" spans="1:21" x14ac:dyDescent="0.25">
      <c r="A132" s="36" t="s">
        <v>55</v>
      </c>
      <c r="B132" s="2">
        <v>0.12838069999999999</v>
      </c>
      <c r="C132" s="2">
        <v>2.0328100000000002E-2</v>
      </c>
      <c r="D132" s="2">
        <v>-12.96</v>
      </c>
      <c r="E132" s="2">
        <v>0</v>
      </c>
      <c r="F132" s="2">
        <f>B132-0.0941278</f>
        <v>3.4252899999999989E-2</v>
      </c>
      <c r="G132" s="2">
        <f>0.175098-B132</f>
        <v>4.6717300000000017E-2</v>
      </c>
      <c r="K132" s="36" t="s">
        <v>55</v>
      </c>
      <c r="L132" s="46">
        <v>3.543005</v>
      </c>
      <c r="M132" s="46">
        <v>0.5868911</v>
      </c>
      <c r="N132" s="46">
        <v>7.64</v>
      </c>
      <c r="O132" s="46">
        <v>0</v>
      </c>
      <c r="P132" s="46">
        <f>L132-2.560778</f>
        <v>0.98222699999999996</v>
      </c>
      <c r="Q132" s="46">
        <f>4.901979-L132</f>
        <v>1.3589739999999999</v>
      </c>
    </row>
    <row r="133" spans="1:21" x14ac:dyDescent="0.25">
      <c r="A133" s="36" t="s">
        <v>56</v>
      </c>
      <c r="B133" s="2">
        <v>0.18009829999999999</v>
      </c>
      <c r="C133" s="2">
        <v>2.4499300000000002E-2</v>
      </c>
      <c r="D133" s="2">
        <v>-12.6</v>
      </c>
      <c r="E133" s="2">
        <v>0</v>
      </c>
      <c r="F133" s="2">
        <f>B133-0.1379489</f>
        <v>4.2149399999999976E-2</v>
      </c>
      <c r="G133" s="2">
        <f>0.2351261-B133</f>
        <v>5.5027800000000016E-2</v>
      </c>
      <c r="K133" s="36" t="s">
        <v>56</v>
      </c>
      <c r="L133" s="46">
        <v>3.6863220000000001</v>
      </c>
      <c r="M133" s="46">
        <v>0.69420530000000003</v>
      </c>
      <c r="N133" s="46">
        <v>6.93</v>
      </c>
      <c r="O133" s="46">
        <v>0</v>
      </c>
      <c r="P133" s="46">
        <f>L133-2.548565</f>
        <v>1.1377570000000001</v>
      </c>
      <c r="Q133" s="46">
        <f>5.332009-L133</f>
        <v>1.6456870000000001</v>
      </c>
    </row>
    <row r="134" spans="1:21" x14ac:dyDescent="0.25">
      <c r="A134" s="36" t="s">
        <v>57</v>
      </c>
      <c r="B134" s="2">
        <v>0.1769</v>
      </c>
      <c r="C134" s="2">
        <v>4.2801800000000001E-2</v>
      </c>
      <c r="D134" s="2">
        <v>-7.16</v>
      </c>
      <c r="E134" s="2">
        <v>0</v>
      </c>
      <c r="F134" s="2">
        <f>B134-0.110097</f>
        <v>6.6803000000000001E-2</v>
      </c>
      <c r="G134" s="2">
        <f>0.2842368-B134</f>
        <v>0.10733680000000001</v>
      </c>
      <c r="K134" s="36" t="s">
        <v>57</v>
      </c>
      <c r="L134" s="46">
        <v>2.603262</v>
      </c>
      <c r="M134" s="46">
        <v>0.9726844</v>
      </c>
      <c r="N134" s="46">
        <v>2.56</v>
      </c>
      <c r="O134" s="46">
        <v>0.01</v>
      </c>
      <c r="P134" s="46">
        <f>L134-1.251625</f>
        <v>1.351637</v>
      </c>
      <c r="Q134" s="46">
        <f>5.414537-L134</f>
        <v>2.8112750000000002</v>
      </c>
    </row>
    <row r="135" spans="1:21" x14ac:dyDescent="0.25">
      <c r="A135" s="36" t="s">
        <v>58</v>
      </c>
      <c r="B135" s="2">
        <v>0.17817369999999999</v>
      </c>
      <c r="C135" s="2">
        <v>2.1706799999999998E-2</v>
      </c>
      <c r="D135" s="2">
        <v>-14.16</v>
      </c>
      <c r="E135" s="2">
        <v>0</v>
      </c>
      <c r="F135" s="2">
        <f>B135-0.1403273</f>
        <v>3.7846400000000002E-2</v>
      </c>
      <c r="G135" s="2">
        <f>0.2262273-B135</f>
        <v>4.8053600000000002E-2</v>
      </c>
      <c r="K135" s="36" t="s">
        <v>58</v>
      </c>
      <c r="L135" s="46">
        <v>0.72091669999999997</v>
      </c>
      <c r="M135" s="46">
        <v>0.1218948</v>
      </c>
      <c r="N135" s="46">
        <v>-1.94</v>
      </c>
      <c r="O135" s="46">
        <v>5.2999999999999999E-2</v>
      </c>
      <c r="P135" s="46">
        <f>L135-0.5175607</f>
        <v>0.20335599999999998</v>
      </c>
      <c r="Q135" s="46">
        <f>1.004174-L135</f>
        <v>0.28325729999999993</v>
      </c>
    </row>
    <row r="136" spans="1:21" x14ac:dyDescent="0.25">
      <c r="A136" s="36" t="s">
        <v>59</v>
      </c>
      <c r="B136" s="2">
        <v>0.2157888</v>
      </c>
      <c r="C136" s="2">
        <v>2.6758000000000001E-2</v>
      </c>
      <c r="D136" s="2">
        <v>-12.37</v>
      </c>
      <c r="E136" s="2">
        <v>0</v>
      </c>
      <c r="F136" s="2">
        <f>B136-0.1692307</f>
        <v>4.6558099999999991E-2</v>
      </c>
      <c r="G136" s="2">
        <f>0.2751557-B136</f>
        <v>5.93669E-2</v>
      </c>
      <c r="K136" s="36" t="s">
        <v>59</v>
      </c>
      <c r="L136" s="46">
        <v>1.77156</v>
      </c>
      <c r="M136" s="46">
        <v>0.35660710000000001</v>
      </c>
      <c r="N136" s="46">
        <v>2.84</v>
      </c>
      <c r="O136" s="46">
        <v>4.0000000000000001E-3</v>
      </c>
      <c r="P136" s="46">
        <f>L136-1.194023</f>
        <v>0.57753699999999997</v>
      </c>
      <c r="Q136" s="46">
        <f>2.628445-L136</f>
        <v>0.85688500000000012</v>
      </c>
    </row>
    <row r="137" spans="1:21" x14ac:dyDescent="0.25">
      <c r="A137" s="36" t="s">
        <v>60</v>
      </c>
      <c r="B137" s="2">
        <v>0.37020199999999998</v>
      </c>
      <c r="C137" s="2">
        <v>3.7149599999999998E-2</v>
      </c>
      <c r="D137" s="2">
        <v>-9.9</v>
      </c>
      <c r="E137" s="2">
        <v>0</v>
      </c>
      <c r="F137" s="2">
        <f>B137-0.3041032</f>
        <v>6.6098799999999958E-2</v>
      </c>
      <c r="G137" s="2">
        <f>0.4506678-B137</f>
        <v>8.0465800000000032E-2</v>
      </c>
      <c r="K137" s="36" t="s">
        <v>60</v>
      </c>
      <c r="L137" s="46">
        <v>1.6625179999999999</v>
      </c>
      <c r="M137" s="46">
        <v>0.39985480000000001</v>
      </c>
      <c r="N137" s="46">
        <v>2.11</v>
      </c>
      <c r="O137" s="46">
        <v>3.5000000000000003E-2</v>
      </c>
      <c r="P137" s="46">
        <f>L137-1.03763</f>
        <v>0.62488799999999989</v>
      </c>
      <c r="Q137" s="46">
        <f>2.66373-L137</f>
        <v>1.0012120000000002</v>
      </c>
    </row>
    <row r="138" spans="1:21" x14ac:dyDescent="0.25">
      <c r="A138" s="36" t="s">
        <v>61</v>
      </c>
      <c r="B138" s="2">
        <v>0.62897769999999997</v>
      </c>
      <c r="C138" s="2">
        <v>8.5660299999999995E-2</v>
      </c>
      <c r="D138" s="2">
        <v>-3.4</v>
      </c>
      <c r="E138" s="2">
        <v>1E-3</v>
      </c>
      <c r="F138" s="2">
        <f>B138-0.4816264</f>
        <v>0.14735129999999996</v>
      </c>
      <c r="G138" s="2">
        <f>0.8214104-B138</f>
        <v>0.19243270000000001</v>
      </c>
      <c r="K138" s="36" t="s">
        <v>61</v>
      </c>
      <c r="L138" s="46">
        <v>4.230219</v>
      </c>
      <c r="M138" s="46">
        <v>1.285647</v>
      </c>
      <c r="N138" s="46">
        <v>4.75</v>
      </c>
      <c r="O138" s="46">
        <v>0</v>
      </c>
      <c r="P138" s="46">
        <f>L138-2.331663</f>
        <v>1.8985560000000001</v>
      </c>
      <c r="Q138" s="46">
        <f>7.674672-L138</f>
        <v>3.4444530000000002</v>
      </c>
    </row>
    <row r="139" spans="1:21" x14ac:dyDescent="0.25">
      <c r="A139" s="36"/>
      <c r="B139" s="3"/>
      <c r="C139" s="3"/>
      <c r="D139" s="3"/>
      <c r="E139" s="3"/>
      <c r="F139" s="3"/>
      <c r="G139" s="3"/>
      <c r="K139" s="36"/>
      <c r="L139" s="47"/>
      <c r="M139" s="47"/>
      <c r="N139" s="47"/>
      <c r="O139" s="47"/>
      <c r="P139" s="47"/>
      <c r="Q139" s="47"/>
    </row>
    <row r="140" spans="1:21" x14ac:dyDescent="0.25">
      <c r="A140" s="5" t="s">
        <v>6</v>
      </c>
      <c r="B140" s="6">
        <v>3.2491999999999998E-3</v>
      </c>
      <c r="C140" s="6">
        <v>2.5020000000000001E-4</v>
      </c>
      <c r="D140" s="6">
        <v>-74.400000000000006</v>
      </c>
      <c r="E140" s="6">
        <v>0</v>
      </c>
      <c r="F140" s="6">
        <v>2.7940999999999999E-3</v>
      </c>
      <c r="G140" s="6">
        <v>3.7786E-3</v>
      </c>
      <c r="K140" s="5" t="s">
        <v>6</v>
      </c>
      <c r="L140" s="48">
        <v>8.9769999999999997E-4</v>
      </c>
      <c r="M140" s="48">
        <v>1.304E-4</v>
      </c>
      <c r="N140" s="48">
        <v>-48.29</v>
      </c>
      <c r="O140" s="48">
        <v>0</v>
      </c>
      <c r="P140" s="48">
        <v>6.7529999999999999E-4</v>
      </c>
      <c r="Q140" s="48">
        <v>1.1934999999999999E-3</v>
      </c>
    </row>
    <row r="141" spans="1:21" ht="15.75" thickBot="1" x14ac:dyDescent="0.3"/>
    <row r="142" spans="1:21" x14ac:dyDescent="0.25">
      <c r="A142" s="10"/>
      <c r="B142" s="11" t="s">
        <v>9</v>
      </c>
      <c r="C142" s="11" t="s">
        <v>40</v>
      </c>
      <c r="D142" s="11" t="s">
        <v>11</v>
      </c>
      <c r="E142" s="11" t="s">
        <v>7</v>
      </c>
      <c r="F142" s="11" t="s">
        <v>8</v>
      </c>
      <c r="G142" s="11" t="s">
        <v>62</v>
      </c>
      <c r="H142" s="11" t="s">
        <v>63</v>
      </c>
      <c r="I142" s="11" t="s">
        <v>64</v>
      </c>
      <c r="J142" s="12" t="s">
        <v>65</v>
      </c>
      <c r="L142" s="10"/>
      <c r="M142" s="11" t="s">
        <v>9</v>
      </c>
      <c r="N142" s="11" t="s">
        <v>40</v>
      </c>
      <c r="O142" s="11" t="s">
        <v>11</v>
      </c>
      <c r="P142" s="11" t="s">
        <v>7</v>
      </c>
      <c r="Q142" s="11" t="s">
        <v>8</v>
      </c>
      <c r="R142" s="11" t="s">
        <v>62</v>
      </c>
      <c r="S142" s="11" t="s">
        <v>63</v>
      </c>
      <c r="T142" s="11" t="s">
        <v>64</v>
      </c>
      <c r="U142" s="12" t="s">
        <v>65</v>
      </c>
    </row>
    <row r="143" spans="1:21" x14ac:dyDescent="0.25">
      <c r="A143" s="13" t="s">
        <v>12</v>
      </c>
      <c r="B143" s="14">
        <f>B103</f>
        <v>0.4766147</v>
      </c>
      <c r="C143" s="15">
        <f>B107</f>
        <v>0.14922050000000001</v>
      </c>
      <c r="D143" s="15">
        <f>B111</f>
        <v>0.26726060000000001</v>
      </c>
      <c r="E143" s="15">
        <f>B115</f>
        <v>0.87305120000000003</v>
      </c>
      <c r="F143" s="15">
        <f>B119</f>
        <v>1</v>
      </c>
      <c r="G143" s="15">
        <f>B123</f>
        <v>0.1158129</v>
      </c>
      <c r="H143" s="16">
        <f>B127</f>
        <v>0.30957679999999999</v>
      </c>
      <c r="I143" s="16">
        <f>B131</f>
        <v>0.1069042</v>
      </c>
      <c r="J143" s="17">
        <f>B135</f>
        <v>0.17817369999999999</v>
      </c>
      <c r="L143" s="13" t="s">
        <v>12</v>
      </c>
      <c r="M143" s="14">
        <f>L103</f>
        <v>0.1162641</v>
      </c>
      <c r="N143" s="15">
        <f>L107</f>
        <v>0.24419640000000001</v>
      </c>
      <c r="O143" s="15">
        <f>L111</f>
        <v>0.60463460000000002</v>
      </c>
      <c r="P143" s="15">
        <f>L115</f>
        <v>3.4999199999999999</v>
      </c>
      <c r="Q143" s="15">
        <f>L119</f>
        <v>1</v>
      </c>
      <c r="R143" s="15">
        <f>L123</f>
        <v>8.1357399999999996E-2</v>
      </c>
      <c r="S143" s="16">
        <f>L127</f>
        <v>0.1162641</v>
      </c>
      <c r="T143" s="16">
        <f>L131</f>
        <v>1.8372200000000001</v>
      </c>
      <c r="U143" s="17">
        <f>L135</f>
        <v>0.72091669999999997</v>
      </c>
    </row>
    <row r="144" spans="1:21" x14ac:dyDescent="0.25">
      <c r="A144" s="13" t="s">
        <v>13</v>
      </c>
      <c r="B144" s="15">
        <f>B104</f>
        <v>0.75935790000000003</v>
      </c>
      <c r="C144" s="15">
        <f>B108</f>
        <v>0.27588180000000001</v>
      </c>
      <c r="D144" s="15">
        <f>B112</f>
        <v>0.40153100000000003</v>
      </c>
      <c r="E144" s="15">
        <f>B116</f>
        <v>1.6662170000000001</v>
      </c>
      <c r="F144" s="15">
        <f>B120</f>
        <v>1.2564919999999999</v>
      </c>
      <c r="G144" s="15">
        <f>B124</f>
        <v>0.1447697</v>
      </c>
      <c r="H144" s="16">
        <f>B128</f>
        <v>0.49986510000000001</v>
      </c>
      <c r="I144" s="16">
        <f>B132</f>
        <v>0.12838069999999999</v>
      </c>
      <c r="J144" s="17">
        <f>B136</f>
        <v>0.2157888</v>
      </c>
      <c r="L144" s="13" t="s">
        <v>13</v>
      </c>
      <c r="M144" s="15">
        <f>L104</f>
        <v>0.13986199999999999</v>
      </c>
      <c r="N144" s="15">
        <f>L108</f>
        <v>0.60604139999999995</v>
      </c>
      <c r="O144" s="15">
        <f>L112</f>
        <v>1.678323</v>
      </c>
      <c r="P144" s="15">
        <f>L116</f>
        <v>7.7386720000000002</v>
      </c>
      <c r="Q144" s="15">
        <f>L120</f>
        <v>1.958032</v>
      </c>
      <c r="R144" s="15">
        <f>L124</f>
        <v>0.32633420000000002</v>
      </c>
      <c r="S144" s="16">
        <f>L128</f>
        <v>0.4195644</v>
      </c>
      <c r="T144" s="16">
        <f>L132</f>
        <v>3.543005</v>
      </c>
      <c r="U144" s="17">
        <f>L136</f>
        <v>1.77156</v>
      </c>
    </row>
    <row r="145" spans="1:21" x14ac:dyDescent="0.25">
      <c r="A145" s="13" t="s">
        <v>14</v>
      </c>
      <c r="B145" s="15">
        <f>B105</f>
        <v>1.2531840000000001</v>
      </c>
      <c r="C145" s="15">
        <f>B109</f>
        <v>0.40021839999999997</v>
      </c>
      <c r="D145" s="15">
        <f>B113</f>
        <v>0.68287260000000005</v>
      </c>
      <c r="E145" s="15">
        <f>B117</f>
        <v>1.828498</v>
      </c>
      <c r="F145" s="15">
        <f>B121</f>
        <v>1.2656909999999999</v>
      </c>
      <c r="G145" s="15">
        <f>B125</f>
        <v>0.2476351</v>
      </c>
      <c r="H145" s="16">
        <f>B129</f>
        <v>0.53028929999999996</v>
      </c>
      <c r="I145" s="16">
        <f>B133</f>
        <v>0.18009829999999999</v>
      </c>
      <c r="J145" s="17">
        <f>B137</f>
        <v>0.37020199999999998</v>
      </c>
      <c r="L145" s="13" t="s">
        <v>14</v>
      </c>
      <c r="M145" s="15">
        <f>L105</f>
        <v>0.5059631</v>
      </c>
      <c r="N145" s="15">
        <f>L109</f>
        <v>0.5059631</v>
      </c>
      <c r="O145" s="15">
        <f>L113</f>
        <v>1.8793610000000001</v>
      </c>
      <c r="P145" s="15">
        <f>L117</f>
        <v>15.9023</v>
      </c>
      <c r="Q145" s="15">
        <f>L121</f>
        <v>2.3130359999999999</v>
      </c>
      <c r="R145" s="15">
        <f>L125</f>
        <v>0.5059631</v>
      </c>
      <c r="S145" s="16">
        <f>L129</f>
        <v>0.5059631</v>
      </c>
      <c r="T145" s="16">
        <f>L133</f>
        <v>3.6863220000000001</v>
      </c>
      <c r="U145" s="17">
        <f>L137</f>
        <v>1.6625179999999999</v>
      </c>
    </row>
    <row r="146" spans="1:21" ht="15.75" thickBot="1" x14ac:dyDescent="0.3">
      <c r="A146" s="19" t="s">
        <v>371</v>
      </c>
      <c r="B146" s="20">
        <f>B106</f>
        <v>0.57983879999999999</v>
      </c>
      <c r="C146" s="20">
        <f>B110</f>
        <v>0.3734555</v>
      </c>
      <c r="D146" s="20">
        <f>B114</f>
        <v>0.68794440000000001</v>
      </c>
      <c r="E146" s="20">
        <f>B118</f>
        <v>3.1547160000000001</v>
      </c>
      <c r="F146" s="20">
        <f>B122</f>
        <v>2.9778159999999998</v>
      </c>
      <c r="G146" s="20">
        <f>B126</f>
        <v>0.27517770000000003</v>
      </c>
      <c r="H146" s="21">
        <f>B130</f>
        <v>0.58966660000000004</v>
      </c>
      <c r="I146" s="21">
        <f>B134</f>
        <v>0.1769</v>
      </c>
      <c r="J146" s="31">
        <f>B138</f>
        <v>0.62897769999999997</v>
      </c>
      <c r="L146" s="19" t="s">
        <v>371</v>
      </c>
      <c r="M146" s="20">
        <f>L106</f>
        <v>7.9999999999999996E-7</v>
      </c>
      <c r="N146" s="20">
        <f>L110</f>
        <v>1.9524760000000001</v>
      </c>
      <c r="O146" s="20">
        <f>L114</f>
        <v>1.6270739999999999</v>
      </c>
      <c r="P146" s="20">
        <f>L118</f>
        <v>17.572130000000001</v>
      </c>
      <c r="Q146" s="20">
        <f>L122</f>
        <v>4.8810130000000003</v>
      </c>
      <c r="R146" s="20">
        <f>L126</f>
        <v>0.32540819999999998</v>
      </c>
      <c r="S146" s="21">
        <f>L130</f>
        <v>0.6508081</v>
      </c>
      <c r="T146" s="21">
        <f>M134</f>
        <v>0.9726844</v>
      </c>
      <c r="U146" s="31">
        <f>L138</f>
        <v>4.230219</v>
      </c>
    </row>
    <row r="164" spans="1:7" s="1" customFormat="1" x14ac:dyDescent="0.25">
      <c r="A164" s="1" t="s">
        <v>90</v>
      </c>
    </row>
    <row r="166" spans="1:7" x14ac:dyDescent="0.25">
      <c r="A166" s="36"/>
      <c r="B166" s="2" t="s">
        <v>1</v>
      </c>
      <c r="C166" s="3"/>
      <c r="D166" s="3"/>
      <c r="E166" s="3"/>
      <c r="F166" s="3"/>
      <c r="G166" s="3"/>
    </row>
    <row r="167" spans="1:7" x14ac:dyDescent="0.25">
      <c r="A167" s="5" t="s">
        <v>2</v>
      </c>
      <c r="B167" s="6" t="s">
        <v>269</v>
      </c>
      <c r="C167" s="6" t="s">
        <v>270</v>
      </c>
      <c r="D167" s="6" t="s">
        <v>3</v>
      </c>
      <c r="E167" s="6" t="s">
        <v>4</v>
      </c>
      <c r="F167" s="6" t="s">
        <v>271</v>
      </c>
      <c r="G167" s="6" t="s">
        <v>272</v>
      </c>
    </row>
    <row r="168" spans="1:7" x14ac:dyDescent="0.25">
      <c r="A168" s="36"/>
      <c r="B168" s="2"/>
      <c r="C168" s="2"/>
      <c r="D168" s="3"/>
      <c r="E168" s="3"/>
      <c r="F168" s="3"/>
      <c r="G168" s="3"/>
    </row>
    <row r="169" spans="1:7" x14ac:dyDescent="0.25">
      <c r="A169" s="36" t="s">
        <v>74</v>
      </c>
      <c r="B169" s="3"/>
      <c r="C169" s="3"/>
      <c r="D169" s="3"/>
      <c r="E169" s="3"/>
      <c r="F169" s="3"/>
      <c r="G169" s="3"/>
    </row>
    <row r="170" spans="1:7" x14ac:dyDescent="0.25">
      <c r="A170" s="36" t="s">
        <v>75</v>
      </c>
      <c r="B170" s="2">
        <v>0.85615280000000005</v>
      </c>
      <c r="C170" s="2">
        <v>2.70864E-2</v>
      </c>
      <c r="D170" s="2">
        <v>-4.91</v>
      </c>
      <c r="E170" s="2">
        <v>0</v>
      </c>
      <c r="F170" s="2">
        <v>0.80467690000000003</v>
      </c>
      <c r="G170" s="2">
        <v>0.91092169999999995</v>
      </c>
    </row>
    <row r="171" spans="1:7" x14ac:dyDescent="0.25">
      <c r="A171" s="36" t="s">
        <v>76</v>
      </c>
      <c r="B171" s="2">
        <v>0.64045620000000003</v>
      </c>
      <c r="C171" s="2">
        <v>2.8747200000000001E-2</v>
      </c>
      <c r="D171" s="2">
        <v>-9.93</v>
      </c>
      <c r="E171" s="2">
        <v>0</v>
      </c>
      <c r="F171" s="2">
        <v>0.58652009999999999</v>
      </c>
      <c r="G171" s="2">
        <v>0.69935230000000004</v>
      </c>
    </row>
    <row r="172" spans="1:7" x14ac:dyDescent="0.25">
      <c r="A172" s="36" t="s">
        <v>77</v>
      </c>
      <c r="B172" s="2">
        <v>0.51278480000000004</v>
      </c>
      <c r="C172" s="2">
        <v>2.8984300000000001E-2</v>
      </c>
      <c r="D172" s="2">
        <v>-11.82</v>
      </c>
      <c r="E172" s="2">
        <v>0</v>
      </c>
      <c r="F172" s="2">
        <v>0.45901019999999998</v>
      </c>
      <c r="G172" s="2">
        <v>0.57285920000000001</v>
      </c>
    </row>
    <row r="173" spans="1:7" x14ac:dyDescent="0.25">
      <c r="A173" s="36" t="s">
        <v>78</v>
      </c>
      <c r="B173" s="2">
        <v>0.43022890000000003</v>
      </c>
      <c r="C173" s="2">
        <v>2.5947600000000001E-2</v>
      </c>
      <c r="D173" s="2">
        <v>-13.98</v>
      </c>
      <c r="E173" s="2">
        <v>0</v>
      </c>
      <c r="F173" s="2">
        <v>0.38226329999999997</v>
      </c>
      <c r="G173" s="2">
        <v>0.48421310000000001</v>
      </c>
    </row>
    <row r="174" spans="1:7" x14ac:dyDescent="0.25">
      <c r="A174" s="36" t="s">
        <v>79</v>
      </c>
      <c r="B174" s="2">
        <v>0.33816889999999999</v>
      </c>
      <c r="C174" s="2">
        <v>2.5027000000000001E-2</v>
      </c>
      <c r="D174" s="2">
        <v>-14.65</v>
      </c>
      <c r="E174" s="2">
        <v>0</v>
      </c>
      <c r="F174" s="2">
        <v>0.2925085</v>
      </c>
      <c r="G174" s="2">
        <v>0.3909569</v>
      </c>
    </row>
    <row r="175" spans="1:7" x14ac:dyDescent="0.25">
      <c r="A175" s="36" t="s">
        <v>80</v>
      </c>
      <c r="B175" s="2">
        <v>0.37466850000000002</v>
      </c>
      <c r="C175" s="2">
        <v>3.0850300000000001E-2</v>
      </c>
      <c r="D175" s="2">
        <v>-11.92</v>
      </c>
      <c r="E175" s="2">
        <v>0</v>
      </c>
      <c r="F175" s="2">
        <v>0.3188299</v>
      </c>
      <c r="G175" s="2">
        <v>0.44028640000000002</v>
      </c>
    </row>
    <row r="176" spans="1:7" x14ac:dyDescent="0.25">
      <c r="A176" s="36" t="s">
        <v>86</v>
      </c>
      <c r="B176" s="2">
        <v>0.2280044</v>
      </c>
      <c r="C176" s="2">
        <v>2.5624299999999999E-2</v>
      </c>
      <c r="D176" s="2">
        <v>-13.15</v>
      </c>
      <c r="E176" s="2">
        <v>0</v>
      </c>
      <c r="F176" s="2">
        <v>0.18292829999999999</v>
      </c>
      <c r="G176" s="2">
        <v>0.28418789999999999</v>
      </c>
    </row>
    <row r="177" spans="1:7" x14ac:dyDescent="0.25">
      <c r="A177" s="36" t="s">
        <v>87</v>
      </c>
      <c r="B177" s="2">
        <v>0.18439539999999999</v>
      </c>
      <c r="C177" s="2">
        <v>2.9525800000000001E-2</v>
      </c>
      <c r="D177" s="2">
        <v>-10.56</v>
      </c>
      <c r="E177" s="2">
        <v>0</v>
      </c>
      <c r="F177" s="2">
        <v>0.13472680000000001</v>
      </c>
      <c r="G177" s="2">
        <v>0.25237490000000001</v>
      </c>
    </row>
    <row r="178" spans="1:7" x14ac:dyDescent="0.25">
      <c r="A178" s="36" t="s">
        <v>88</v>
      </c>
      <c r="B178" s="2">
        <v>4.7952599999999998E-2</v>
      </c>
      <c r="C178" s="2">
        <v>2.0921700000000001E-2</v>
      </c>
      <c r="D178" s="2">
        <v>-6.96</v>
      </c>
      <c r="E178" s="2">
        <v>0</v>
      </c>
      <c r="F178" s="2">
        <v>2.0390700000000001E-2</v>
      </c>
      <c r="G178" s="2">
        <v>0.11276940000000001</v>
      </c>
    </row>
    <row r="179" spans="1:7" x14ac:dyDescent="0.25">
      <c r="A179" s="36"/>
      <c r="B179" s="3"/>
      <c r="C179" s="3"/>
      <c r="D179" s="3"/>
      <c r="E179" s="3"/>
      <c r="F179" s="3"/>
      <c r="G179" s="3"/>
    </row>
    <row r="180" spans="1:7" x14ac:dyDescent="0.25">
      <c r="A180" s="36" t="s">
        <v>113</v>
      </c>
      <c r="B180" s="3"/>
      <c r="C180" s="3"/>
      <c r="D180" s="3"/>
      <c r="E180" s="3"/>
      <c r="F180" s="3"/>
      <c r="G180" s="3"/>
    </row>
    <row r="181" spans="1:7" x14ac:dyDescent="0.25">
      <c r="A181" s="36">
        <v>2</v>
      </c>
      <c r="B181" s="2">
        <v>0.80807929999999994</v>
      </c>
      <c r="C181" s="2">
        <v>4.0134200000000002E-2</v>
      </c>
      <c r="D181" s="2">
        <v>-4.29</v>
      </c>
      <c r="E181" s="2">
        <v>0</v>
      </c>
      <c r="F181" s="2">
        <v>0.73312509999999997</v>
      </c>
      <c r="G181" s="2">
        <v>0.89069690000000001</v>
      </c>
    </row>
    <row r="182" spans="1:7" x14ac:dyDescent="0.25">
      <c r="A182" s="36">
        <v>3</v>
      </c>
      <c r="B182" s="2">
        <v>1.044746</v>
      </c>
      <c r="C182" s="2">
        <v>6.0138400000000002E-2</v>
      </c>
      <c r="D182" s="2">
        <v>0.76</v>
      </c>
      <c r="E182" s="2">
        <v>0.44700000000000001</v>
      </c>
      <c r="F182" s="2">
        <v>0.93328259999999996</v>
      </c>
      <c r="G182" s="2">
        <v>1.169521</v>
      </c>
    </row>
    <row r="183" spans="1:7" x14ac:dyDescent="0.25">
      <c r="A183" s="36"/>
      <c r="B183" s="3"/>
      <c r="C183" s="3"/>
      <c r="D183" s="3"/>
      <c r="E183" s="3"/>
      <c r="F183" s="3"/>
      <c r="G183" s="3"/>
    </row>
    <row r="184" spans="1:7" x14ac:dyDescent="0.25">
      <c r="A184" s="36" t="s">
        <v>108</v>
      </c>
      <c r="B184" s="3"/>
      <c r="C184" s="3"/>
      <c r="D184" s="3"/>
      <c r="E184" s="3"/>
      <c r="F184" s="3"/>
      <c r="G184" s="3"/>
    </row>
    <row r="185" spans="1:7" x14ac:dyDescent="0.25">
      <c r="A185" s="36">
        <v>2</v>
      </c>
      <c r="B185" s="2">
        <v>0.99818019999999996</v>
      </c>
      <c r="C185" s="2">
        <v>3.06512E-2</v>
      </c>
      <c r="D185" s="2">
        <v>-0.06</v>
      </c>
      <c r="E185" s="2">
        <v>0.95299999999999996</v>
      </c>
      <c r="F185" s="2">
        <v>0.93987710000000002</v>
      </c>
      <c r="G185" s="2">
        <v>1.0601</v>
      </c>
    </row>
    <row r="186" spans="1:7" x14ac:dyDescent="0.25">
      <c r="A186" s="36" t="s">
        <v>109</v>
      </c>
      <c r="B186" s="2">
        <v>0.934284</v>
      </c>
      <c r="C186" s="2">
        <v>5.0905699999999998E-2</v>
      </c>
      <c r="D186" s="2">
        <v>-1.25</v>
      </c>
      <c r="E186" s="2">
        <v>0.21199999999999999</v>
      </c>
      <c r="F186" s="2">
        <v>0.83965350000000005</v>
      </c>
      <c r="G186" s="2">
        <v>1.0395799999999999</v>
      </c>
    </row>
    <row r="187" spans="1:7" x14ac:dyDescent="0.25">
      <c r="A187" s="36"/>
      <c r="B187" s="3"/>
      <c r="C187" s="3"/>
      <c r="D187" s="3"/>
      <c r="E187" s="3"/>
      <c r="F187" s="3"/>
      <c r="G187" s="3"/>
    </row>
    <row r="188" spans="1:7" x14ac:dyDescent="0.25">
      <c r="A188" s="36" t="s">
        <v>83</v>
      </c>
      <c r="B188" s="3"/>
      <c r="C188" s="3"/>
      <c r="D188" s="3"/>
      <c r="E188" s="3"/>
      <c r="F188" s="3"/>
      <c r="G188" s="3"/>
    </row>
    <row r="189" spans="1:7" x14ac:dyDescent="0.25">
      <c r="A189" s="38" t="s">
        <v>315</v>
      </c>
      <c r="B189" s="2">
        <v>1.2345360000000001</v>
      </c>
      <c r="C189" s="2">
        <v>3.9771000000000001E-2</v>
      </c>
      <c r="D189" s="2">
        <v>6.54</v>
      </c>
      <c r="E189" s="2">
        <v>0</v>
      </c>
      <c r="F189" s="2">
        <v>1.1589959999999999</v>
      </c>
      <c r="G189" s="2">
        <v>1.3149999999999999</v>
      </c>
    </row>
    <row r="190" spans="1:7" x14ac:dyDescent="0.25">
      <c r="A190" s="38" t="s">
        <v>316</v>
      </c>
      <c r="B190" s="2">
        <v>1.038826</v>
      </c>
      <c r="C190" s="2">
        <v>4.1091299999999997E-2</v>
      </c>
      <c r="D190" s="2">
        <v>0.96</v>
      </c>
      <c r="E190" s="2">
        <v>0.33600000000000002</v>
      </c>
      <c r="F190" s="2">
        <v>0.96133179999999996</v>
      </c>
      <c r="G190" s="2">
        <v>1.122568</v>
      </c>
    </row>
    <row r="191" spans="1:7" x14ac:dyDescent="0.25">
      <c r="A191" s="38" t="s">
        <v>317</v>
      </c>
      <c r="B191" s="2">
        <v>0.93543200000000004</v>
      </c>
      <c r="C191" s="2">
        <v>3.9985699999999999E-2</v>
      </c>
      <c r="D191" s="2">
        <v>-1.56</v>
      </c>
      <c r="E191" s="2">
        <v>0.11799999999999999</v>
      </c>
      <c r="F191" s="2">
        <v>0.86025470000000004</v>
      </c>
      <c r="G191" s="2">
        <v>1.0171790000000001</v>
      </c>
    </row>
    <row r="192" spans="1:7" x14ac:dyDescent="0.25">
      <c r="A192" s="38" t="s">
        <v>82</v>
      </c>
      <c r="B192" s="2">
        <v>1.299523</v>
      </c>
      <c r="C192" s="2">
        <v>6.4173599999999997E-2</v>
      </c>
      <c r="D192" s="2">
        <v>5.31</v>
      </c>
      <c r="E192" s="2">
        <v>0</v>
      </c>
      <c r="F192" s="2">
        <v>1.17964</v>
      </c>
      <c r="G192" s="2">
        <v>1.431589</v>
      </c>
    </row>
    <row r="193" spans="1:7" x14ac:dyDescent="0.25">
      <c r="A193" s="36"/>
      <c r="B193" s="3"/>
      <c r="C193" s="3"/>
      <c r="D193" s="3"/>
      <c r="E193" s="3"/>
      <c r="F193" s="3"/>
      <c r="G193" s="3"/>
    </row>
    <row r="194" spans="1:7" x14ac:dyDescent="0.25">
      <c r="A194" s="36" t="s">
        <v>96</v>
      </c>
      <c r="B194" s="3"/>
      <c r="C194" s="3"/>
      <c r="D194" s="3"/>
      <c r="E194" s="3"/>
      <c r="F194" s="3"/>
      <c r="G194" s="3"/>
    </row>
    <row r="195" spans="1:7" x14ac:dyDescent="0.25">
      <c r="A195" s="36" t="s">
        <v>117</v>
      </c>
      <c r="B195" s="2">
        <v>1.5555559999999999</v>
      </c>
      <c r="C195" s="2">
        <v>0.1640519</v>
      </c>
      <c r="D195" s="2">
        <v>4.1900000000000004</v>
      </c>
      <c r="E195" s="2">
        <v>0</v>
      </c>
      <c r="F195" s="2">
        <f>B195-1.265075</f>
        <v>0.29048099999999999</v>
      </c>
      <c r="G195" s="2">
        <f>1.912735-B195</f>
        <v>0.35717900000000014</v>
      </c>
    </row>
    <row r="196" spans="1:7" x14ac:dyDescent="0.25">
      <c r="A196" s="36" t="s">
        <v>118</v>
      </c>
      <c r="B196" s="2">
        <v>2.8908879999999999</v>
      </c>
      <c r="C196" s="2">
        <v>0.30086810000000003</v>
      </c>
      <c r="D196" s="2">
        <v>10.199999999999999</v>
      </c>
      <c r="E196" s="2">
        <v>0</v>
      </c>
      <c r="F196" s="2">
        <f>B196-2.357452</f>
        <v>0.53343600000000002</v>
      </c>
      <c r="G196" s="2">
        <f>3.545029-B196</f>
        <v>0.65414100000000008</v>
      </c>
    </row>
    <row r="197" spans="1:7" x14ac:dyDescent="0.25">
      <c r="A197" s="36" t="s">
        <v>119</v>
      </c>
      <c r="B197" s="2">
        <v>0.85802469999999997</v>
      </c>
      <c r="C197" s="2">
        <v>0.1021363</v>
      </c>
      <c r="D197" s="2">
        <v>-1.29</v>
      </c>
      <c r="E197" s="2">
        <v>0.19800000000000001</v>
      </c>
      <c r="F197" s="2">
        <f>B197-0.6794784</f>
        <v>0.17854629999999994</v>
      </c>
      <c r="G197" s="2">
        <f>1.083487-B197</f>
        <v>0.22546230000000012</v>
      </c>
    </row>
    <row r="198" spans="1:7" x14ac:dyDescent="0.25">
      <c r="A198" s="36" t="s">
        <v>120</v>
      </c>
      <c r="B198" s="2">
        <v>1.539304</v>
      </c>
      <c r="C198" s="2">
        <v>0.18353549999999999</v>
      </c>
      <c r="D198" s="2">
        <v>3.62</v>
      </c>
      <c r="E198" s="2">
        <v>0</v>
      </c>
      <c r="F198" s="2">
        <f>B198-1.218522</f>
        <v>0.3207819999999999</v>
      </c>
      <c r="G198" s="2">
        <f>1.944534-B198</f>
        <v>0.40522999999999998</v>
      </c>
    </row>
    <row r="199" spans="1:7" x14ac:dyDescent="0.25">
      <c r="A199" s="36" t="s">
        <v>121</v>
      </c>
      <c r="B199" s="2">
        <v>1.1172839999999999</v>
      </c>
      <c r="C199" s="2">
        <v>0.12515370000000001</v>
      </c>
      <c r="D199" s="2">
        <v>0.99</v>
      </c>
      <c r="E199" s="2">
        <v>0.32200000000000001</v>
      </c>
      <c r="F199" s="2">
        <f>B199-0.8970474</f>
        <v>0.22023659999999989</v>
      </c>
      <c r="G199" s="2">
        <f>1.391591-B199</f>
        <v>0.27430700000000008</v>
      </c>
    </row>
    <row r="200" spans="1:7" x14ac:dyDescent="0.25">
      <c r="A200" s="36" t="s">
        <v>122</v>
      </c>
      <c r="B200" s="2">
        <v>2.1212360000000001</v>
      </c>
      <c r="C200" s="2">
        <v>0.23408280000000001</v>
      </c>
      <c r="D200" s="2">
        <v>6.81</v>
      </c>
      <c r="E200" s="2">
        <v>0</v>
      </c>
      <c r="F200" s="2">
        <f>B200-1.708666</f>
        <v>0.4125700000000001</v>
      </c>
      <c r="G200" s="2">
        <f>2.633424-B200</f>
        <v>0.51218800000000009</v>
      </c>
    </row>
    <row r="201" spans="1:7" x14ac:dyDescent="0.25">
      <c r="A201" s="36" t="s">
        <v>123</v>
      </c>
      <c r="B201" s="2">
        <v>2.5925929999999999</v>
      </c>
      <c r="C201" s="2">
        <v>0.2600441</v>
      </c>
      <c r="D201" s="2">
        <v>9.5</v>
      </c>
      <c r="E201" s="2">
        <v>0</v>
      </c>
      <c r="F201" s="2">
        <f>B201-2.129886</f>
        <v>0.46270699999999998</v>
      </c>
      <c r="G201" s="2">
        <f>3.155819-B201</f>
        <v>0.56322600000000023</v>
      </c>
    </row>
    <row r="202" spans="1:7" x14ac:dyDescent="0.25">
      <c r="A202" s="36" t="s">
        <v>124</v>
      </c>
      <c r="B202" s="2">
        <v>3.970278</v>
      </c>
      <c r="C202" s="2">
        <v>0.4026015</v>
      </c>
      <c r="D202" s="2">
        <v>13.6</v>
      </c>
      <c r="E202" s="2">
        <v>0</v>
      </c>
      <c r="F202" s="2">
        <f>B202-3.254662</f>
        <v>0.71561599999999981</v>
      </c>
      <c r="G202" s="2">
        <f>4.843241-B202</f>
        <v>0.87296299999999993</v>
      </c>
    </row>
    <row r="203" spans="1:7" x14ac:dyDescent="0.25">
      <c r="A203" s="36" t="s">
        <v>153</v>
      </c>
      <c r="B203" s="2">
        <v>1</v>
      </c>
      <c r="C203" s="2"/>
      <c r="D203" s="2"/>
      <c r="E203" s="2"/>
      <c r="F203" s="2">
        <v>0</v>
      </c>
      <c r="G203" s="2">
        <v>0</v>
      </c>
    </row>
    <row r="204" spans="1:7" x14ac:dyDescent="0.25">
      <c r="A204" s="36" t="s">
        <v>125</v>
      </c>
      <c r="B204" s="2">
        <v>1.895972</v>
      </c>
      <c r="C204" s="2">
        <v>0.2152038</v>
      </c>
      <c r="D204" s="2">
        <v>5.64</v>
      </c>
      <c r="E204" s="2">
        <v>0</v>
      </c>
      <c r="F204" s="2">
        <f>B204-1.517804</f>
        <v>0.37816800000000006</v>
      </c>
      <c r="G204" s="2">
        <f>2.368363-B204</f>
        <v>0.47239100000000001</v>
      </c>
    </row>
    <row r="205" spans="1:7" x14ac:dyDescent="0.25">
      <c r="A205" s="36" t="s">
        <v>126</v>
      </c>
      <c r="B205" s="2">
        <v>0.38888889999999998</v>
      </c>
      <c r="C205" s="2">
        <v>5.8369999999999998E-2</v>
      </c>
      <c r="D205" s="2">
        <v>-6.29</v>
      </c>
      <c r="E205" s="2">
        <v>0</v>
      </c>
      <c r="F205" s="2">
        <f>B205-0.2897777</f>
        <v>9.9111199999999955E-2</v>
      </c>
      <c r="G205" s="2">
        <f>0.5218985-B205</f>
        <v>0.13300960000000006</v>
      </c>
    </row>
    <row r="206" spans="1:7" x14ac:dyDescent="0.25">
      <c r="A206" s="36" t="s">
        <v>127</v>
      </c>
      <c r="B206" s="2">
        <v>0.59131800000000001</v>
      </c>
      <c r="C206" s="2">
        <v>9.0353600000000006E-2</v>
      </c>
      <c r="D206" s="2">
        <v>-3.44</v>
      </c>
      <c r="E206" s="2">
        <v>1E-3</v>
      </c>
      <c r="F206" s="2">
        <f>B206-0.4382857</f>
        <v>0.15303230000000001</v>
      </c>
      <c r="G206" s="2">
        <f>0.7977833-B206</f>
        <v>0.20646529999999996</v>
      </c>
    </row>
    <row r="207" spans="1:7" x14ac:dyDescent="0.25">
      <c r="A207" s="36" t="s">
        <v>128</v>
      </c>
      <c r="B207" s="2">
        <v>0.70370370000000004</v>
      </c>
      <c r="C207" s="2">
        <v>9.0028899999999995E-2</v>
      </c>
      <c r="D207" s="2">
        <v>-2.75</v>
      </c>
      <c r="E207" s="2">
        <v>6.0000000000000001E-3</v>
      </c>
      <c r="F207" s="2">
        <f>B207-0.5476344</f>
        <v>0.15606930000000008</v>
      </c>
      <c r="G207" s="2">
        <f>0.9042509-B207</f>
        <v>0.20054719999999993</v>
      </c>
    </row>
    <row r="208" spans="1:7" x14ac:dyDescent="0.25">
      <c r="A208" s="36" t="s">
        <v>129</v>
      </c>
      <c r="B208" s="2">
        <v>1.004302</v>
      </c>
      <c r="C208" s="2">
        <v>0.13274749999999999</v>
      </c>
      <c r="D208" s="2">
        <v>0.03</v>
      </c>
      <c r="E208" s="2">
        <v>0.97399999999999998</v>
      </c>
      <c r="F208" s="2">
        <f>B208-0.7750924</f>
        <v>0.22920960000000001</v>
      </c>
      <c r="G208" s="2">
        <f>1.301293-B208</f>
        <v>0.296991</v>
      </c>
    </row>
    <row r="209" spans="1:7" x14ac:dyDescent="0.25">
      <c r="A209" s="36" t="s">
        <v>130</v>
      </c>
      <c r="B209" s="2">
        <v>0.5</v>
      </c>
      <c r="C209" s="2">
        <v>6.9706500000000005E-2</v>
      </c>
      <c r="D209" s="2">
        <v>-4.97</v>
      </c>
      <c r="E209" s="2">
        <v>0</v>
      </c>
      <c r="F209" s="2">
        <f>B209-0.3804534</f>
        <v>0.1195466</v>
      </c>
      <c r="G209" s="2">
        <f>0.6571107-B209</f>
        <v>0.15711070000000005</v>
      </c>
    </row>
    <row r="210" spans="1:7" x14ac:dyDescent="0.25">
      <c r="A210" s="36" t="s">
        <v>131</v>
      </c>
      <c r="B210" s="2">
        <v>0.69456399999999996</v>
      </c>
      <c r="C210" s="2">
        <v>0.10358630000000001</v>
      </c>
      <c r="D210" s="2">
        <v>-2.44</v>
      </c>
      <c r="E210" s="2">
        <v>1.4999999999999999E-2</v>
      </c>
      <c r="F210" s="2">
        <f>B210-0.5185198</f>
        <v>0.17604419999999998</v>
      </c>
      <c r="G210" s="2">
        <f>0.9303777-B210</f>
        <v>0.23581370000000001</v>
      </c>
    </row>
    <row r="211" spans="1:7" x14ac:dyDescent="0.25">
      <c r="A211" s="36" t="s">
        <v>132</v>
      </c>
      <c r="B211" s="2">
        <v>0.67901230000000001</v>
      </c>
      <c r="C211" s="2">
        <v>8.6021700000000006E-2</v>
      </c>
      <c r="D211" s="2">
        <v>-3.06</v>
      </c>
      <c r="E211" s="2">
        <v>2E-3</v>
      </c>
      <c r="F211" s="2">
        <f>B211-0.5297146</f>
        <v>0.14929769999999998</v>
      </c>
      <c r="G211" s="2">
        <f>0.870389-B211</f>
        <v>0.19137669999999996</v>
      </c>
    </row>
    <row r="212" spans="1:7" x14ac:dyDescent="0.25">
      <c r="A212" s="36" t="s">
        <v>133</v>
      </c>
      <c r="B212" s="2">
        <v>0.99491609999999997</v>
      </c>
      <c r="C212" s="2">
        <v>0.13043089999999999</v>
      </c>
      <c r="D212" s="2">
        <v>-0.04</v>
      </c>
      <c r="E212" s="2">
        <v>0.96899999999999997</v>
      </c>
      <c r="F212" s="2">
        <f>B212-0.7694779</f>
        <v>0.22543819999999992</v>
      </c>
      <c r="G212" s="2">
        <f>1.286402-B212</f>
        <v>0.29148590000000008</v>
      </c>
    </row>
    <row r="213" spans="1:7" x14ac:dyDescent="0.25">
      <c r="A213" s="36" t="s">
        <v>134</v>
      </c>
      <c r="B213" s="2">
        <v>1.145607</v>
      </c>
      <c r="C213" s="2">
        <v>0.1200098</v>
      </c>
      <c r="D213" s="2">
        <v>1.3</v>
      </c>
      <c r="E213" s="2">
        <v>0.19400000000000001</v>
      </c>
      <c r="F213" s="2">
        <f>B213-0.932968</f>
        <v>0.21263900000000002</v>
      </c>
      <c r="G213" s="2">
        <f>1.40671-B213</f>
        <v>0.26110299999999986</v>
      </c>
    </row>
    <row r="214" spans="1:7" x14ac:dyDescent="0.25">
      <c r="A214" s="36" t="s">
        <v>135</v>
      </c>
      <c r="B214" s="2">
        <v>1.805731</v>
      </c>
      <c r="C214" s="2">
        <v>0.1956368</v>
      </c>
      <c r="D214" s="2">
        <v>5.45</v>
      </c>
      <c r="E214" s="2">
        <v>0</v>
      </c>
      <c r="F214" s="2">
        <f>B214-1.460266</f>
        <v>0.34546499999999991</v>
      </c>
      <c r="G214" s="2">
        <f>2.232925-B214</f>
        <v>0.42719399999999985</v>
      </c>
    </row>
    <row r="215" spans="1:7" x14ac:dyDescent="0.25">
      <c r="A215" s="36" t="s">
        <v>136</v>
      </c>
      <c r="B215" s="2">
        <v>0.13842750000000001</v>
      </c>
      <c r="C215" s="2">
        <v>2.8306700000000001E-2</v>
      </c>
      <c r="D215" s="2">
        <v>-9.67</v>
      </c>
      <c r="E215" s="2">
        <v>0</v>
      </c>
      <c r="F215" s="2">
        <f>B215-0.0927176</f>
        <v>4.5709900000000012E-2</v>
      </c>
      <c r="G215" s="2">
        <f>0.2066725-B215</f>
        <v>6.8245E-2</v>
      </c>
    </row>
    <row r="216" spans="1:7" x14ac:dyDescent="0.25">
      <c r="A216" s="36" t="s">
        <v>137</v>
      </c>
      <c r="B216" s="2">
        <v>0.2436304</v>
      </c>
      <c r="C216" s="2">
        <v>4.9152500000000002E-2</v>
      </c>
      <c r="D216" s="2">
        <v>-7</v>
      </c>
      <c r="E216" s="2">
        <v>0</v>
      </c>
      <c r="F216" s="2">
        <f>B216-0.1640595</f>
        <v>7.95709E-2</v>
      </c>
      <c r="G216" s="2">
        <f>0.3617941-B216</f>
        <v>0.11816370000000001</v>
      </c>
    </row>
    <row r="217" spans="1:7" x14ac:dyDescent="0.25">
      <c r="A217" s="36" t="s">
        <v>138</v>
      </c>
      <c r="B217" s="2">
        <v>0.41050920000000002</v>
      </c>
      <c r="C217" s="2">
        <v>5.7189499999999997E-2</v>
      </c>
      <c r="D217" s="2">
        <v>-6.39</v>
      </c>
      <c r="E217" s="2">
        <v>0</v>
      </c>
      <c r="F217" s="2">
        <f>B217-0.3124201</f>
        <v>9.808910000000004E-2</v>
      </c>
      <c r="G217" s="2">
        <f>0.5393948-B217</f>
        <v>0.12888559999999993</v>
      </c>
    </row>
    <row r="218" spans="1:7" x14ac:dyDescent="0.25">
      <c r="A218" s="36" t="s">
        <v>139</v>
      </c>
      <c r="B218" s="2">
        <v>0.83837510000000004</v>
      </c>
      <c r="C218" s="2">
        <v>0.1075132</v>
      </c>
      <c r="D218" s="2">
        <v>-1.37</v>
      </c>
      <c r="E218" s="2">
        <v>0.16900000000000001</v>
      </c>
      <c r="F218" s="2">
        <f>B218-0.652049</f>
        <v>0.18632610000000005</v>
      </c>
      <c r="G218" s="2">
        <f>1.077945-B218</f>
        <v>0.23956989999999989</v>
      </c>
    </row>
    <row r="219" spans="1:7" x14ac:dyDescent="0.25">
      <c r="A219" s="36" t="s">
        <v>140</v>
      </c>
      <c r="B219" s="2">
        <v>2.7780969999999998</v>
      </c>
      <c r="C219" s="2">
        <v>0.26728610000000003</v>
      </c>
      <c r="D219" s="2">
        <v>10.62</v>
      </c>
      <c r="E219" s="2">
        <v>0</v>
      </c>
      <c r="F219" s="2">
        <f>B219-2.300656</f>
        <v>0.47744099999999978</v>
      </c>
      <c r="G219" s="2">
        <f>3.354619-B219</f>
        <v>0.5765220000000002</v>
      </c>
    </row>
    <row r="220" spans="1:7" x14ac:dyDescent="0.25">
      <c r="A220" s="36" t="s">
        <v>141</v>
      </c>
      <c r="B220" s="2">
        <v>4.5071620000000001</v>
      </c>
      <c r="C220" s="2">
        <v>0.44245760000000001</v>
      </c>
      <c r="D220" s="2">
        <v>15.34</v>
      </c>
      <c r="E220" s="2">
        <v>0</v>
      </c>
      <c r="F220" s="2">
        <f>B220-3.718285</f>
        <v>0.78887700000000027</v>
      </c>
      <c r="G220" s="2">
        <f>5.463408-B220</f>
        <v>0.95624600000000015</v>
      </c>
    </row>
    <row r="221" spans="1:7" x14ac:dyDescent="0.25">
      <c r="A221" s="36" t="s">
        <v>142</v>
      </c>
      <c r="B221" s="2">
        <v>3.5657019999999999</v>
      </c>
      <c r="C221" s="2">
        <v>0.33423120000000001</v>
      </c>
      <c r="D221" s="2">
        <v>13.56</v>
      </c>
      <c r="E221" s="2">
        <v>0</v>
      </c>
      <c r="F221" s="2">
        <f>B221-2.967274</f>
        <v>0.59842799999999974</v>
      </c>
      <c r="G221" s="2">
        <f>4.284818-B221</f>
        <v>0.71911599999999964</v>
      </c>
    </row>
    <row r="222" spans="1:7" x14ac:dyDescent="0.25">
      <c r="A222" s="36" t="s">
        <v>143</v>
      </c>
      <c r="B222" s="2">
        <v>4.3495179999999998</v>
      </c>
      <c r="C222" s="2">
        <v>0.42618139999999999</v>
      </c>
      <c r="D222" s="2">
        <v>15</v>
      </c>
      <c r="E222" s="2">
        <v>0</v>
      </c>
      <c r="F222" s="2">
        <f>B222-3.589528</f>
        <v>0.75998999999999972</v>
      </c>
      <c r="G222" s="2">
        <f>5.270417-B222</f>
        <v>0.92089900000000036</v>
      </c>
    </row>
    <row r="223" spans="1:7" x14ac:dyDescent="0.25">
      <c r="A223" s="36" t="s">
        <v>144</v>
      </c>
      <c r="B223" s="2">
        <v>0.2004812</v>
      </c>
      <c r="C223" s="2">
        <v>3.5179599999999998E-2</v>
      </c>
      <c r="D223" s="2">
        <v>-9.16</v>
      </c>
      <c r="E223" s="2">
        <v>0</v>
      </c>
      <c r="F223" s="2">
        <f>B223-0.1421375</f>
        <v>5.8343699999999998E-2</v>
      </c>
      <c r="G223" s="2">
        <f>0.2827735-B223</f>
        <v>8.2292300000000013E-2</v>
      </c>
    </row>
    <row r="224" spans="1:7" x14ac:dyDescent="0.25">
      <c r="A224" s="36" t="s">
        <v>145</v>
      </c>
      <c r="B224" s="2">
        <v>0.45859830000000001</v>
      </c>
      <c r="C224" s="2">
        <v>7.1175299999999997E-2</v>
      </c>
      <c r="D224" s="2">
        <v>-5.0199999999999996</v>
      </c>
      <c r="E224" s="2">
        <v>0</v>
      </c>
      <c r="F224" s="2">
        <f>B224-0.3383175</f>
        <v>0.12028080000000002</v>
      </c>
      <c r="G224" s="2">
        <f>0.6216422-B224</f>
        <v>0.16304390000000002</v>
      </c>
    </row>
    <row r="225" spans="1:23" x14ac:dyDescent="0.25">
      <c r="A225" s="36" t="s">
        <v>146</v>
      </c>
      <c r="B225" s="2">
        <v>0.99285939999999995</v>
      </c>
      <c r="C225" s="2">
        <v>0.1093581</v>
      </c>
      <c r="D225" s="2">
        <v>-7.0000000000000007E-2</v>
      </c>
      <c r="E225" s="2">
        <v>0.94799999999999995</v>
      </c>
      <c r="F225" s="2">
        <f>B225-0.8000783</f>
        <v>0.19278109999999993</v>
      </c>
      <c r="G225" s="2">
        <f>1.232092-B225</f>
        <v>0.23923260000000002</v>
      </c>
    </row>
    <row r="226" spans="1:23" x14ac:dyDescent="0.25">
      <c r="A226" s="36" t="s">
        <v>147</v>
      </c>
      <c r="B226" s="2">
        <v>1.1823239999999999</v>
      </c>
      <c r="C226" s="2">
        <v>0.13981850000000001</v>
      </c>
      <c r="D226" s="2">
        <v>1.42</v>
      </c>
      <c r="E226" s="2">
        <v>0.157</v>
      </c>
      <c r="F226" s="2">
        <f>B226-0.9377252</f>
        <v>0.24459879999999989</v>
      </c>
      <c r="G226" s="2">
        <f>1.490724-B226</f>
        <v>0.30840000000000001</v>
      </c>
    </row>
    <row r="227" spans="1:23" x14ac:dyDescent="0.25">
      <c r="A227" s="36" t="s">
        <v>148</v>
      </c>
      <c r="B227" s="2">
        <v>6.68271E-2</v>
      </c>
      <c r="C227" s="2">
        <v>1.87282E-2</v>
      </c>
      <c r="D227" s="2">
        <v>-9.65</v>
      </c>
      <c r="E227" s="2">
        <v>0</v>
      </c>
      <c r="F227" s="2">
        <f>B227-0.0385838</f>
        <v>2.8243299999999999E-2</v>
      </c>
      <c r="G227" s="2">
        <f>0.1157444-B227</f>
        <v>4.8917299999999997E-2</v>
      </c>
    </row>
    <row r="228" spans="1:23" x14ac:dyDescent="0.25">
      <c r="A228" s="36" t="s">
        <v>149</v>
      </c>
      <c r="B228" s="2">
        <v>0.1146496</v>
      </c>
      <c r="C228" s="2">
        <v>3.52033E-2</v>
      </c>
      <c r="D228" s="2">
        <v>-7.05</v>
      </c>
      <c r="E228" s="2">
        <v>0</v>
      </c>
      <c r="F228" s="2">
        <f>B228-0.0628073</f>
        <v>5.1842300000000008E-2</v>
      </c>
      <c r="G228" s="2">
        <f>0.2092833-B228</f>
        <v>9.4633700000000001E-2</v>
      </c>
    </row>
    <row r="229" spans="1:23" x14ac:dyDescent="0.25">
      <c r="A229" s="36" t="s">
        <v>150</v>
      </c>
      <c r="B229" s="2">
        <v>0.23389480000000001</v>
      </c>
      <c r="C229" s="2">
        <v>3.8853800000000001E-2</v>
      </c>
      <c r="D229" s="2">
        <v>-8.75</v>
      </c>
      <c r="E229" s="2">
        <v>0</v>
      </c>
      <c r="F229" s="2">
        <f>B229-0.168897</f>
        <v>6.4997800000000022E-2</v>
      </c>
      <c r="G229" s="2">
        <f>0.323906-B229</f>
        <v>9.0011200000000013E-2</v>
      </c>
    </row>
    <row r="230" spans="1:23" x14ac:dyDescent="0.25">
      <c r="A230" s="36" t="s">
        <v>151</v>
      </c>
      <c r="B230" s="2">
        <v>0.75955349999999999</v>
      </c>
      <c r="C230" s="2">
        <v>0.1002107</v>
      </c>
      <c r="D230" s="2">
        <v>-2.08</v>
      </c>
      <c r="E230" s="2">
        <v>3.6999999999999998E-2</v>
      </c>
      <c r="F230" s="2">
        <f>B230-0.5864841</f>
        <v>0.17306940000000004</v>
      </c>
      <c r="G230" s="2">
        <f>0.9836951-B230</f>
        <v>0.22414160000000005</v>
      </c>
    </row>
    <row r="231" spans="1:23" x14ac:dyDescent="0.25">
      <c r="A231" s="36"/>
      <c r="B231" s="3"/>
      <c r="C231" s="3"/>
      <c r="D231" s="3"/>
      <c r="E231" s="3"/>
      <c r="F231" s="3"/>
      <c r="G231" s="3"/>
    </row>
    <row r="232" spans="1:23" x14ac:dyDescent="0.25">
      <c r="A232" s="5" t="s">
        <v>6</v>
      </c>
      <c r="B232" s="6">
        <v>1.6134000000000001E-3</v>
      </c>
      <c r="C232" s="6">
        <v>1.663E-4</v>
      </c>
      <c r="D232" s="6">
        <v>-62.38</v>
      </c>
      <c r="E232" s="6">
        <v>0</v>
      </c>
      <c r="F232" s="6">
        <v>1.3182999999999999E-3</v>
      </c>
      <c r="G232" s="6">
        <v>1.9745000000000001E-3</v>
      </c>
    </row>
    <row r="234" spans="1:23" ht="14.45" customHeight="1" thickBot="1" x14ac:dyDescent="0.3"/>
    <row r="235" spans="1:23" x14ac:dyDescent="0.25">
      <c r="A235" s="10"/>
      <c r="B235" s="11"/>
      <c r="C235" s="11" t="s">
        <v>9</v>
      </c>
      <c r="D235" s="11" t="s">
        <v>40</v>
      </c>
      <c r="E235" s="11" t="s">
        <v>11</v>
      </c>
      <c r="F235" s="11" t="s">
        <v>7</v>
      </c>
      <c r="G235" s="11" t="s">
        <v>8</v>
      </c>
      <c r="H235" s="11" t="s">
        <v>62</v>
      </c>
      <c r="I235" s="11" t="s">
        <v>63</v>
      </c>
      <c r="J235" s="11" t="s">
        <v>64</v>
      </c>
      <c r="K235" s="12" t="s">
        <v>65</v>
      </c>
      <c r="N235" s="2">
        <v>0.29048099999999999</v>
      </c>
      <c r="O235" s="2">
        <v>0.35717900000000014</v>
      </c>
      <c r="P235" s="2">
        <v>0.46270699999999998</v>
      </c>
      <c r="Q235" s="2">
        <v>0.56322600000000023</v>
      </c>
      <c r="R235" s="2">
        <v>0.15606930000000008</v>
      </c>
      <c r="S235" s="2">
        <v>0.20054719999999993</v>
      </c>
      <c r="T235" s="9"/>
      <c r="U235" s="2"/>
      <c r="V235" s="2"/>
      <c r="W235" s="9"/>
    </row>
    <row r="236" spans="1:23" x14ac:dyDescent="0.25">
      <c r="A236" s="13" t="s">
        <v>91</v>
      </c>
      <c r="B236" s="7" t="s">
        <v>152</v>
      </c>
      <c r="C236" s="14">
        <f>B195</f>
        <v>1.5555559999999999</v>
      </c>
      <c r="D236" s="15">
        <f>B197</f>
        <v>0.85802469999999997</v>
      </c>
      <c r="E236" s="15">
        <f>B199</f>
        <v>1.1172839999999999</v>
      </c>
      <c r="F236" s="15">
        <f>B201</f>
        <v>2.5925929999999999</v>
      </c>
      <c r="G236" s="15">
        <f>B203</f>
        <v>1</v>
      </c>
      <c r="H236" s="15">
        <f>B205</f>
        <v>0.38888889999999998</v>
      </c>
      <c r="I236" s="16">
        <f>B207</f>
        <v>0.70370370000000004</v>
      </c>
      <c r="J236" s="16">
        <f>B209</f>
        <v>0.5</v>
      </c>
      <c r="K236" s="17">
        <f>B211</f>
        <v>0.67901230000000001</v>
      </c>
      <c r="N236" s="2">
        <v>0.53343600000000002</v>
      </c>
      <c r="O236" s="2">
        <v>0.65414100000000008</v>
      </c>
      <c r="P236" s="2">
        <v>0.71561599999999981</v>
      </c>
      <c r="Q236" s="2">
        <v>0.87296299999999993</v>
      </c>
      <c r="R236" s="2">
        <v>0.22920960000000001</v>
      </c>
      <c r="S236" s="2">
        <v>0.296991</v>
      </c>
      <c r="T236" s="9"/>
      <c r="U236" s="2"/>
      <c r="V236" s="2"/>
      <c r="W236" s="9"/>
    </row>
    <row r="237" spans="1:23" x14ac:dyDescent="0.25">
      <c r="A237" s="13"/>
      <c r="B237" s="7" t="s">
        <v>372</v>
      </c>
      <c r="C237" s="15">
        <f>B196</f>
        <v>2.8908879999999999</v>
      </c>
      <c r="D237" s="15">
        <f>B198</f>
        <v>1.539304</v>
      </c>
      <c r="E237" s="15">
        <f>B200</f>
        <v>2.1212360000000001</v>
      </c>
      <c r="F237" s="15">
        <f>B202</f>
        <v>3.970278</v>
      </c>
      <c r="G237" s="15">
        <f>B204</f>
        <v>1.895972</v>
      </c>
      <c r="H237" s="15">
        <f>B206</f>
        <v>0.59131800000000001</v>
      </c>
      <c r="I237" s="16">
        <f>B208</f>
        <v>1.004302</v>
      </c>
      <c r="J237" s="16">
        <f>B210</f>
        <v>0.69456399999999996</v>
      </c>
      <c r="K237" s="17">
        <f>B212</f>
        <v>0.99491609999999997</v>
      </c>
      <c r="N237" s="2">
        <v>0.21263900000000002</v>
      </c>
      <c r="O237" s="2">
        <v>0.26110299999999986</v>
      </c>
      <c r="P237" s="2">
        <v>0.47744099999999978</v>
      </c>
      <c r="Q237" s="2">
        <v>0.5765220000000002</v>
      </c>
      <c r="R237" s="2">
        <v>0.19278109999999993</v>
      </c>
      <c r="S237" s="2">
        <v>0.23923260000000002</v>
      </c>
      <c r="T237" s="9"/>
      <c r="U237" s="2"/>
      <c r="V237" s="2"/>
      <c r="W237" s="7"/>
    </row>
    <row r="238" spans="1:23" x14ac:dyDescent="0.25">
      <c r="A238" s="24" t="s">
        <v>73</v>
      </c>
      <c r="B238" s="7" t="s">
        <v>152</v>
      </c>
      <c r="C238" s="15">
        <f>B213</f>
        <v>1.145607</v>
      </c>
      <c r="D238" s="15">
        <f>B215</f>
        <v>0.13842750000000001</v>
      </c>
      <c r="E238" s="15">
        <f>B217</f>
        <v>0.41050920000000002</v>
      </c>
      <c r="F238" s="25">
        <f>B219</f>
        <v>2.7780969999999998</v>
      </c>
      <c r="G238" s="25">
        <f>B221</f>
        <v>3.5657019999999999</v>
      </c>
      <c r="H238" s="15">
        <f>B223</f>
        <v>0.2004812</v>
      </c>
      <c r="I238" s="16">
        <f>B225</f>
        <v>0.99285939999999995</v>
      </c>
      <c r="J238" s="16">
        <f>B227</f>
        <v>6.68271E-2</v>
      </c>
      <c r="K238" s="17">
        <f>B229</f>
        <v>0.23389480000000001</v>
      </c>
      <c r="N238" s="2">
        <v>0.34546499999999991</v>
      </c>
      <c r="O238" s="2">
        <v>0.42719399999999985</v>
      </c>
      <c r="P238" s="2">
        <v>0.78887700000000027</v>
      </c>
      <c r="Q238" s="2">
        <v>0.95624600000000015</v>
      </c>
      <c r="R238" s="2">
        <v>0.24459879999999989</v>
      </c>
      <c r="S238" s="2">
        <v>0.30840000000000001</v>
      </c>
      <c r="T238" s="9"/>
      <c r="U238" s="2"/>
      <c r="V238" s="2"/>
      <c r="W238" s="7"/>
    </row>
    <row r="239" spans="1:23" ht="15.75" thickBot="1" x14ac:dyDescent="0.3">
      <c r="A239" s="26"/>
      <c r="B239" s="27" t="s">
        <v>372</v>
      </c>
      <c r="C239" s="28">
        <f>B214</f>
        <v>1.805731</v>
      </c>
      <c r="D239" s="29">
        <f>B216</f>
        <v>0.2436304</v>
      </c>
      <c r="E239" s="29">
        <f>B218</f>
        <v>0.83837510000000004</v>
      </c>
      <c r="F239" s="28">
        <f>B220</f>
        <v>4.5071620000000001</v>
      </c>
      <c r="G239" s="28">
        <f>B222</f>
        <v>4.3495179999999998</v>
      </c>
      <c r="H239" s="29">
        <f>B224</f>
        <v>0.45859830000000001</v>
      </c>
      <c r="I239" s="28">
        <f>B226</f>
        <v>1.1823239999999999</v>
      </c>
      <c r="J239" s="29">
        <f>B228</f>
        <v>0.1146496</v>
      </c>
      <c r="K239" s="31">
        <f>B230</f>
        <v>0.75955349999999999</v>
      </c>
      <c r="N239" s="2">
        <v>0.17854629999999994</v>
      </c>
      <c r="O239" s="2">
        <v>0.22546230000000012</v>
      </c>
      <c r="P239" s="2">
        <v>0</v>
      </c>
      <c r="Q239" s="2">
        <v>0</v>
      </c>
      <c r="R239" s="2">
        <v>0.1195466</v>
      </c>
      <c r="S239" s="2">
        <v>0.15711070000000005</v>
      </c>
      <c r="T239" s="9"/>
      <c r="U239" s="2"/>
      <c r="V239" s="2"/>
      <c r="W239" s="7"/>
    </row>
    <row r="240" spans="1:23" x14ac:dyDescent="0.25">
      <c r="N240" s="2">
        <v>0.3207819999999999</v>
      </c>
      <c r="O240" s="2">
        <v>0.40522999999999998</v>
      </c>
      <c r="P240" s="2">
        <v>0.37816800000000006</v>
      </c>
      <c r="Q240" s="2">
        <v>0.47239100000000001</v>
      </c>
      <c r="R240" s="2">
        <v>0.17604419999999998</v>
      </c>
      <c r="S240" s="2">
        <v>0.23581370000000001</v>
      </c>
      <c r="T240" s="9"/>
      <c r="U240" s="2"/>
      <c r="V240" s="2"/>
      <c r="W240" s="7"/>
    </row>
    <row r="241" spans="14:23" x14ac:dyDescent="0.25">
      <c r="N241" s="2">
        <v>4.5709900000000012E-2</v>
      </c>
      <c r="O241" s="2">
        <v>6.8245E-2</v>
      </c>
      <c r="P241" s="2">
        <v>0.59842799999999974</v>
      </c>
      <c r="Q241" s="2">
        <v>0.71911599999999964</v>
      </c>
      <c r="R241" s="2">
        <v>2.8243299999999999E-2</v>
      </c>
      <c r="S241" s="2">
        <v>4.8917299999999997E-2</v>
      </c>
      <c r="T241" s="9"/>
      <c r="U241" s="2"/>
      <c r="V241" s="2"/>
      <c r="W241" s="9"/>
    </row>
    <row r="242" spans="14:23" x14ac:dyDescent="0.25">
      <c r="N242" s="2">
        <v>7.95709E-2</v>
      </c>
      <c r="O242" s="2">
        <v>0.11816370000000001</v>
      </c>
      <c r="P242" s="2">
        <v>0.75998999999999972</v>
      </c>
      <c r="Q242" s="2">
        <v>0.92089900000000036</v>
      </c>
      <c r="R242" s="2">
        <v>5.1842300000000008E-2</v>
      </c>
      <c r="S242" s="2">
        <v>9.4633700000000001E-2</v>
      </c>
      <c r="T242" s="9"/>
      <c r="U242" s="2"/>
      <c r="V242" s="2"/>
      <c r="W242" s="7"/>
    </row>
    <row r="243" spans="14:23" x14ac:dyDescent="0.25">
      <c r="N243" s="2">
        <v>0.22023659999999989</v>
      </c>
      <c r="O243" s="2">
        <v>0.27430700000000008</v>
      </c>
      <c r="P243" s="2">
        <v>9.9111199999999955E-2</v>
      </c>
      <c r="Q243" s="2">
        <v>0.13300960000000006</v>
      </c>
      <c r="R243" s="2">
        <v>0.14929769999999998</v>
      </c>
      <c r="S243" s="2">
        <v>0.19137669999999996</v>
      </c>
      <c r="T243" s="7"/>
      <c r="U243" s="2"/>
      <c r="V243" s="2"/>
      <c r="W243" s="9"/>
    </row>
    <row r="244" spans="14:23" x14ac:dyDescent="0.25">
      <c r="N244" s="2">
        <v>0.4125700000000001</v>
      </c>
      <c r="O244" s="2">
        <v>0.51218800000000009</v>
      </c>
      <c r="P244" s="2">
        <v>0.15303230000000001</v>
      </c>
      <c r="Q244" s="2">
        <v>0.20646529999999996</v>
      </c>
      <c r="R244" s="2">
        <v>0.22543819999999992</v>
      </c>
      <c r="S244" s="2">
        <v>0.29148590000000008</v>
      </c>
      <c r="T244" s="7"/>
      <c r="U244" s="2"/>
      <c r="V244" s="2"/>
      <c r="W244" s="9"/>
    </row>
    <row r="245" spans="14:23" x14ac:dyDescent="0.25">
      <c r="N245" s="2">
        <v>9.808910000000004E-2</v>
      </c>
      <c r="O245" s="2">
        <v>0.12888559999999993</v>
      </c>
      <c r="P245" s="2">
        <v>5.8343699999999998E-2</v>
      </c>
      <c r="Q245" s="2">
        <v>8.2292300000000013E-2</v>
      </c>
      <c r="R245" s="2">
        <v>6.4997800000000022E-2</v>
      </c>
      <c r="S245" s="2">
        <v>9.0011200000000013E-2</v>
      </c>
      <c r="T245" s="7"/>
      <c r="U245" s="2"/>
      <c r="V245" s="2"/>
      <c r="W245" s="9"/>
    </row>
    <row r="246" spans="14:23" x14ac:dyDescent="0.25">
      <c r="N246" s="2">
        <v>0.18632610000000005</v>
      </c>
      <c r="O246" s="2">
        <v>0.23956989999999989</v>
      </c>
      <c r="P246" s="2">
        <v>0.12028080000000002</v>
      </c>
      <c r="Q246" s="2">
        <v>0.16304390000000002</v>
      </c>
      <c r="R246" s="2">
        <v>0.17306940000000004</v>
      </c>
      <c r="S246" s="2">
        <v>0.22414160000000005</v>
      </c>
      <c r="T246" s="7"/>
      <c r="U246" s="2"/>
      <c r="V246" s="2"/>
      <c r="W246" s="9"/>
    </row>
    <row r="247" spans="14:23" x14ac:dyDescent="0.25">
      <c r="N247" s="9"/>
      <c r="O247" s="9"/>
      <c r="P247" s="7"/>
      <c r="Q247" s="7"/>
      <c r="R247" s="7"/>
      <c r="S247" s="7"/>
      <c r="T247" s="7"/>
      <c r="U247" s="2"/>
      <c r="V247" s="2"/>
      <c r="W247" s="9"/>
    </row>
    <row r="248" spans="14:23" x14ac:dyDescent="0.25">
      <c r="N248" s="9"/>
      <c r="O248" s="9"/>
      <c r="P248" s="9"/>
      <c r="Q248" s="9"/>
      <c r="R248" s="7"/>
      <c r="S248" s="7"/>
      <c r="T248" s="7"/>
      <c r="U248" s="2"/>
      <c r="V248" s="2"/>
      <c r="W248" s="9"/>
    </row>
    <row r="249" spans="14:23" x14ac:dyDescent="0.25">
      <c r="N249" s="7"/>
      <c r="O249" s="7"/>
      <c r="P249" s="7"/>
      <c r="Q249" s="7"/>
      <c r="R249" s="7"/>
      <c r="S249" s="7"/>
      <c r="T249" s="7"/>
      <c r="U249" s="2"/>
      <c r="V249" s="2"/>
      <c r="W249" s="9"/>
    </row>
    <row r="250" spans="14:23" x14ac:dyDescent="0.25">
      <c r="N250" s="7"/>
      <c r="O250" s="7"/>
      <c r="P250" s="7"/>
      <c r="Q250" s="7"/>
      <c r="R250" s="9"/>
      <c r="S250" s="7"/>
      <c r="T250" s="9"/>
      <c r="U250" s="2"/>
      <c r="V250" s="2"/>
      <c r="W250" s="9"/>
    </row>
    <row r="251" spans="14:23" x14ac:dyDescent="0.25">
      <c r="N251" s="7"/>
      <c r="O251" s="7"/>
      <c r="P251" s="9"/>
      <c r="Q251" s="7"/>
      <c r="R251" s="7"/>
      <c r="S251" s="7"/>
      <c r="T251" s="7"/>
      <c r="U251" s="2"/>
      <c r="V251" s="2"/>
      <c r="W251" s="7"/>
    </row>
    <row r="252" spans="14:23" x14ac:dyDescent="0.25">
      <c r="N252" s="9"/>
      <c r="O252" s="9"/>
      <c r="P252" s="7"/>
      <c r="Q252" s="7"/>
      <c r="R252" s="7"/>
      <c r="S252" s="7"/>
      <c r="T252" s="7"/>
      <c r="U252" s="2"/>
      <c r="V252" s="2"/>
      <c r="W252" s="7"/>
    </row>
    <row r="253" spans="14:23" x14ac:dyDescent="0.25">
      <c r="N253" s="7"/>
      <c r="O253" s="7"/>
      <c r="P253" s="9"/>
      <c r="Q253" s="7"/>
      <c r="R253" s="7"/>
      <c r="S253" s="7"/>
      <c r="T253" s="7"/>
      <c r="V253" s="7"/>
      <c r="W253" s="7"/>
    </row>
    <row r="254" spans="14:23" x14ac:dyDescent="0.25">
      <c r="N254" s="9"/>
      <c r="O254" s="9"/>
      <c r="P254" s="7"/>
      <c r="Q254" s="7"/>
      <c r="R254" s="7"/>
      <c r="S254" s="7"/>
      <c r="T254" s="9"/>
      <c r="V254" s="7"/>
      <c r="W254" s="7"/>
    </row>
    <row r="255" spans="14:23" x14ac:dyDescent="0.25">
      <c r="N255" s="7"/>
      <c r="O255" s="7"/>
      <c r="P255" s="9"/>
      <c r="Q255" s="7"/>
      <c r="R255" s="9"/>
      <c r="V255" s="7"/>
      <c r="W255" s="9"/>
    </row>
    <row r="256" spans="14:23" x14ac:dyDescent="0.25">
      <c r="N256" s="7"/>
      <c r="O256" s="7"/>
      <c r="P256" s="9"/>
      <c r="Q256" s="9"/>
      <c r="R256" s="9"/>
      <c r="V256" s="9"/>
      <c r="W256" s="9"/>
    </row>
    <row r="257" spans="1:23" s="1" customFormat="1" x14ac:dyDescent="0.25">
      <c r="A257" s="1" t="s">
        <v>99</v>
      </c>
      <c r="O257" s="32"/>
      <c r="P257" s="32"/>
      <c r="Q257" s="32"/>
      <c r="R257" s="32"/>
      <c r="V257" s="32"/>
      <c r="W257" s="32"/>
    </row>
    <row r="258" spans="1:23" x14ac:dyDescent="0.25">
      <c r="O258" s="9"/>
      <c r="P258" s="9"/>
      <c r="Q258" s="9"/>
      <c r="R258" s="9"/>
      <c r="V258" s="9"/>
      <c r="W258" s="9"/>
    </row>
    <row r="259" spans="1:23" x14ac:dyDescent="0.25">
      <c r="A259" s="36"/>
      <c r="B259" s="2" t="s">
        <v>1</v>
      </c>
      <c r="C259" s="3"/>
      <c r="D259" s="3"/>
      <c r="E259" s="3"/>
      <c r="F259" s="3"/>
      <c r="G259" s="3"/>
      <c r="O259" s="7"/>
      <c r="P259" s="7"/>
      <c r="Q259" s="7"/>
      <c r="R259" s="7"/>
      <c r="V259" s="7"/>
      <c r="W259" s="7"/>
    </row>
    <row r="260" spans="1:23" x14ac:dyDescent="0.25">
      <c r="A260" s="5" t="s">
        <v>2</v>
      </c>
      <c r="B260" s="6" t="s">
        <v>269</v>
      </c>
      <c r="C260" s="6" t="s">
        <v>270</v>
      </c>
      <c r="D260" s="6" t="s">
        <v>3</v>
      </c>
      <c r="E260" s="6" t="s">
        <v>4</v>
      </c>
      <c r="F260" s="6" t="s">
        <v>271</v>
      </c>
      <c r="G260" s="6" t="s">
        <v>272</v>
      </c>
      <c r="O260" s="7"/>
      <c r="P260" s="7"/>
      <c r="Q260" s="7"/>
      <c r="R260" s="7"/>
      <c r="V260" s="7"/>
      <c r="W260" s="7"/>
    </row>
    <row r="261" spans="1:23" x14ac:dyDescent="0.25">
      <c r="A261" s="36"/>
      <c r="B261" s="2"/>
      <c r="C261" s="2"/>
      <c r="D261" s="3"/>
      <c r="E261" s="3"/>
      <c r="F261" s="3"/>
      <c r="G261" s="3"/>
      <c r="O261" s="7"/>
      <c r="P261" s="7"/>
      <c r="Q261" s="7"/>
      <c r="R261" s="7"/>
      <c r="V261" s="7"/>
      <c r="W261" s="7"/>
    </row>
    <row r="262" spans="1:23" x14ac:dyDescent="0.25">
      <c r="A262" s="36" t="s">
        <v>72</v>
      </c>
      <c r="B262" s="3"/>
      <c r="C262" s="3"/>
      <c r="D262" s="3"/>
      <c r="E262" s="3"/>
      <c r="F262" s="3"/>
      <c r="G262" s="3"/>
      <c r="O262" s="7"/>
      <c r="P262" s="9"/>
      <c r="Q262" s="7"/>
      <c r="R262" s="9"/>
      <c r="V262" s="7"/>
      <c r="W262" s="7"/>
    </row>
    <row r="263" spans="1:23" x14ac:dyDescent="0.25">
      <c r="A263" s="36" t="s">
        <v>73</v>
      </c>
      <c r="B263" s="2">
        <v>0.9756823</v>
      </c>
      <c r="C263" s="2">
        <v>2.42758E-2</v>
      </c>
      <c r="D263" s="2">
        <v>-0.99</v>
      </c>
      <c r="E263" s="2">
        <v>0.32200000000000001</v>
      </c>
      <c r="F263" s="2">
        <v>0.92924399999999996</v>
      </c>
      <c r="G263" s="2">
        <v>1.0244409999999999</v>
      </c>
      <c r="O263" s="7"/>
      <c r="P263" s="9"/>
      <c r="V263" s="7"/>
      <c r="W263" s="7"/>
    </row>
    <row r="264" spans="1:23" x14ac:dyDescent="0.25">
      <c r="A264" s="36"/>
      <c r="B264" s="3"/>
      <c r="C264" s="3"/>
      <c r="D264" s="3"/>
      <c r="E264" s="3"/>
      <c r="F264" s="3"/>
      <c r="G264" s="3"/>
      <c r="O264" s="9"/>
      <c r="P264" s="9"/>
      <c r="V264" s="7"/>
      <c r="W264" s="7"/>
    </row>
    <row r="265" spans="1:23" x14ac:dyDescent="0.25">
      <c r="A265" s="36" t="s">
        <v>113</v>
      </c>
      <c r="B265" s="3"/>
      <c r="C265" s="3"/>
      <c r="D265" s="3"/>
      <c r="E265" s="3"/>
      <c r="F265" s="3"/>
      <c r="G265" s="3"/>
      <c r="O265" s="9"/>
      <c r="P265" s="9"/>
      <c r="V265" s="7"/>
      <c r="W265" s="7"/>
    </row>
    <row r="266" spans="1:23" x14ac:dyDescent="0.25">
      <c r="A266" s="36">
        <v>2</v>
      </c>
      <c r="B266" s="2">
        <v>0.88308379999999997</v>
      </c>
      <c r="C266" s="2">
        <v>4.3551300000000001E-2</v>
      </c>
      <c r="D266" s="2">
        <v>-2.52</v>
      </c>
      <c r="E266" s="2">
        <v>1.2E-2</v>
      </c>
      <c r="F266" s="2">
        <v>0.80172049999999995</v>
      </c>
      <c r="G266" s="2">
        <v>0.97270440000000002</v>
      </c>
      <c r="O266" s="9"/>
      <c r="P266" s="9"/>
      <c r="V266" s="7"/>
      <c r="W266" s="9"/>
    </row>
    <row r="267" spans="1:23" x14ac:dyDescent="0.25">
      <c r="A267" s="36">
        <v>3</v>
      </c>
      <c r="B267" s="2">
        <v>1.132036</v>
      </c>
      <c r="C267" s="2">
        <v>6.4849400000000001E-2</v>
      </c>
      <c r="D267" s="2">
        <v>2.16</v>
      </c>
      <c r="E267" s="2">
        <v>0.03</v>
      </c>
      <c r="F267" s="2">
        <v>1.0118100000000001</v>
      </c>
      <c r="G267" s="2">
        <v>1.2665489999999999</v>
      </c>
      <c r="O267" s="7"/>
      <c r="P267" s="9"/>
    </row>
    <row r="268" spans="1:23" x14ac:dyDescent="0.25">
      <c r="A268" s="36"/>
      <c r="B268" s="3"/>
      <c r="C268" s="3"/>
      <c r="D268" s="3"/>
      <c r="E268" s="3"/>
      <c r="F268" s="3"/>
      <c r="G268" s="3"/>
      <c r="O268" s="9"/>
      <c r="P268" s="9"/>
    </row>
    <row r="269" spans="1:23" x14ac:dyDescent="0.25">
      <c r="A269" s="36" t="s">
        <v>108</v>
      </c>
      <c r="B269" s="3"/>
      <c r="C269" s="3"/>
      <c r="D269" s="3"/>
      <c r="E269" s="3"/>
      <c r="F269" s="3"/>
      <c r="G269" s="3"/>
      <c r="O269" s="9"/>
      <c r="P269" s="9"/>
    </row>
    <row r="270" spans="1:23" x14ac:dyDescent="0.25">
      <c r="A270" s="36">
        <v>2</v>
      </c>
      <c r="B270" s="2">
        <v>0.98425030000000002</v>
      </c>
      <c r="C270" s="2">
        <v>3.0475499999999999E-2</v>
      </c>
      <c r="D270" s="2">
        <v>-0.51</v>
      </c>
      <c r="E270" s="2">
        <v>0.60799999999999998</v>
      </c>
      <c r="F270" s="2">
        <v>0.9262958</v>
      </c>
      <c r="G270" s="2">
        <v>1.045831</v>
      </c>
      <c r="O270" s="9"/>
      <c r="P270" s="9"/>
    </row>
    <row r="271" spans="1:23" x14ac:dyDescent="0.25">
      <c r="A271" s="36" t="s">
        <v>109</v>
      </c>
      <c r="B271" s="2">
        <v>0.92528900000000003</v>
      </c>
      <c r="C271" s="2">
        <v>4.9884199999999997E-2</v>
      </c>
      <c r="D271" s="2">
        <v>-1.44</v>
      </c>
      <c r="E271" s="2">
        <v>0.15</v>
      </c>
      <c r="F271" s="2">
        <v>0.83250610000000003</v>
      </c>
      <c r="G271" s="2">
        <v>1.0284120000000001</v>
      </c>
      <c r="O271" s="7"/>
      <c r="P271" s="7"/>
    </row>
    <row r="272" spans="1:23" x14ac:dyDescent="0.25">
      <c r="A272" s="36"/>
      <c r="B272" s="3"/>
      <c r="C272" s="3"/>
      <c r="D272" s="3"/>
      <c r="E272" s="3"/>
      <c r="F272" s="3"/>
      <c r="G272" s="3"/>
      <c r="O272" s="7"/>
      <c r="P272" s="7"/>
    </row>
    <row r="273" spans="1:16" x14ac:dyDescent="0.25">
      <c r="A273" s="36" t="s">
        <v>83</v>
      </c>
      <c r="B273" s="3"/>
      <c r="C273" s="3"/>
      <c r="D273" s="3"/>
      <c r="E273" s="3"/>
      <c r="F273" s="3"/>
      <c r="G273" s="3"/>
      <c r="O273" s="7"/>
      <c r="P273" s="7"/>
    </row>
    <row r="274" spans="1:16" x14ac:dyDescent="0.25">
      <c r="A274" s="38" t="s">
        <v>315</v>
      </c>
      <c r="B274" s="2">
        <v>1.213964</v>
      </c>
      <c r="C274" s="2">
        <v>3.9237399999999999E-2</v>
      </c>
      <c r="D274" s="2">
        <v>6</v>
      </c>
      <c r="E274" s="2">
        <v>0</v>
      </c>
      <c r="F274" s="2">
        <v>1.139445</v>
      </c>
      <c r="G274" s="2">
        <v>1.293356</v>
      </c>
      <c r="O274" s="7"/>
      <c r="P274" s="9"/>
    </row>
    <row r="275" spans="1:16" x14ac:dyDescent="0.25">
      <c r="A275" s="38" t="s">
        <v>316</v>
      </c>
      <c r="B275" s="2">
        <v>0.97980920000000005</v>
      </c>
      <c r="C275" s="2">
        <v>3.8596499999999999E-2</v>
      </c>
      <c r="D275" s="2">
        <v>-0.52</v>
      </c>
      <c r="E275" s="2">
        <v>0.60499999999999998</v>
      </c>
      <c r="F275" s="2">
        <v>0.90700800000000004</v>
      </c>
      <c r="G275" s="2">
        <v>1.058454</v>
      </c>
    </row>
    <row r="276" spans="1:16" x14ac:dyDescent="0.25">
      <c r="A276" s="38" t="s">
        <v>317</v>
      </c>
      <c r="B276" s="2">
        <v>0.82788340000000005</v>
      </c>
      <c r="C276" s="2">
        <v>3.431E-2</v>
      </c>
      <c r="D276" s="2">
        <v>-4.5599999999999996</v>
      </c>
      <c r="E276" s="2">
        <v>0</v>
      </c>
      <c r="F276" s="2">
        <v>0.76329570000000002</v>
      </c>
      <c r="G276" s="2">
        <v>0.89793639999999997</v>
      </c>
    </row>
    <row r="277" spans="1:16" x14ac:dyDescent="0.25">
      <c r="A277" s="38" t="s">
        <v>82</v>
      </c>
      <c r="B277" s="2">
        <v>1.152644</v>
      </c>
      <c r="C277" s="2">
        <v>5.6932200000000002E-2</v>
      </c>
      <c r="D277" s="2">
        <v>2.88</v>
      </c>
      <c r="E277" s="2">
        <v>4.0000000000000001E-3</v>
      </c>
      <c r="F277" s="2">
        <v>1.0462899999999999</v>
      </c>
      <c r="G277" s="2">
        <v>1.269809</v>
      </c>
    </row>
    <row r="278" spans="1:16" x14ac:dyDescent="0.25">
      <c r="A278" s="36"/>
      <c r="B278" s="3"/>
      <c r="C278" s="3"/>
      <c r="D278" s="3"/>
      <c r="E278" s="3"/>
      <c r="F278" s="3"/>
      <c r="G278" s="3"/>
    </row>
    <row r="279" spans="1:16" x14ac:dyDescent="0.25">
      <c r="A279" s="36" t="s">
        <v>97</v>
      </c>
      <c r="B279" s="3"/>
      <c r="C279" s="3"/>
      <c r="D279" s="3"/>
      <c r="E279" s="3"/>
      <c r="F279" s="3"/>
      <c r="G279" s="3"/>
    </row>
    <row r="280" spans="1:16" x14ac:dyDescent="0.25">
      <c r="A280" s="36" t="s">
        <v>154</v>
      </c>
      <c r="B280" s="2">
        <v>0.47016010000000003</v>
      </c>
      <c r="C280" s="2">
        <v>3.2533800000000002E-2</v>
      </c>
      <c r="D280" s="2">
        <v>-10.91</v>
      </c>
      <c r="E280" s="2">
        <v>0</v>
      </c>
      <c r="F280" s="2">
        <f>B280-0.41053</f>
        <v>5.9630100000000019E-2</v>
      </c>
      <c r="G280" s="2">
        <f>0.5384516-B280</f>
        <v>6.8291500000000005E-2</v>
      </c>
    </row>
    <row r="281" spans="1:16" x14ac:dyDescent="0.25">
      <c r="A281" s="36" t="s">
        <v>155</v>
      </c>
      <c r="B281" s="2">
        <v>0.85578109999999996</v>
      </c>
      <c r="C281" s="2">
        <v>5.3769400000000002E-2</v>
      </c>
      <c r="D281" s="2">
        <v>-2.48</v>
      </c>
      <c r="E281" s="2">
        <v>1.2999999999999999E-2</v>
      </c>
      <c r="F281" s="2">
        <f>B281-0.7566256</f>
        <v>9.9155499999999952E-2</v>
      </c>
      <c r="G281" s="2">
        <f>0.967931-B281</f>
        <v>0.11214990000000002</v>
      </c>
    </row>
    <row r="282" spans="1:16" x14ac:dyDescent="0.25">
      <c r="A282" s="36" t="s">
        <v>156</v>
      </c>
      <c r="B282" s="2">
        <v>0.18195049999999999</v>
      </c>
      <c r="C282" s="2">
        <v>1.78286E-2</v>
      </c>
      <c r="D282" s="2">
        <v>-17.39</v>
      </c>
      <c r="E282" s="2">
        <v>0</v>
      </c>
      <c r="F282" s="2">
        <f>B282-0.1501576</f>
        <v>3.1792899999999985E-2</v>
      </c>
      <c r="G282" s="2">
        <f>0.2204749-B282</f>
        <v>3.8524400000000014E-2</v>
      </c>
    </row>
    <row r="283" spans="1:16" x14ac:dyDescent="0.25">
      <c r="A283" s="36" t="s">
        <v>157</v>
      </c>
      <c r="B283" s="2">
        <v>0.31892470000000001</v>
      </c>
      <c r="C283" s="2">
        <v>2.8486299999999999E-2</v>
      </c>
      <c r="D283" s="2">
        <v>-12.79</v>
      </c>
      <c r="E283" s="2">
        <v>0</v>
      </c>
      <c r="F283" s="2">
        <f>B283-0.2677065</f>
        <v>5.1218199999999992E-2</v>
      </c>
      <c r="G283" s="2">
        <f>0.379942-B283</f>
        <v>6.1017299999999997E-2</v>
      </c>
    </row>
    <row r="284" spans="1:16" x14ac:dyDescent="0.25">
      <c r="A284" s="36" t="s">
        <v>158</v>
      </c>
      <c r="B284" s="2">
        <v>0.2823872</v>
      </c>
      <c r="C284" s="2">
        <v>2.3532000000000001E-2</v>
      </c>
      <c r="D284" s="2">
        <v>-15.17</v>
      </c>
      <c r="E284" s="2">
        <v>0</v>
      </c>
      <c r="F284" s="2">
        <f>B284-0.2398348</f>
        <v>4.2552400000000018E-2</v>
      </c>
      <c r="G284" s="2">
        <f>0.3324894-B284</f>
        <v>5.0102199999999986E-2</v>
      </c>
    </row>
    <row r="285" spans="1:16" x14ac:dyDescent="0.25">
      <c r="A285" s="36" t="s">
        <v>159</v>
      </c>
      <c r="B285" s="2">
        <v>0.52799750000000001</v>
      </c>
      <c r="C285" s="2">
        <v>3.8545500000000003E-2</v>
      </c>
      <c r="D285" s="2">
        <v>-8.75</v>
      </c>
      <c r="E285" s="2">
        <v>0</v>
      </c>
      <c r="F285" s="2">
        <f>B285-0.4576057</f>
        <v>7.0391800000000004E-2</v>
      </c>
      <c r="G285" s="2">
        <f>0.6092173-B285</f>
        <v>8.1219799999999953E-2</v>
      </c>
    </row>
    <row r="286" spans="1:16" x14ac:dyDescent="0.25">
      <c r="A286" s="36" t="s">
        <v>160</v>
      </c>
      <c r="B286" s="2">
        <v>1.193595</v>
      </c>
      <c r="C286" s="2">
        <v>6.6500199999999995E-2</v>
      </c>
      <c r="D286" s="2">
        <v>3.18</v>
      </c>
      <c r="E286" s="2">
        <v>1E-3</v>
      </c>
      <c r="F286" s="2">
        <f>B286-1.070122</f>
        <v>0.12347299999999994</v>
      </c>
      <c r="G286" s="2">
        <f>1.331316-B286</f>
        <v>0.13772099999999998</v>
      </c>
    </row>
    <row r="287" spans="1:16" x14ac:dyDescent="0.25">
      <c r="A287" s="36" t="s">
        <v>161</v>
      </c>
      <c r="B287" s="2">
        <v>1.7771189999999999</v>
      </c>
      <c r="C287" s="2">
        <v>9.81234E-2</v>
      </c>
      <c r="D287" s="2">
        <v>10.41</v>
      </c>
      <c r="E287" s="2">
        <v>0</v>
      </c>
      <c r="F287" s="2">
        <f>B287-1.594842</f>
        <v>0.1822769999999998</v>
      </c>
      <c r="G287" s="2">
        <f>1.980229-B287</f>
        <v>0.20311000000000012</v>
      </c>
    </row>
    <row r="288" spans="1:16" x14ac:dyDescent="0.25">
      <c r="A288" s="36" t="s">
        <v>189</v>
      </c>
      <c r="B288" s="2">
        <v>1</v>
      </c>
      <c r="C288" s="2"/>
      <c r="D288" s="2"/>
      <c r="E288" s="2"/>
      <c r="F288" s="2">
        <v>0</v>
      </c>
      <c r="G288" s="2">
        <v>0</v>
      </c>
    </row>
    <row r="289" spans="1:7" x14ac:dyDescent="0.25">
      <c r="A289" s="36" t="s">
        <v>162</v>
      </c>
      <c r="B289" s="2">
        <v>1.3306249999999999</v>
      </c>
      <c r="C289" s="2">
        <v>7.6512200000000002E-2</v>
      </c>
      <c r="D289" s="2">
        <v>4.97</v>
      </c>
      <c r="E289" s="2">
        <v>0</v>
      </c>
      <c r="F289" s="2">
        <f>B289-1.188805</f>
        <v>0.14182000000000006</v>
      </c>
      <c r="G289" s="2">
        <f>1.489363-B289</f>
        <v>0.15873800000000005</v>
      </c>
    </row>
    <row r="290" spans="1:7" x14ac:dyDescent="0.25">
      <c r="A290" s="36" t="s">
        <v>163</v>
      </c>
      <c r="B290" s="2">
        <v>9.4614299999999998E-2</v>
      </c>
      <c r="C290" s="2">
        <v>1.23178E-2</v>
      </c>
      <c r="D290" s="2">
        <v>-18.11</v>
      </c>
      <c r="E290" s="2">
        <v>0</v>
      </c>
      <c r="F290" s="2">
        <f>B290-0.0733059</f>
        <v>2.1308400000000005E-2</v>
      </c>
      <c r="G290" s="2">
        <f>0.1221165-B290</f>
        <v>2.7502200000000004E-2</v>
      </c>
    </row>
    <row r="291" spans="1:7" x14ac:dyDescent="0.25">
      <c r="A291" s="36" t="s">
        <v>164</v>
      </c>
      <c r="B291" s="2">
        <v>0.20375740000000001</v>
      </c>
      <c r="C291" s="2">
        <v>2.1026400000000001E-2</v>
      </c>
      <c r="D291" s="2">
        <v>-15.42</v>
      </c>
      <c r="E291" s="2">
        <v>0</v>
      </c>
      <c r="F291" s="2">
        <f>B291-0.1664467</f>
        <v>3.7310700000000002E-2</v>
      </c>
      <c r="G291" s="2">
        <f>0.2494318-B291</f>
        <v>4.5674400000000004E-2</v>
      </c>
    </row>
    <row r="292" spans="1:7" x14ac:dyDescent="0.25">
      <c r="A292" s="36" t="s">
        <v>165</v>
      </c>
      <c r="B292" s="2">
        <v>0.34497820000000001</v>
      </c>
      <c r="C292" s="2">
        <v>2.6612799999999999E-2</v>
      </c>
      <c r="D292" s="2">
        <v>-13.8</v>
      </c>
      <c r="E292" s="2">
        <v>0</v>
      </c>
      <c r="F292" s="2">
        <f>B292-0.2965699</f>
        <v>4.8408300000000015E-2</v>
      </c>
      <c r="G292" s="2">
        <f>0.401288-B292</f>
        <v>5.6309799999999965E-2</v>
      </c>
    </row>
    <row r="293" spans="1:7" x14ac:dyDescent="0.25">
      <c r="A293" s="36" t="s">
        <v>166</v>
      </c>
      <c r="B293" s="2">
        <v>0.44472270000000003</v>
      </c>
      <c r="C293" s="2">
        <v>3.4328499999999998E-2</v>
      </c>
      <c r="D293" s="2">
        <v>-10.5</v>
      </c>
      <c r="E293" s="2">
        <v>0</v>
      </c>
      <c r="F293" s="2">
        <f>B293-0.3822824</f>
        <v>6.2440300000000004E-2</v>
      </c>
      <c r="G293" s="2">
        <f>0.5173617-B293</f>
        <v>7.2639000000000009E-2</v>
      </c>
    </row>
    <row r="294" spans="1:7" x14ac:dyDescent="0.25">
      <c r="A294" s="36" t="s">
        <v>167</v>
      </c>
      <c r="B294" s="2">
        <v>0.10189230000000001</v>
      </c>
      <c r="C294" s="2">
        <v>1.30318E-2</v>
      </c>
      <c r="D294" s="2">
        <v>-17.86</v>
      </c>
      <c r="E294" s="2">
        <v>0</v>
      </c>
      <c r="F294" s="2">
        <f>B294-0.0793003</f>
        <v>2.2592000000000001E-2</v>
      </c>
      <c r="G294" s="2">
        <f>0.1309205-B294</f>
        <v>2.902819999999999E-2</v>
      </c>
    </row>
    <row r="295" spans="1:7" x14ac:dyDescent="0.25">
      <c r="A295" s="36" t="s">
        <v>168</v>
      </c>
      <c r="B295" s="2">
        <v>0.13642889999999999</v>
      </c>
      <c r="C295" s="2">
        <v>1.7221500000000001E-2</v>
      </c>
      <c r="D295" s="2">
        <v>-15.78</v>
      </c>
      <c r="E295" s="2">
        <v>0</v>
      </c>
      <c r="F295" s="2">
        <f>B295-0.1065268</f>
        <v>2.9902099999999987E-2</v>
      </c>
      <c r="G295" s="2">
        <f>0.1747245-B295</f>
        <v>3.8295600000000013E-2</v>
      </c>
    </row>
    <row r="296" spans="1:7" x14ac:dyDescent="0.25">
      <c r="A296" s="36" t="s">
        <v>169</v>
      </c>
      <c r="B296" s="2">
        <v>0.1688501</v>
      </c>
      <c r="C296" s="2">
        <v>1.7204000000000001E-2</v>
      </c>
      <c r="D296" s="2">
        <v>-17.46</v>
      </c>
      <c r="E296" s="2">
        <v>0</v>
      </c>
      <c r="F296" s="2">
        <f>B296-0.1382844</f>
        <v>3.0565700000000001E-2</v>
      </c>
      <c r="G296" s="2">
        <f>0.2061718-B296</f>
        <v>3.7321699999999985E-2</v>
      </c>
    </row>
    <row r="297" spans="1:7" x14ac:dyDescent="0.25">
      <c r="A297" s="36" t="s">
        <v>170</v>
      </c>
      <c r="B297" s="2">
        <v>0.33664270000000002</v>
      </c>
      <c r="C297" s="2">
        <v>2.8572699999999999E-2</v>
      </c>
      <c r="D297" s="2">
        <v>-12.83</v>
      </c>
      <c r="E297" s="2">
        <v>0</v>
      </c>
      <c r="F297" s="2">
        <f>B297-0.2850513</f>
        <v>5.1591400000000009E-2</v>
      </c>
      <c r="G297" s="2">
        <f>0.3975716-B297</f>
        <v>6.0928900000000008E-2</v>
      </c>
    </row>
    <row r="298" spans="1:7" x14ac:dyDescent="0.25">
      <c r="A298" s="36" t="s">
        <v>171</v>
      </c>
      <c r="B298" s="2">
        <v>0.28938849999999999</v>
      </c>
      <c r="C298" s="2">
        <v>2.5191700000000001E-2</v>
      </c>
      <c r="D298" s="2">
        <v>-14.24</v>
      </c>
      <c r="E298" s="2">
        <v>0</v>
      </c>
      <c r="F298" s="2">
        <f>B298-0.2439962</f>
        <v>4.5392299999999997E-2</v>
      </c>
      <c r="G298" s="2">
        <f>0.3432255-B298</f>
        <v>5.3837000000000024E-2</v>
      </c>
    </row>
    <row r="299" spans="1:7" x14ac:dyDescent="0.25">
      <c r="A299" s="36" t="s">
        <v>172</v>
      </c>
      <c r="B299" s="2">
        <v>1.104668</v>
      </c>
      <c r="C299" s="2">
        <v>0.1301621</v>
      </c>
      <c r="D299" s="2">
        <v>0.84</v>
      </c>
      <c r="E299" s="2">
        <v>0.39800000000000002</v>
      </c>
      <c r="F299" s="2">
        <f>B299-0.8768707</f>
        <v>0.22779729999999998</v>
      </c>
      <c r="G299" s="2">
        <f>1.391644-B299</f>
        <v>0.28697600000000012</v>
      </c>
    </row>
    <row r="300" spans="1:7" x14ac:dyDescent="0.25">
      <c r="A300" s="36" t="s">
        <v>173</v>
      </c>
      <c r="B300" s="2">
        <v>7.36314E-2</v>
      </c>
      <c r="C300" s="2">
        <v>1.1716499999999999E-2</v>
      </c>
      <c r="D300" s="2">
        <v>-16.39</v>
      </c>
      <c r="E300" s="2">
        <v>0</v>
      </c>
      <c r="F300" s="2">
        <f>B300-0.0539034</f>
        <v>1.9728000000000002E-2</v>
      </c>
      <c r="G300" s="2">
        <f>0.1005795-B300</f>
        <v>2.6948100000000003E-2</v>
      </c>
    </row>
    <row r="301" spans="1:7" x14ac:dyDescent="0.25">
      <c r="A301" s="36" t="s">
        <v>174</v>
      </c>
      <c r="B301" s="2">
        <v>0.25823420000000002</v>
      </c>
      <c r="C301" s="2">
        <v>6.1827899999999998E-2</v>
      </c>
      <c r="D301" s="2">
        <v>-5.65</v>
      </c>
      <c r="E301" s="2">
        <v>0</v>
      </c>
      <c r="F301" s="2">
        <f>B301-0.1615154</f>
        <v>9.6718800000000021E-2</v>
      </c>
      <c r="G301" s="2">
        <f>0.41287-B301</f>
        <v>0.15463579999999999</v>
      </c>
    </row>
    <row r="302" spans="1:7" x14ac:dyDescent="0.25">
      <c r="A302" s="36" t="s">
        <v>175</v>
      </c>
      <c r="B302" s="2">
        <v>0.1250021</v>
      </c>
      <c r="C302" s="2">
        <v>1.5646899999999998E-2</v>
      </c>
      <c r="D302" s="2">
        <v>-16.61</v>
      </c>
      <c r="E302" s="2">
        <v>0</v>
      </c>
      <c r="F302" s="2">
        <f>B302-0.0978069</f>
        <v>2.7195200000000003E-2</v>
      </c>
      <c r="G302" s="2">
        <f>0.159759-B302</f>
        <v>3.4756900000000007E-2</v>
      </c>
    </row>
    <row r="303" spans="1:7" x14ac:dyDescent="0.25">
      <c r="A303" s="36" t="s">
        <v>176</v>
      </c>
      <c r="B303" s="2">
        <v>0.64558539999999998</v>
      </c>
      <c r="C303" s="2">
        <v>9.8290500000000003E-2</v>
      </c>
      <c r="D303" s="2">
        <v>-2.87</v>
      </c>
      <c r="E303" s="2">
        <v>4.0000000000000001E-3</v>
      </c>
      <c r="F303" s="2">
        <f>B303-0.4790249</f>
        <v>0.1665605</v>
      </c>
      <c r="G303" s="2">
        <f>0.8700602-B303</f>
        <v>0.22447479999999997</v>
      </c>
    </row>
    <row r="304" spans="1:7" x14ac:dyDescent="0.25">
      <c r="A304" s="36" t="s">
        <v>177</v>
      </c>
      <c r="B304" s="2">
        <v>0.31164920000000002</v>
      </c>
      <c r="C304" s="2">
        <v>2.8654700000000002E-2</v>
      </c>
      <c r="D304" s="2">
        <v>-12.68</v>
      </c>
      <c r="E304" s="2">
        <v>0</v>
      </c>
      <c r="F304" s="2">
        <f>B304-0.2602567</f>
        <v>5.1392500000000008E-2</v>
      </c>
      <c r="G304" s="2">
        <f>0.37319-B304</f>
        <v>6.1540800000000007E-2</v>
      </c>
    </row>
    <row r="305" spans="1:22" x14ac:dyDescent="0.25">
      <c r="A305" s="36" t="s">
        <v>178</v>
      </c>
      <c r="B305" s="2">
        <v>0.70297069999999995</v>
      </c>
      <c r="C305" s="2">
        <v>0.1059475</v>
      </c>
      <c r="D305" s="2">
        <v>-2.34</v>
      </c>
      <c r="E305" s="2">
        <v>1.9E-2</v>
      </c>
      <c r="F305" s="2">
        <f>B305-0.5231779</f>
        <v>0.17979279999999997</v>
      </c>
      <c r="G305" s="2">
        <f>0.9445504-B305</f>
        <v>0.24157970000000006</v>
      </c>
    </row>
    <row r="306" spans="1:22" x14ac:dyDescent="0.25">
      <c r="A306" s="36" t="s">
        <v>179</v>
      </c>
      <c r="B306" s="2">
        <v>0.38014350000000002</v>
      </c>
      <c r="C306" s="2">
        <v>3.08048E-2</v>
      </c>
      <c r="D306" s="2">
        <v>-11.94</v>
      </c>
      <c r="E306" s="2">
        <v>0</v>
      </c>
      <c r="F306" s="2">
        <f>B306-0.3243178</f>
        <v>5.5825700000000034E-2</v>
      </c>
      <c r="G306" s="2">
        <f>0.4455787-B306</f>
        <v>6.5435199999999971E-2</v>
      </c>
    </row>
    <row r="307" spans="1:22" x14ac:dyDescent="0.25">
      <c r="A307" s="36" t="s">
        <v>180</v>
      </c>
      <c r="B307" s="2">
        <v>0.83208780000000004</v>
      </c>
      <c r="C307" s="2">
        <v>0.11636199999999999</v>
      </c>
      <c r="D307" s="2">
        <v>-1.31</v>
      </c>
      <c r="E307" s="2">
        <v>0.189</v>
      </c>
      <c r="F307" s="2">
        <f>B307-0.6326073</f>
        <v>0.19948050000000006</v>
      </c>
      <c r="G307" s="2">
        <f>1.094471-B307</f>
        <v>0.26238319999999993</v>
      </c>
    </row>
    <row r="308" spans="1:22" x14ac:dyDescent="0.25">
      <c r="A308" s="36" t="s">
        <v>181</v>
      </c>
      <c r="B308" s="2">
        <v>6.8494299999999994E-2</v>
      </c>
      <c r="C308" s="2">
        <v>1.1173000000000001E-2</v>
      </c>
      <c r="D308" s="2">
        <v>-16.440000000000001</v>
      </c>
      <c r="E308" s="2">
        <v>0</v>
      </c>
      <c r="F308" s="2">
        <f>B308-0.0497512</f>
        <v>1.8743099999999992E-2</v>
      </c>
      <c r="G308" s="2">
        <f>0.0942986-B308</f>
        <v>2.5804300000000002E-2</v>
      </c>
    </row>
    <row r="309" spans="1:22" x14ac:dyDescent="0.25">
      <c r="A309" s="36" t="s">
        <v>182</v>
      </c>
      <c r="B309" s="2">
        <v>0.17215610000000001</v>
      </c>
      <c r="C309" s="2">
        <v>4.9982899999999997E-2</v>
      </c>
      <c r="D309" s="2">
        <v>-6.06</v>
      </c>
      <c r="E309" s="2">
        <v>0</v>
      </c>
      <c r="F309" s="2">
        <f>B309-0.0974516</f>
        <v>7.4704500000000007E-2</v>
      </c>
      <c r="G309" s="2">
        <f>0.3041276-B309</f>
        <v>0.13197149999999999</v>
      </c>
    </row>
    <row r="310" spans="1:22" x14ac:dyDescent="0.25">
      <c r="A310" s="36" t="s">
        <v>183</v>
      </c>
      <c r="B310" s="2">
        <v>0.1455504</v>
      </c>
      <c r="C310" s="2">
        <v>1.7155900000000002E-2</v>
      </c>
      <c r="D310" s="2">
        <v>-16.350000000000001</v>
      </c>
      <c r="E310" s="2">
        <v>0</v>
      </c>
      <c r="F310" s="2">
        <f>B310-0.1155268</f>
        <v>3.0023599999999998E-2</v>
      </c>
      <c r="G310" s="2">
        <f>0.1833767-B310</f>
        <v>3.7826300000000007E-2</v>
      </c>
    </row>
    <row r="311" spans="1:22" x14ac:dyDescent="0.25">
      <c r="A311" s="36" t="s">
        <v>184</v>
      </c>
      <c r="B311" s="2">
        <v>0.30127320000000002</v>
      </c>
      <c r="C311" s="2">
        <v>6.6699700000000001E-2</v>
      </c>
      <c r="D311" s="2">
        <v>-5.42</v>
      </c>
      <c r="E311" s="2">
        <v>0</v>
      </c>
      <c r="F311" s="2">
        <f>B311-0.1952138</f>
        <v>0.10605940000000003</v>
      </c>
      <c r="G311" s="2">
        <f>0.4649545-B311</f>
        <v>0.16368129999999997</v>
      </c>
    </row>
    <row r="312" spans="1:22" x14ac:dyDescent="0.25">
      <c r="A312" s="36" t="s">
        <v>185</v>
      </c>
      <c r="B312" s="2">
        <v>4.2810000000000001E-2</v>
      </c>
      <c r="C312" s="2">
        <v>8.7548999999999995E-3</v>
      </c>
      <c r="D312" s="2">
        <v>-15.41</v>
      </c>
      <c r="E312" s="2">
        <v>0</v>
      </c>
      <c r="F312" s="2">
        <f>B312-0.0286728</f>
        <v>1.4137200000000003E-2</v>
      </c>
      <c r="G312" s="2">
        <f>0.0639176-B312</f>
        <v>2.1107600000000004E-2</v>
      </c>
    </row>
    <row r="313" spans="1:22" x14ac:dyDescent="0.25">
      <c r="A313" s="36" t="s">
        <v>186</v>
      </c>
      <c r="B313" s="2">
        <v>0.18650240000000001</v>
      </c>
      <c r="C313" s="2">
        <v>6.3280900000000001E-2</v>
      </c>
      <c r="D313" s="2">
        <v>-4.95</v>
      </c>
      <c r="E313" s="2">
        <v>0</v>
      </c>
      <c r="F313" s="2">
        <f>B313-0.0959111</f>
        <v>9.0591300000000013E-2</v>
      </c>
      <c r="G313" s="2">
        <f>0.3626603-B313</f>
        <v>0.17615789999999998</v>
      </c>
    </row>
    <row r="314" spans="1:22" x14ac:dyDescent="0.25">
      <c r="A314" s="36" t="s">
        <v>187</v>
      </c>
      <c r="B314" s="2">
        <v>7.36314E-2</v>
      </c>
      <c r="C314" s="2">
        <v>1.16233E-2</v>
      </c>
      <c r="D314" s="2">
        <v>-16.53</v>
      </c>
      <c r="E314" s="2">
        <v>0</v>
      </c>
      <c r="F314" s="2">
        <f>B314-0.0540374</f>
        <v>1.9594E-2</v>
      </c>
      <c r="G314" s="2">
        <f>0.1003301-B314</f>
        <v>2.6698700000000006E-2</v>
      </c>
    </row>
    <row r="315" spans="1:22" x14ac:dyDescent="0.25">
      <c r="A315" s="36" t="s">
        <v>188</v>
      </c>
      <c r="B315" s="2">
        <v>0.3156195</v>
      </c>
      <c r="C315" s="2">
        <v>6.8544400000000005E-2</v>
      </c>
      <c r="D315" s="2">
        <v>-5.31</v>
      </c>
      <c r="E315" s="2">
        <v>0</v>
      </c>
      <c r="F315" s="2">
        <f>B315-0.2062077</f>
        <v>0.1094118</v>
      </c>
      <c r="G315" s="2">
        <f>0.4830842-B315</f>
        <v>0.16746470000000002</v>
      </c>
    </row>
    <row r="316" spans="1:22" x14ac:dyDescent="0.25">
      <c r="A316" s="36"/>
      <c r="B316" s="3"/>
      <c r="C316" s="3"/>
      <c r="D316" s="3"/>
      <c r="E316" s="3"/>
      <c r="F316" s="3"/>
      <c r="G316" s="3"/>
    </row>
    <row r="317" spans="1:22" x14ac:dyDescent="0.25">
      <c r="A317" s="5" t="s">
        <v>6</v>
      </c>
      <c r="B317" s="6">
        <v>3.4822999999999998E-3</v>
      </c>
      <c r="C317" s="6">
        <v>2.331E-4</v>
      </c>
      <c r="D317" s="6">
        <v>-84.54</v>
      </c>
      <c r="E317" s="6">
        <v>0</v>
      </c>
      <c r="F317" s="6">
        <v>3.0541000000000001E-3</v>
      </c>
      <c r="G317" s="6">
        <v>3.9706000000000003E-3</v>
      </c>
    </row>
    <row r="318" spans="1:22" x14ac:dyDescent="0.25">
      <c r="N318" s="7"/>
      <c r="O318" s="7"/>
      <c r="P318" s="9"/>
      <c r="Q318" s="9"/>
      <c r="R318" s="7"/>
      <c r="S318" s="7"/>
      <c r="U318" s="7"/>
      <c r="V318" s="7"/>
    </row>
    <row r="319" spans="1:22" ht="14.45" customHeight="1" thickBot="1" x14ac:dyDescent="0.3">
      <c r="N319" s="9"/>
      <c r="O319" s="9"/>
      <c r="P319" s="9"/>
      <c r="Q319" s="9"/>
      <c r="R319" s="7"/>
      <c r="S319" s="7"/>
      <c r="U319" s="9"/>
      <c r="V319" s="9"/>
    </row>
    <row r="320" spans="1:22" x14ac:dyDescent="0.25">
      <c r="A320" s="10"/>
      <c r="B320" s="11"/>
      <c r="C320" s="11" t="s">
        <v>9</v>
      </c>
      <c r="D320" s="11" t="s">
        <v>40</v>
      </c>
      <c r="E320" s="11" t="s">
        <v>11</v>
      </c>
      <c r="F320" s="11" t="s">
        <v>7</v>
      </c>
      <c r="G320" s="11" t="s">
        <v>8</v>
      </c>
      <c r="H320" s="11" t="s">
        <v>62</v>
      </c>
      <c r="I320" s="11" t="s">
        <v>63</v>
      </c>
      <c r="J320" s="11" t="s">
        <v>64</v>
      </c>
      <c r="K320" s="12" t="s">
        <v>65</v>
      </c>
      <c r="M320" s="7"/>
      <c r="N320" s="2">
        <v>5.9630100000000019E-2</v>
      </c>
      <c r="O320" s="2">
        <v>6.8291500000000005E-2</v>
      </c>
      <c r="P320" s="2">
        <v>0.12347299999999994</v>
      </c>
      <c r="Q320" s="2">
        <v>0.13772099999999998</v>
      </c>
      <c r="R320" s="2">
        <v>4.8408300000000015E-2</v>
      </c>
      <c r="S320" s="2">
        <v>5.6309799999999965E-2</v>
      </c>
      <c r="T320" s="7"/>
      <c r="U320" s="2"/>
      <c r="V320" s="2"/>
    </row>
    <row r="321" spans="1:22" x14ac:dyDescent="0.25">
      <c r="A321" s="13" t="s">
        <v>94</v>
      </c>
      <c r="B321" s="7" t="s">
        <v>152</v>
      </c>
      <c r="C321" s="14">
        <f>B280</f>
        <v>0.47016010000000003</v>
      </c>
      <c r="D321" s="15">
        <f>B282</f>
        <v>0.18195049999999999</v>
      </c>
      <c r="E321" s="15">
        <f>B284</f>
        <v>0.2823872</v>
      </c>
      <c r="F321" s="15">
        <f>B286</f>
        <v>1.193595</v>
      </c>
      <c r="G321" s="15">
        <f>B288</f>
        <v>1</v>
      </c>
      <c r="H321" s="15">
        <f>B290</f>
        <v>9.4614299999999998E-2</v>
      </c>
      <c r="I321" s="16">
        <f>B292</f>
        <v>0.34497820000000001</v>
      </c>
      <c r="J321" s="16">
        <f>B294</f>
        <v>0.10189230000000001</v>
      </c>
      <c r="K321" s="17">
        <f>B296</f>
        <v>0.1688501</v>
      </c>
      <c r="M321" s="7"/>
      <c r="N321" s="2">
        <v>9.9155499999999952E-2</v>
      </c>
      <c r="O321" s="2">
        <v>0.11214990000000002</v>
      </c>
      <c r="P321" s="2">
        <v>0.1822769999999998</v>
      </c>
      <c r="Q321" s="2">
        <v>0.20311000000000012</v>
      </c>
      <c r="R321" s="2">
        <v>6.2440300000000004E-2</v>
      </c>
      <c r="S321" s="2">
        <v>7.2639000000000009E-2</v>
      </c>
      <c r="T321" s="7"/>
      <c r="U321" s="2"/>
      <c r="V321" s="2"/>
    </row>
    <row r="322" spans="1:22" x14ac:dyDescent="0.25">
      <c r="A322" s="13"/>
      <c r="B322" s="7" t="s">
        <v>372</v>
      </c>
      <c r="C322" s="15">
        <f>B281</f>
        <v>0.85578109999999996</v>
      </c>
      <c r="D322" s="15">
        <f>B283</f>
        <v>0.31892470000000001</v>
      </c>
      <c r="E322" s="15">
        <f>B285</f>
        <v>0.52799750000000001</v>
      </c>
      <c r="F322" s="15">
        <f>B287</f>
        <v>1.7771189999999999</v>
      </c>
      <c r="G322" s="15">
        <f>B289</f>
        <v>1.3306249999999999</v>
      </c>
      <c r="H322" s="15">
        <f>B291</f>
        <v>0.20375740000000001</v>
      </c>
      <c r="I322" s="16">
        <f>B293</f>
        <v>0.44472270000000003</v>
      </c>
      <c r="J322" s="16">
        <f>B295</f>
        <v>0.13642889999999999</v>
      </c>
      <c r="K322" s="17">
        <f>B297</f>
        <v>0.33664270000000002</v>
      </c>
      <c r="M322" s="7"/>
      <c r="N322" s="2">
        <v>4.5392299999999997E-2</v>
      </c>
      <c r="O322" s="2">
        <v>5.3837000000000024E-2</v>
      </c>
      <c r="P322" s="2">
        <v>5.1392500000000008E-2</v>
      </c>
      <c r="Q322" s="2">
        <v>6.1540800000000007E-2</v>
      </c>
      <c r="R322" s="2">
        <v>3.0023599999999998E-2</v>
      </c>
      <c r="S322" s="2">
        <v>3.7826300000000007E-2</v>
      </c>
      <c r="T322" s="7"/>
      <c r="U322" s="2"/>
      <c r="V322" s="2"/>
    </row>
    <row r="323" spans="1:22" x14ac:dyDescent="0.25">
      <c r="A323" s="24" t="s">
        <v>95</v>
      </c>
      <c r="B323" s="7" t="s">
        <v>152</v>
      </c>
      <c r="C323" s="15">
        <f>B298</f>
        <v>0.28938849999999999</v>
      </c>
      <c r="D323" s="15">
        <f>B300</f>
        <v>7.36314E-2</v>
      </c>
      <c r="E323" s="15">
        <f>B302</f>
        <v>0.1250021</v>
      </c>
      <c r="F323" s="15">
        <f>B304</f>
        <v>0.31164920000000002</v>
      </c>
      <c r="G323" s="15">
        <f>B306</f>
        <v>0.38014350000000002</v>
      </c>
      <c r="H323" s="15">
        <f>B308</f>
        <v>6.8494299999999994E-2</v>
      </c>
      <c r="I323" s="16">
        <f>B310</f>
        <v>0.1455504</v>
      </c>
      <c r="J323" s="16">
        <f>B312</f>
        <v>4.2810000000000001E-2</v>
      </c>
      <c r="K323" s="17">
        <f>B314</f>
        <v>7.36314E-2</v>
      </c>
      <c r="M323" s="7"/>
      <c r="N323" s="2">
        <v>0.22779729999999998</v>
      </c>
      <c r="O323" s="2">
        <v>0.28697600000000012</v>
      </c>
      <c r="P323" s="2">
        <v>0.17979279999999997</v>
      </c>
      <c r="Q323" s="2">
        <v>0.24157970000000006</v>
      </c>
      <c r="R323" s="2">
        <v>0.10605940000000003</v>
      </c>
      <c r="S323" s="2">
        <v>0.16368129999999997</v>
      </c>
      <c r="T323" s="7"/>
      <c r="U323" s="2"/>
      <c r="V323" s="2"/>
    </row>
    <row r="324" spans="1:22" ht="15.75" thickBot="1" x14ac:dyDescent="0.3">
      <c r="A324" s="26"/>
      <c r="B324" s="27" t="s">
        <v>372</v>
      </c>
      <c r="C324" s="30">
        <f>B299</f>
        <v>1.104668</v>
      </c>
      <c r="D324" s="30">
        <f>B301</f>
        <v>0.25823420000000002</v>
      </c>
      <c r="E324" s="30">
        <f>B303</f>
        <v>0.64558539999999998</v>
      </c>
      <c r="F324" s="28">
        <f>B305</f>
        <v>0.70297069999999995</v>
      </c>
      <c r="G324" s="28">
        <f>B307</f>
        <v>0.83208780000000004</v>
      </c>
      <c r="H324" s="30">
        <f>B309</f>
        <v>0.17215610000000001</v>
      </c>
      <c r="I324" s="30">
        <f>B311</f>
        <v>0.30127320000000002</v>
      </c>
      <c r="J324" s="30">
        <f>B313</f>
        <v>0.18650240000000001</v>
      </c>
      <c r="K324" s="31">
        <f>B315</f>
        <v>0.3156195</v>
      </c>
      <c r="M324" s="7"/>
      <c r="N324" s="2">
        <v>3.1792899999999985E-2</v>
      </c>
      <c r="O324" s="2">
        <v>3.8524400000000014E-2</v>
      </c>
      <c r="P324" s="2">
        <v>0</v>
      </c>
      <c r="Q324" s="2">
        <v>0</v>
      </c>
      <c r="R324" s="2">
        <v>2.2592000000000001E-2</v>
      </c>
      <c r="S324" s="2">
        <v>2.902819999999999E-2</v>
      </c>
      <c r="T324" s="7"/>
      <c r="U324" s="2"/>
      <c r="V324" s="2"/>
    </row>
    <row r="325" spans="1:22" x14ac:dyDescent="0.25">
      <c r="M325" s="7"/>
      <c r="N325" s="2">
        <v>5.1218199999999992E-2</v>
      </c>
      <c r="O325" s="2">
        <v>6.1017299999999997E-2</v>
      </c>
      <c r="P325" s="2">
        <v>0.14182000000000006</v>
      </c>
      <c r="Q325" s="2">
        <v>0.15873800000000005</v>
      </c>
      <c r="R325" s="2">
        <v>2.9902099999999987E-2</v>
      </c>
      <c r="S325" s="2">
        <v>3.8295600000000013E-2</v>
      </c>
      <c r="T325" s="7"/>
      <c r="U325" s="2"/>
      <c r="V325" s="2"/>
    </row>
    <row r="326" spans="1:22" x14ac:dyDescent="0.25">
      <c r="M326" s="7"/>
      <c r="N326" s="2">
        <v>1.9728000000000002E-2</v>
      </c>
      <c r="O326" s="2">
        <v>2.6948100000000003E-2</v>
      </c>
      <c r="P326" s="2">
        <v>5.5825700000000034E-2</v>
      </c>
      <c r="Q326" s="2">
        <v>6.5435199999999971E-2</v>
      </c>
      <c r="R326" s="2">
        <v>1.4137200000000003E-2</v>
      </c>
      <c r="S326" s="2">
        <v>2.1107600000000004E-2</v>
      </c>
      <c r="T326" s="7"/>
      <c r="U326" s="2"/>
      <c r="V326" s="2"/>
    </row>
    <row r="327" spans="1:22" x14ac:dyDescent="0.25">
      <c r="M327" s="7"/>
      <c r="N327" s="2">
        <v>9.6718800000000021E-2</v>
      </c>
      <c r="O327" s="2">
        <v>0.15463579999999999</v>
      </c>
      <c r="P327" s="2">
        <v>0.19948050000000006</v>
      </c>
      <c r="Q327" s="2">
        <v>0.26238319999999993</v>
      </c>
      <c r="R327" s="2">
        <v>9.0591300000000013E-2</v>
      </c>
      <c r="S327" s="2">
        <v>0.17615789999999998</v>
      </c>
      <c r="T327" s="7"/>
      <c r="U327" s="2"/>
      <c r="V327" s="2"/>
    </row>
    <row r="328" spans="1:22" x14ac:dyDescent="0.25">
      <c r="M328" s="7"/>
      <c r="N328" s="2">
        <v>4.2552400000000018E-2</v>
      </c>
      <c r="O328" s="2">
        <v>5.0102199999999986E-2</v>
      </c>
      <c r="P328" s="2">
        <v>2.1308400000000005E-2</v>
      </c>
      <c r="Q328" s="2">
        <v>2.7502200000000004E-2</v>
      </c>
      <c r="R328" s="2">
        <v>3.0565700000000001E-2</v>
      </c>
      <c r="S328" s="2">
        <v>3.7321699999999985E-2</v>
      </c>
      <c r="T328" s="7"/>
      <c r="U328" s="2"/>
      <c r="V328" s="2"/>
    </row>
    <row r="329" spans="1:22" x14ac:dyDescent="0.25">
      <c r="M329" s="7"/>
      <c r="N329" s="2">
        <v>7.0391800000000004E-2</v>
      </c>
      <c r="O329" s="2">
        <v>8.1219799999999953E-2</v>
      </c>
      <c r="P329" s="2">
        <v>3.7310700000000002E-2</v>
      </c>
      <c r="Q329" s="2">
        <v>4.5674400000000004E-2</v>
      </c>
      <c r="R329" s="2">
        <v>5.1591400000000009E-2</v>
      </c>
      <c r="S329" s="2">
        <v>6.0928900000000008E-2</v>
      </c>
      <c r="T329" s="7"/>
      <c r="U329" s="2"/>
      <c r="V329" s="2"/>
    </row>
    <row r="330" spans="1:22" x14ac:dyDescent="0.25">
      <c r="M330" s="7"/>
      <c r="N330" s="2">
        <v>2.7195200000000003E-2</v>
      </c>
      <c r="O330" s="2">
        <v>3.4756900000000007E-2</v>
      </c>
      <c r="P330" s="2">
        <v>1.8743099999999992E-2</v>
      </c>
      <c r="Q330" s="2">
        <v>2.5804300000000002E-2</v>
      </c>
      <c r="R330" s="2">
        <v>1.9594E-2</v>
      </c>
      <c r="S330" s="2">
        <v>2.6698700000000006E-2</v>
      </c>
      <c r="T330" s="7"/>
      <c r="U330" s="2"/>
      <c r="V330" s="2"/>
    </row>
    <row r="331" spans="1:22" x14ac:dyDescent="0.25">
      <c r="M331" s="7"/>
      <c r="N331" s="2">
        <v>0.1665605</v>
      </c>
      <c r="O331" s="2">
        <v>0.22447479999999997</v>
      </c>
      <c r="P331" s="2">
        <v>7.4704500000000007E-2</v>
      </c>
      <c r="Q331" s="2">
        <v>0.13197149999999999</v>
      </c>
      <c r="R331" s="2">
        <v>0.1094118</v>
      </c>
      <c r="S331" s="2">
        <v>0.16746470000000002</v>
      </c>
      <c r="T331" s="7"/>
      <c r="U331" s="2"/>
      <c r="V331" s="2"/>
    </row>
    <row r="332" spans="1:22" x14ac:dyDescent="0.25">
      <c r="M332" s="9"/>
      <c r="N332" s="9"/>
      <c r="O332" s="7"/>
      <c r="P332" s="7"/>
      <c r="Q332" s="7"/>
      <c r="R332" s="7"/>
      <c r="S332" s="7"/>
      <c r="T332" s="7"/>
      <c r="U332" s="2"/>
      <c r="V332" s="2"/>
    </row>
    <row r="333" spans="1:22" x14ac:dyDescent="0.25">
      <c r="M333" s="9"/>
      <c r="N333" s="9"/>
      <c r="O333" s="7"/>
      <c r="P333" s="7"/>
      <c r="Q333" s="7"/>
      <c r="R333" s="7"/>
      <c r="S333" s="7"/>
      <c r="T333" s="7"/>
      <c r="U333" s="2"/>
      <c r="V333" s="2"/>
    </row>
    <row r="334" spans="1:22" x14ac:dyDescent="0.25">
      <c r="M334" s="7"/>
      <c r="N334" s="7"/>
      <c r="O334" s="7"/>
      <c r="P334" s="7"/>
      <c r="Q334" s="7"/>
      <c r="R334" s="7"/>
      <c r="S334" s="7"/>
      <c r="T334" s="7"/>
      <c r="U334" s="2"/>
      <c r="V334" s="2"/>
    </row>
    <row r="335" spans="1:22" x14ac:dyDescent="0.25">
      <c r="M335" s="7"/>
      <c r="N335" s="7"/>
      <c r="O335" s="7"/>
      <c r="P335" s="7"/>
      <c r="Q335" s="7"/>
      <c r="R335" s="7"/>
      <c r="S335" s="7"/>
      <c r="T335" s="7"/>
      <c r="U335" s="2"/>
      <c r="V335" s="2"/>
    </row>
    <row r="336" spans="1:22" x14ac:dyDescent="0.25">
      <c r="M336" s="7"/>
      <c r="N336" s="7"/>
      <c r="O336" s="9"/>
      <c r="P336" s="7"/>
      <c r="Q336" s="7"/>
      <c r="R336" s="7"/>
      <c r="S336" s="7"/>
      <c r="T336" s="7"/>
      <c r="U336" s="2"/>
      <c r="V336" s="2"/>
    </row>
    <row r="337" spans="1:22" x14ac:dyDescent="0.25">
      <c r="M337" s="7"/>
      <c r="N337" s="7"/>
      <c r="O337" s="9"/>
      <c r="P337" s="7"/>
      <c r="Q337" s="7"/>
      <c r="R337" s="7"/>
      <c r="S337" s="7"/>
      <c r="T337" s="7"/>
      <c r="U337" s="2"/>
      <c r="V337" s="2"/>
    </row>
    <row r="338" spans="1:22" x14ac:dyDescent="0.25">
      <c r="M338" s="7"/>
      <c r="N338" s="7"/>
      <c r="O338" s="7"/>
      <c r="P338" s="7"/>
      <c r="Q338" s="7"/>
      <c r="R338" s="7"/>
      <c r="S338" s="7"/>
      <c r="U338" s="7"/>
      <c r="V338" s="7"/>
    </row>
    <row r="339" spans="1:22" x14ac:dyDescent="0.25">
      <c r="M339" s="7"/>
      <c r="N339" s="7"/>
      <c r="O339" s="7"/>
      <c r="P339" s="7"/>
      <c r="Q339" s="7"/>
      <c r="R339" s="7"/>
      <c r="S339" s="7"/>
      <c r="U339" s="7"/>
      <c r="V339" s="7"/>
    </row>
    <row r="340" spans="1:22" x14ac:dyDescent="0.25">
      <c r="M340" s="7"/>
      <c r="N340" s="7"/>
      <c r="O340" s="7"/>
      <c r="P340" s="23"/>
      <c r="Q340" s="23"/>
      <c r="R340" s="7"/>
      <c r="S340" s="9"/>
      <c r="U340" s="7"/>
      <c r="V340" s="7"/>
    </row>
    <row r="341" spans="1:22" x14ac:dyDescent="0.25">
      <c r="M341" s="7"/>
      <c r="N341" s="7"/>
      <c r="O341" s="7"/>
      <c r="P341" s="7"/>
      <c r="Q341" s="7"/>
      <c r="U341" s="7"/>
      <c r="V341" s="7"/>
    </row>
    <row r="342" spans="1:22" x14ac:dyDescent="0.25">
      <c r="N342" s="7"/>
      <c r="O342" s="7"/>
      <c r="P342" s="7"/>
      <c r="Q342" s="7"/>
      <c r="U342" s="7"/>
      <c r="V342" s="7"/>
    </row>
    <row r="343" spans="1:22" x14ac:dyDescent="0.25">
      <c r="N343" s="7"/>
      <c r="O343" s="7"/>
      <c r="P343" s="7"/>
      <c r="Q343" s="7"/>
      <c r="U343" s="7"/>
      <c r="V343" s="7"/>
    </row>
    <row r="344" spans="1:22" s="1" customFormat="1" ht="13.9" customHeight="1" x14ac:dyDescent="0.25">
      <c r="A344" s="1" t="s">
        <v>107</v>
      </c>
      <c r="N344" s="33"/>
      <c r="O344" s="33"/>
      <c r="P344" s="33"/>
      <c r="Q344" s="33"/>
      <c r="U344" s="35"/>
      <c r="V344" s="35"/>
    </row>
    <row r="345" spans="1:22" x14ac:dyDescent="0.25">
      <c r="N345" s="7"/>
      <c r="O345" s="7"/>
      <c r="P345" s="7"/>
      <c r="Q345" s="7"/>
      <c r="U345" s="7"/>
      <c r="V345" s="7"/>
    </row>
    <row r="346" spans="1:22" x14ac:dyDescent="0.25">
      <c r="A346" s="36"/>
      <c r="B346" s="2" t="s">
        <v>1</v>
      </c>
      <c r="C346" s="3"/>
      <c r="D346" s="3"/>
      <c r="E346" s="3"/>
      <c r="F346" s="3"/>
      <c r="G346" s="3"/>
      <c r="N346" s="7"/>
      <c r="O346" s="7"/>
      <c r="P346" s="7"/>
      <c r="Q346" s="7"/>
      <c r="U346" s="7"/>
      <c r="V346" s="7"/>
    </row>
    <row r="347" spans="1:22" x14ac:dyDescent="0.25">
      <c r="A347" s="5" t="s">
        <v>2</v>
      </c>
      <c r="B347" s="6" t="s">
        <v>269</v>
      </c>
      <c r="C347" s="6" t="s">
        <v>270</v>
      </c>
      <c r="D347" s="6" t="s">
        <v>3</v>
      </c>
      <c r="E347" s="6" t="s">
        <v>4</v>
      </c>
      <c r="F347" s="6" t="s">
        <v>271</v>
      </c>
      <c r="G347" s="6" t="s">
        <v>272</v>
      </c>
      <c r="N347" s="7"/>
      <c r="O347" s="7"/>
      <c r="P347" s="7"/>
      <c r="Q347" s="7"/>
      <c r="U347" s="7"/>
      <c r="V347" s="7"/>
    </row>
    <row r="348" spans="1:22" x14ac:dyDescent="0.25">
      <c r="A348" s="36"/>
      <c r="B348" s="2"/>
      <c r="C348" s="2"/>
      <c r="D348" s="3"/>
      <c r="E348" s="3"/>
      <c r="F348" s="3"/>
      <c r="G348" s="3"/>
      <c r="N348" s="7"/>
      <c r="O348" s="7"/>
      <c r="P348" s="7"/>
      <c r="Q348" s="7"/>
      <c r="U348" s="23"/>
      <c r="V348" s="23"/>
    </row>
    <row r="349" spans="1:22" x14ac:dyDescent="0.25">
      <c r="A349" s="36" t="s">
        <v>72</v>
      </c>
      <c r="B349" s="3"/>
      <c r="C349" s="3"/>
      <c r="D349" s="3"/>
      <c r="E349" s="3"/>
      <c r="F349" s="3"/>
      <c r="G349" s="3"/>
      <c r="N349" s="7"/>
      <c r="O349" s="7"/>
      <c r="U349" s="7"/>
      <c r="V349" s="7"/>
    </row>
    <row r="350" spans="1:22" x14ac:dyDescent="0.25">
      <c r="A350" s="36" t="s">
        <v>73</v>
      </c>
      <c r="B350" s="2">
        <v>0.95705609999999997</v>
      </c>
      <c r="C350" s="2">
        <v>2.3671299999999999E-2</v>
      </c>
      <c r="D350" s="2">
        <v>-1.77</v>
      </c>
      <c r="E350" s="2">
        <v>7.5999999999999998E-2</v>
      </c>
      <c r="F350" s="2">
        <v>0.91176780000000002</v>
      </c>
      <c r="G350" s="2">
        <v>1.004594</v>
      </c>
      <c r="N350" s="7"/>
      <c r="O350" s="7"/>
      <c r="U350" s="7"/>
      <c r="V350" s="7"/>
    </row>
    <row r="351" spans="1:22" x14ac:dyDescent="0.25">
      <c r="A351" s="36"/>
      <c r="B351" s="3"/>
      <c r="C351" s="3"/>
      <c r="D351" s="3"/>
      <c r="E351" s="3"/>
      <c r="F351" s="3"/>
      <c r="G351" s="3"/>
      <c r="N351" s="7"/>
      <c r="O351" s="7"/>
      <c r="U351" s="7"/>
      <c r="V351" s="7"/>
    </row>
    <row r="352" spans="1:22" x14ac:dyDescent="0.25">
      <c r="A352" s="36" t="s">
        <v>74</v>
      </c>
      <c r="B352" s="3"/>
      <c r="C352" s="3"/>
      <c r="D352" s="3"/>
      <c r="E352" s="3"/>
      <c r="F352" s="3"/>
      <c r="G352" s="3"/>
      <c r="N352" s="7"/>
      <c r="O352" s="9"/>
      <c r="U352" s="7"/>
      <c r="V352" s="9"/>
    </row>
    <row r="353" spans="1:15" x14ac:dyDescent="0.25">
      <c r="A353" s="36" t="s">
        <v>75</v>
      </c>
      <c r="B353" s="2">
        <v>0.85517359999999998</v>
      </c>
      <c r="C353" s="2">
        <v>2.7064499999999998E-2</v>
      </c>
      <c r="D353" s="2">
        <v>-4.9400000000000004</v>
      </c>
      <c r="E353" s="2">
        <v>0</v>
      </c>
      <c r="F353" s="2">
        <v>0.8037398</v>
      </c>
      <c r="G353" s="2">
        <v>0.90989880000000001</v>
      </c>
      <c r="N353" s="7"/>
      <c r="O353" s="7"/>
    </row>
    <row r="354" spans="1:15" x14ac:dyDescent="0.25">
      <c r="A354" s="36" t="s">
        <v>76</v>
      </c>
      <c r="B354" s="2">
        <v>0.6404012</v>
      </c>
      <c r="C354" s="2">
        <v>2.8780400000000001E-2</v>
      </c>
      <c r="D354" s="2">
        <v>-9.92</v>
      </c>
      <c r="E354" s="2">
        <v>0</v>
      </c>
      <c r="F354" s="2">
        <v>0.58640559999999997</v>
      </c>
      <c r="G354" s="2">
        <v>0.69936869999999995</v>
      </c>
      <c r="N354" s="7"/>
      <c r="O354" s="7"/>
    </row>
    <row r="355" spans="1:15" x14ac:dyDescent="0.25">
      <c r="A355" s="36" t="s">
        <v>77</v>
      </c>
      <c r="B355" s="2">
        <v>0.5124689</v>
      </c>
      <c r="C355" s="2">
        <v>2.8991599999999999E-2</v>
      </c>
      <c r="D355" s="2">
        <v>-11.82</v>
      </c>
      <c r="E355" s="2">
        <v>0</v>
      </c>
      <c r="F355" s="2">
        <v>0.45868330000000002</v>
      </c>
      <c r="G355" s="2">
        <v>0.5725614</v>
      </c>
      <c r="N355" s="7"/>
      <c r="O355" s="7"/>
    </row>
    <row r="356" spans="1:15" x14ac:dyDescent="0.25">
      <c r="A356" s="36" t="s">
        <v>78</v>
      </c>
      <c r="B356" s="2">
        <v>0.42984650000000002</v>
      </c>
      <c r="C356" s="2">
        <v>2.5906800000000001E-2</v>
      </c>
      <c r="D356" s="2">
        <v>-14.01</v>
      </c>
      <c r="E356" s="2">
        <v>0</v>
      </c>
      <c r="F356" s="2">
        <v>0.38195440000000003</v>
      </c>
      <c r="G356" s="2">
        <v>0.4837437</v>
      </c>
      <c r="N356" s="7"/>
      <c r="O356" s="7"/>
    </row>
    <row r="357" spans="1:15" x14ac:dyDescent="0.25">
      <c r="A357" s="36" t="s">
        <v>79</v>
      </c>
      <c r="B357" s="2">
        <v>0.33900599999999997</v>
      </c>
      <c r="C357" s="2">
        <v>2.5043699999999999E-2</v>
      </c>
      <c r="D357" s="2">
        <v>-14.64</v>
      </c>
      <c r="E357" s="2">
        <v>0</v>
      </c>
      <c r="F357" s="2">
        <v>0.2933093</v>
      </c>
      <c r="G357" s="2">
        <v>0.39182220000000001</v>
      </c>
      <c r="N357" s="7"/>
      <c r="O357" s="7"/>
    </row>
    <row r="358" spans="1:15" x14ac:dyDescent="0.25">
      <c r="A358" s="36" t="s">
        <v>80</v>
      </c>
      <c r="B358" s="2">
        <v>0.37587009999999998</v>
      </c>
      <c r="C358" s="2">
        <v>3.08709E-2</v>
      </c>
      <c r="D358" s="2">
        <v>-11.91</v>
      </c>
      <c r="E358" s="2">
        <v>0</v>
      </c>
      <c r="F358" s="2">
        <v>0.31998310000000002</v>
      </c>
      <c r="G358" s="2">
        <v>0.44151820000000003</v>
      </c>
      <c r="N358" s="7"/>
      <c r="O358" s="7"/>
    </row>
    <row r="359" spans="1:15" x14ac:dyDescent="0.25">
      <c r="A359" s="36" t="s">
        <v>86</v>
      </c>
      <c r="B359" s="2">
        <v>0.2295584</v>
      </c>
      <c r="C359" s="2">
        <v>2.5554E-2</v>
      </c>
      <c r="D359" s="2">
        <v>-13.22</v>
      </c>
      <c r="E359" s="2">
        <v>0</v>
      </c>
      <c r="F359" s="2">
        <v>0.18456059999999999</v>
      </c>
      <c r="G359" s="2">
        <v>0.28552719999999998</v>
      </c>
      <c r="N359" s="7"/>
      <c r="O359" s="7"/>
    </row>
    <row r="360" spans="1:15" x14ac:dyDescent="0.25">
      <c r="A360" s="36" t="s">
        <v>87</v>
      </c>
      <c r="B360" s="2">
        <v>0.1866718</v>
      </c>
      <c r="C360" s="2">
        <v>2.9842E-2</v>
      </c>
      <c r="D360" s="2">
        <v>-10.5</v>
      </c>
      <c r="E360" s="2">
        <v>0</v>
      </c>
      <c r="F360" s="2">
        <v>0.1364591</v>
      </c>
      <c r="G360" s="2">
        <v>0.25536120000000001</v>
      </c>
      <c r="N360" s="7"/>
      <c r="O360" s="7"/>
    </row>
    <row r="361" spans="1:15" x14ac:dyDescent="0.25">
      <c r="A361" s="36" t="s">
        <v>88</v>
      </c>
      <c r="B361" s="2">
        <v>4.77502E-2</v>
      </c>
      <c r="C361" s="2">
        <v>2.08617E-2</v>
      </c>
      <c r="D361" s="2">
        <v>-6.96</v>
      </c>
      <c r="E361" s="2">
        <v>0</v>
      </c>
      <c r="F361" s="2">
        <v>2.02811E-2</v>
      </c>
      <c r="G361" s="2">
        <v>0.1124241</v>
      </c>
    </row>
    <row r="362" spans="1:15" x14ac:dyDescent="0.25">
      <c r="A362" s="36"/>
      <c r="B362" s="3"/>
      <c r="C362" s="3"/>
      <c r="D362" s="3"/>
      <c r="E362" s="3"/>
      <c r="F362" s="3"/>
      <c r="G362" s="3"/>
    </row>
    <row r="363" spans="1:15" x14ac:dyDescent="0.25">
      <c r="A363" s="36" t="s">
        <v>108</v>
      </c>
      <c r="B363" s="3"/>
      <c r="C363" s="3"/>
      <c r="D363" s="3"/>
      <c r="E363" s="3"/>
      <c r="F363" s="3"/>
      <c r="G363" s="3"/>
    </row>
    <row r="364" spans="1:15" x14ac:dyDescent="0.25">
      <c r="A364" s="36">
        <v>2</v>
      </c>
      <c r="B364" s="2">
        <v>1.0015050000000001</v>
      </c>
      <c r="C364" s="2">
        <v>3.07838E-2</v>
      </c>
      <c r="D364" s="2">
        <v>0.05</v>
      </c>
      <c r="E364" s="2">
        <v>0.96099999999999997</v>
      </c>
      <c r="F364" s="2">
        <v>0.94295169999999995</v>
      </c>
      <c r="G364" s="2">
        <v>1.0636950000000001</v>
      </c>
    </row>
    <row r="365" spans="1:15" x14ac:dyDescent="0.25">
      <c r="A365" s="36" t="s">
        <v>109</v>
      </c>
      <c r="B365" s="2">
        <v>0.93556930000000005</v>
      </c>
      <c r="C365" s="2">
        <v>5.1007700000000003E-2</v>
      </c>
      <c r="D365" s="2">
        <v>-1.22</v>
      </c>
      <c r="E365" s="2">
        <v>0.222</v>
      </c>
      <c r="F365" s="2">
        <v>0.8407521</v>
      </c>
      <c r="G365" s="2">
        <v>1.04108</v>
      </c>
    </row>
    <row r="366" spans="1:15" x14ac:dyDescent="0.25">
      <c r="A366" s="36"/>
      <c r="B366" s="3"/>
      <c r="C366" s="3"/>
      <c r="D366" s="3"/>
      <c r="E366" s="3"/>
      <c r="F366" s="3"/>
      <c r="G366" s="3"/>
    </row>
    <row r="367" spans="1:15" x14ac:dyDescent="0.25">
      <c r="A367" s="36" t="s">
        <v>83</v>
      </c>
      <c r="B367" s="3"/>
      <c r="C367" s="3"/>
      <c r="D367" s="3"/>
      <c r="E367" s="3"/>
      <c r="F367" s="3"/>
      <c r="G367" s="3"/>
    </row>
    <row r="368" spans="1:15" x14ac:dyDescent="0.25">
      <c r="A368" s="38" t="s">
        <v>315</v>
      </c>
      <c r="B368" s="2">
        <v>1.23461</v>
      </c>
      <c r="C368" s="2">
        <v>3.9761499999999998E-2</v>
      </c>
      <c r="D368" s="2">
        <v>6.54</v>
      </c>
      <c r="E368" s="2">
        <v>0</v>
      </c>
      <c r="F368" s="2">
        <v>1.1590879999999999</v>
      </c>
      <c r="G368" s="2">
        <v>1.315053</v>
      </c>
    </row>
    <row r="369" spans="1:7" x14ac:dyDescent="0.25">
      <c r="A369" s="38" t="s">
        <v>316</v>
      </c>
      <c r="B369" s="2">
        <v>1.03878</v>
      </c>
      <c r="C369" s="2">
        <v>4.1103099999999997E-2</v>
      </c>
      <c r="D369" s="2">
        <v>0.96</v>
      </c>
      <c r="E369" s="2">
        <v>0.33600000000000002</v>
      </c>
      <c r="F369" s="2">
        <v>0.96126449999999997</v>
      </c>
      <c r="G369" s="2">
        <v>1.122547</v>
      </c>
    </row>
    <row r="370" spans="1:7" x14ac:dyDescent="0.25">
      <c r="A370" s="38" t="s">
        <v>317</v>
      </c>
      <c r="B370" s="2">
        <v>0.93458039999999998</v>
      </c>
      <c r="C370" s="2">
        <v>3.9948200000000003E-2</v>
      </c>
      <c r="D370" s="2">
        <v>-1.58</v>
      </c>
      <c r="E370" s="2">
        <v>0.113</v>
      </c>
      <c r="F370" s="2">
        <v>0.85947340000000005</v>
      </c>
      <c r="G370" s="2">
        <v>1.016251</v>
      </c>
    </row>
    <row r="371" spans="1:7" x14ac:dyDescent="0.25">
      <c r="A371" s="38" t="s">
        <v>82</v>
      </c>
      <c r="B371" s="2">
        <v>1.2958419999999999</v>
      </c>
      <c r="C371" s="2">
        <v>6.3952499999999995E-2</v>
      </c>
      <c r="D371" s="2">
        <v>5.25</v>
      </c>
      <c r="E371" s="2">
        <v>0</v>
      </c>
      <c r="F371" s="2">
        <v>1.1763680000000001</v>
      </c>
      <c r="G371" s="2">
        <v>1.427449</v>
      </c>
    </row>
    <row r="372" spans="1:7" x14ac:dyDescent="0.25">
      <c r="A372" s="36"/>
      <c r="B372" s="3"/>
      <c r="C372" s="3"/>
      <c r="D372" s="3"/>
      <c r="E372" s="3"/>
      <c r="F372" s="3"/>
      <c r="G372" s="3"/>
    </row>
    <row r="373" spans="1:7" x14ac:dyDescent="0.25">
      <c r="A373" s="36" t="s">
        <v>110</v>
      </c>
      <c r="B373" s="3"/>
      <c r="C373" s="3"/>
      <c r="D373" s="3"/>
      <c r="E373" s="3"/>
      <c r="F373" s="3"/>
      <c r="G373" s="3"/>
    </row>
    <row r="374" spans="1:7" x14ac:dyDescent="0.25">
      <c r="A374" s="36" t="s">
        <v>154</v>
      </c>
      <c r="B374" s="2">
        <v>0.26666669999999998</v>
      </c>
      <c r="C374" s="2">
        <v>8.6340200000000006E-2</v>
      </c>
      <c r="D374" s="2">
        <v>-4.08</v>
      </c>
      <c r="E374" s="2">
        <v>0</v>
      </c>
      <c r="F374" s="2">
        <f>B374-0.1413742</f>
        <v>0.12529249999999997</v>
      </c>
      <c r="G374" s="2">
        <f>0.5029991-B374</f>
        <v>0.23633240000000005</v>
      </c>
    </row>
    <row r="375" spans="1:7" x14ac:dyDescent="0.25">
      <c r="A375" s="36" t="s">
        <v>155</v>
      </c>
      <c r="B375" s="2">
        <v>0.60257289999999997</v>
      </c>
      <c r="C375" s="2">
        <v>0.1909507</v>
      </c>
      <c r="D375" s="2">
        <v>-1.6</v>
      </c>
      <c r="E375" s="2">
        <v>0.11</v>
      </c>
      <c r="F375" s="2">
        <f>B375-0.3237952</f>
        <v>0.27877769999999996</v>
      </c>
      <c r="G375" s="2">
        <f>1.12137-B375</f>
        <v>0.51879710000000001</v>
      </c>
    </row>
    <row r="376" spans="1:7" x14ac:dyDescent="0.25">
      <c r="A376" s="36" t="s">
        <v>156</v>
      </c>
      <c r="B376" s="2">
        <v>0.6</v>
      </c>
      <c r="C376" s="2">
        <v>0.1496777</v>
      </c>
      <c r="D376" s="2">
        <v>-2.0499999999999998</v>
      </c>
      <c r="E376" s="2">
        <v>4.1000000000000002E-2</v>
      </c>
      <c r="F376" s="2">
        <f>B376-0.3679663</f>
        <v>0.23203369999999995</v>
      </c>
      <c r="G376" s="2">
        <f>0.9783504-B376</f>
        <v>0.37835039999999998</v>
      </c>
    </row>
    <row r="377" spans="1:7" x14ac:dyDescent="0.25">
      <c r="A377" s="36" t="s">
        <v>157</v>
      </c>
      <c r="B377" s="2">
        <v>0.92703519999999995</v>
      </c>
      <c r="C377" s="2">
        <v>0.2681809</v>
      </c>
      <c r="D377" s="2">
        <v>-0.26</v>
      </c>
      <c r="E377" s="2">
        <v>0.79300000000000004</v>
      </c>
      <c r="F377" s="2">
        <f>B377-0.5258395</f>
        <v>0.40119569999999993</v>
      </c>
      <c r="G377" s="2">
        <f>1.634328-B377</f>
        <v>0.70729280000000005</v>
      </c>
    </row>
    <row r="378" spans="1:7" x14ac:dyDescent="0.25">
      <c r="A378" s="36" t="s">
        <v>158</v>
      </c>
      <c r="B378" s="2">
        <v>0.91111109999999995</v>
      </c>
      <c r="C378" s="2">
        <v>0.20064889999999999</v>
      </c>
      <c r="D378" s="2">
        <v>-0.42</v>
      </c>
      <c r="E378" s="2">
        <v>0.67300000000000004</v>
      </c>
      <c r="F378" s="2">
        <f>B378-0.5917196</f>
        <v>0.31939149999999994</v>
      </c>
      <c r="G378" s="2">
        <f>1.4029-B378</f>
        <v>0.49178890000000008</v>
      </c>
    </row>
    <row r="379" spans="1:7" x14ac:dyDescent="0.25">
      <c r="A379" s="36" t="s">
        <v>159</v>
      </c>
      <c r="B379" s="2">
        <v>1.622312</v>
      </c>
      <c r="C379" s="2">
        <v>0.37278359999999999</v>
      </c>
      <c r="D379" s="2">
        <v>2.11</v>
      </c>
      <c r="E379" s="2">
        <v>3.5000000000000003E-2</v>
      </c>
      <c r="F379" s="2">
        <f>B379-1.034048</f>
        <v>0.5882639999999999</v>
      </c>
      <c r="G379" s="2">
        <f>2.545236-B379</f>
        <v>0.92292400000000008</v>
      </c>
    </row>
    <row r="380" spans="1:7" x14ac:dyDescent="0.25">
      <c r="A380" s="36" t="s">
        <v>160</v>
      </c>
      <c r="B380" s="2">
        <v>1.266667</v>
      </c>
      <c r="C380" s="2">
        <v>0.27245229999999998</v>
      </c>
      <c r="D380" s="2">
        <v>1.1000000000000001</v>
      </c>
      <c r="E380" s="2">
        <v>0.27200000000000002</v>
      </c>
      <c r="F380" s="2">
        <f>B380-0.8309484</f>
        <v>0.43571859999999996</v>
      </c>
      <c r="G380" s="2">
        <f>1.930859-B380</f>
        <v>0.66419200000000012</v>
      </c>
    </row>
    <row r="381" spans="1:7" x14ac:dyDescent="0.25">
      <c r="A381" s="36" t="s">
        <v>161</v>
      </c>
      <c r="B381" s="2">
        <v>2.1785329999999998</v>
      </c>
      <c r="C381" s="2">
        <v>0.51322599999999996</v>
      </c>
      <c r="D381" s="2">
        <v>3.31</v>
      </c>
      <c r="E381" s="2">
        <v>1E-3</v>
      </c>
      <c r="F381" s="2">
        <f>B381-1.372888</f>
        <v>0.80564499999999972</v>
      </c>
      <c r="G381" s="2">
        <f>3.456949-B381</f>
        <v>1.278416</v>
      </c>
    </row>
    <row r="382" spans="1:7" x14ac:dyDescent="0.25">
      <c r="A382" s="36" t="s">
        <v>189</v>
      </c>
      <c r="B382" s="2">
        <v>1</v>
      </c>
      <c r="C382" s="2"/>
      <c r="D382" s="2"/>
      <c r="E382" s="2"/>
      <c r="F382" s="2">
        <v>0</v>
      </c>
      <c r="G382" s="2">
        <v>0</v>
      </c>
    </row>
    <row r="383" spans="1:7" x14ac:dyDescent="0.25">
      <c r="A383" s="36" t="s">
        <v>162</v>
      </c>
      <c r="B383" s="2">
        <v>1.8540700000000001</v>
      </c>
      <c r="C383" s="2">
        <v>0.4246876</v>
      </c>
      <c r="D383" s="2">
        <v>2.7</v>
      </c>
      <c r="E383" s="2">
        <v>7.0000000000000001E-3</v>
      </c>
      <c r="F383" s="2">
        <f>B383-1.183458</f>
        <v>0.67061200000000021</v>
      </c>
      <c r="G383" s="2">
        <f>2.90469-B383</f>
        <v>1.0506199999999999</v>
      </c>
    </row>
    <row r="384" spans="1:7" x14ac:dyDescent="0.25">
      <c r="A384" s="36" t="s">
        <v>163</v>
      </c>
      <c r="B384" s="2">
        <v>0.13333329999999999</v>
      </c>
      <c r="C384" s="2">
        <v>5.8405600000000002E-2</v>
      </c>
      <c r="D384" s="2">
        <v>-4.5999999999999996</v>
      </c>
      <c r="E384" s="2">
        <v>0</v>
      </c>
      <c r="F384" s="2">
        <f>B384-0.0565036</f>
        <v>7.6829699999999987E-2</v>
      </c>
      <c r="G384" s="2">
        <f>0.3146307-B384</f>
        <v>0.1812974</v>
      </c>
    </row>
    <row r="385" spans="1:7" x14ac:dyDescent="0.25">
      <c r="A385" s="36" t="s">
        <v>164</v>
      </c>
      <c r="B385" s="2">
        <v>0.23175879999999999</v>
      </c>
      <c r="C385" s="2">
        <v>0.1105472</v>
      </c>
      <c r="D385" s="2">
        <v>-3.07</v>
      </c>
      <c r="E385" s="2">
        <v>2E-3</v>
      </c>
      <c r="F385" s="2">
        <f>B385-0.0909954</f>
        <v>0.14076339999999998</v>
      </c>
      <c r="G385" s="2">
        <f>0.5902732-B385</f>
        <v>0.35851440000000007</v>
      </c>
    </row>
    <row r="386" spans="1:7" x14ac:dyDescent="0.25">
      <c r="A386" s="36" t="s">
        <v>165</v>
      </c>
      <c r="B386" s="2">
        <v>0.4</v>
      </c>
      <c r="C386" s="2">
        <v>0.1136683</v>
      </c>
      <c r="D386" s="2">
        <v>-3.22</v>
      </c>
      <c r="E386" s="2">
        <v>1E-3</v>
      </c>
      <c r="F386" s="2">
        <f>B386-0.2291782</f>
        <v>0.17082180000000002</v>
      </c>
      <c r="G386" s="2">
        <f>0.6981466-B386</f>
        <v>0.29814659999999993</v>
      </c>
    </row>
    <row r="387" spans="1:7" x14ac:dyDescent="0.25">
      <c r="A387" s="36" t="s">
        <v>166</v>
      </c>
      <c r="B387" s="2">
        <v>0.69527640000000002</v>
      </c>
      <c r="C387" s="2">
        <v>0.21104429999999999</v>
      </c>
      <c r="D387" s="2">
        <v>-1.2</v>
      </c>
      <c r="E387" s="2">
        <v>0.23100000000000001</v>
      </c>
      <c r="F387" s="2">
        <f>B387-0.3835161</f>
        <v>0.31176029999999999</v>
      </c>
      <c r="G387" s="2">
        <f>1.260467-B387</f>
        <v>0.56519059999999999</v>
      </c>
    </row>
    <row r="388" spans="1:7" x14ac:dyDescent="0.25">
      <c r="A388" s="36" t="s">
        <v>167</v>
      </c>
      <c r="B388" s="2">
        <v>0.42222219999999999</v>
      </c>
      <c r="C388" s="2">
        <v>0.1160067</v>
      </c>
      <c r="D388" s="2">
        <v>-3.14</v>
      </c>
      <c r="E388" s="2">
        <v>2E-3</v>
      </c>
      <c r="F388" s="2">
        <f>B388-0.2464172</f>
        <v>0.17580499999999999</v>
      </c>
      <c r="G388" s="2">
        <f>0.7234543-B388</f>
        <v>0.3012321</v>
      </c>
    </row>
    <row r="389" spans="1:7" x14ac:dyDescent="0.25">
      <c r="A389" s="36" t="s">
        <v>168</v>
      </c>
      <c r="B389" s="2">
        <v>0.74162819999999996</v>
      </c>
      <c r="C389" s="2">
        <v>0.231292</v>
      </c>
      <c r="D389" s="2">
        <v>-0.96</v>
      </c>
      <c r="E389" s="2">
        <v>0.33800000000000002</v>
      </c>
      <c r="F389" s="2">
        <f>B389-0.4024589</f>
        <v>0.33916929999999995</v>
      </c>
      <c r="G389" s="2">
        <f>1.36663-B389</f>
        <v>0.62500180000000005</v>
      </c>
    </row>
    <row r="390" spans="1:7" x14ac:dyDescent="0.25">
      <c r="A390" s="36" t="s">
        <v>169</v>
      </c>
      <c r="B390" s="2">
        <v>0.6</v>
      </c>
      <c r="C390" s="2">
        <v>0.1476846</v>
      </c>
      <c r="D390" s="2">
        <v>-2.08</v>
      </c>
      <c r="E390" s="2">
        <v>3.7999999999999999E-2</v>
      </c>
      <c r="F390" s="2">
        <f>B390-0.3703699</f>
        <v>0.2296301</v>
      </c>
      <c r="G390" s="2">
        <f>0.9720012-B390</f>
        <v>0.37200120000000003</v>
      </c>
    </row>
    <row r="391" spans="1:7" x14ac:dyDescent="0.25">
      <c r="A391" s="36" t="s">
        <v>170</v>
      </c>
      <c r="B391" s="2">
        <v>1.2051460000000001</v>
      </c>
      <c r="C391" s="2">
        <v>0.28745340000000003</v>
      </c>
      <c r="D391" s="2">
        <v>0.78</v>
      </c>
      <c r="E391" s="2">
        <v>0.434</v>
      </c>
      <c r="F391" s="2">
        <f>B391-0.7551089</f>
        <v>0.45003710000000008</v>
      </c>
      <c r="G391" s="2">
        <f>1.9234-B391</f>
        <v>0.71825399999999995</v>
      </c>
    </row>
    <row r="392" spans="1:7" x14ac:dyDescent="0.25">
      <c r="A392" s="36" t="s">
        <v>171</v>
      </c>
      <c r="B392" s="2">
        <v>0.6202339</v>
      </c>
      <c r="C392" s="2">
        <v>0.103882</v>
      </c>
      <c r="D392" s="2">
        <v>-2.85</v>
      </c>
      <c r="E392" s="2">
        <v>4.0000000000000001E-3</v>
      </c>
      <c r="F392" s="2">
        <f>B392-0.4466723</f>
        <v>0.17356159999999998</v>
      </c>
      <c r="G392" s="2">
        <f>0.8612355-B392</f>
        <v>0.24100160000000004</v>
      </c>
    </row>
    <row r="393" spans="1:7" x14ac:dyDescent="0.25">
      <c r="A393" s="36" t="s">
        <v>172</v>
      </c>
      <c r="B393" s="2">
        <v>0.99003090000000005</v>
      </c>
      <c r="C393" s="2">
        <v>0.16798850000000001</v>
      </c>
      <c r="D393" s="2">
        <v>-0.06</v>
      </c>
      <c r="E393" s="2">
        <v>0.95299999999999996</v>
      </c>
      <c r="F393" s="2">
        <f>B393-0.7099321</f>
        <v>0.28009880000000009</v>
      </c>
      <c r="G393" s="2">
        <f>1.380641-B393</f>
        <v>0.39061009999999996</v>
      </c>
    </row>
    <row r="394" spans="1:7" x14ac:dyDescent="0.25">
      <c r="A394" s="36" t="s">
        <v>173</v>
      </c>
      <c r="B394" s="2">
        <v>0.22859570000000001</v>
      </c>
      <c r="C394" s="2">
        <v>4.1465500000000002E-2</v>
      </c>
      <c r="D394" s="2">
        <v>-8.14</v>
      </c>
      <c r="E394" s="2">
        <v>0</v>
      </c>
      <c r="F394" s="2">
        <f>B394-0.1602015</f>
        <v>6.8394200000000016E-2</v>
      </c>
      <c r="G394" s="2">
        <f>0.3261891-B394</f>
        <v>9.7593399999999997E-2</v>
      </c>
    </row>
    <row r="395" spans="1:7" x14ac:dyDescent="0.25">
      <c r="A395" s="36" t="s">
        <v>174</v>
      </c>
      <c r="B395" s="2">
        <v>0.42505330000000002</v>
      </c>
      <c r="C395" s="2">
        <v>7.7063800000000002E-2</v>
      </c>
      <c r="D395" s="2">
        <v>-4.72</v>
      </c>
      <c r="E395" s="2">
        <v>0</v>
      </c>
      <c r="F395" s="2">
        <f>B395-0.2979321</f>
        <v>0.12712120000000005</v>
      </c>
      <c r="G395" s="2">
        <f>0.6064143-B395</f>
        <v>0.18136099999999994</v>
      </c>
    </row>
    <row r="396" spans="1:7" x14ac:dyDescent="0.25">
      <c r="A396" s="36" t="s">
        <v>175</v>
      </c>
      <c r="B396" s="2">
        <v>0.3563403</v>
      </c>
      <c r="C396" s="2">
        <v>6.2158600000000001E-2</v>
      </c>
      <c r="D396" s="2">
        <v>-5.92</v>
      </c>
      <c r="E396" s="2">
        <v>0</v>
      </c>
      <c r="F396" s="2">
        <f>B396-0.2531539</f>
        <v>0.10318640000000001</v>
      </c>
      <c r="G396" s="2">
        <f>0.5015858-B396</f>
        <v>0.14524549999999997</v>
      </c>
    </row>
    <row r="397" spans="1:7" x14ac:dyDescent="0.25">
      <c r="A397" s="36" t="s">
        <v>176</v>
      </c>
      <c r="B397" s="2">
        <v>0.76298379999999999</v>
      </c>
      <c r="C397" s="2">
        <v>0.13137550000000001</v>
      </c>
      <c r="D397" s="2">
        <v>-1.57</v>
      </c>
      <c r="E397" s="2">
        <v>0.11600000000000001</v>
      </c>
      <c r="F397" s="2">
        <f>B397-0.5444399</f>
        <v>0.21854390000000001</v>
      </c>
      <c r="G397" s="2">
        <f>1.069254-B397</f>
        <v>0.30627019999999994</v>
      </c>
    </row>
    <row r="398" spans="1:7" x14ac:dyDescent="0.25">
      <c r="A398" s="36" t="s">
        <v>177</v>
      </c>
      <c r="B398" s="2">
        <v>1.4657020000000001</v>
      </c>
      <c r="C398" s="2">
        <v>0.24036930000000001</v>
      </c>
      <c r="D398" s="2">
        <v>2.33</v>
      </c>
      <c r="E398" s="2">
        <v>0.02</v>
      </c>
      <c r="F398" s="2">
        <f>B398-1.062801</f>
        <v>0.40290099999999995</v>
      </c>
      <c r="G398" s="2">
        <f>2.02134-B398</f>
        <v>0.55563799999999985</v>
      </c>
    </row>
    <row r="399" spans="1:7" x14ac:dyDescent="0.25">
      <c r="A399" s="36" t="s">
        <v>178</v>
      </c>
      <c r="B399" s="2">
        <v>2.2704710000000001</v>
      </c>
      <c r="C399" s="2">
        <v>0.37513069999999998</v>
      </c>
      <c r="D399" s="2">
        <v>4.96</v>
      </c>
      <c r="E399" s="2">
        <v>0</v>
      </c>
      <c r="F399" s="2">
        <f>B399-1.642401</f>
        <v>0.62807000000000013</v>
      </c>
      <c r="G399" s="2">
        <f>3.138721-B399</f>
        <v>0.86824999999999974</v>
      </c>
    </row>
    <row r="400" spans="1:7" x14ac:dyDescent="0.25">
      <c r="A400" s="36" t="s">
        <v>179</v>
      </c>
      <c r="B400" s="2">
        <v>1.2908930000000001</v>
      </c>
      <c r="C400" s="2">
        <v>0.21243020000000001</v>
      </c>
      <c r="D400" s="2">
        <v>1.55</v>
      </c>
      <c r="E400" s="2">
        <v>0.121</v>
      </c>
      <c r="F400" s="2">
        <f>B400-0.9350097</f>
        <v>0.35588330000000001</v>
      </c>
      <c r="G400" s="2">
        <f>1.782233-B400</f>
        <v>0.49133999999999989</v>
      </c>
    </row>
    <row r="401" spans="1:7" x14ac:dyDescent="0.25">
      <c r="A401" s="36" t="s">
        <v>180</v>
      </c>
      <c r="B401" s="2">
        <v>1.6289309999999999</v>
      </c>
      <c r="C401" s="2">
        <v>0.27153179999999999</v>
      </c>
      <c r="D401" s="2">
        <v>2.93</v>
      </c>
      <c r="E401" s="2">
        <v>3.0000000000000001E-3</v>
      </c>
      <c r="F401" s="2">
        <f>B401-1.174933</f>
        <v>0.4539979999999999</v>
      </c>
      <c r="G401" s="2">
        <f>2.258355-B401</f>
        <v>0.62942399999999998</v>
      </c>
    </row>
    <row r="402" spans="1:7" x14ac:dyDescent="0.25">
      <c r="A402" s="36" t="s">
        <v>181</v>
      </c>
      <c r="B402" s="2">
        <v>0.13278719999999999</v>
      </c>
      <c r="C402" s="2">
        <v>2.59437E-2</v>
      </c>
      <c r="D402" s="2">
        <v>-10.33</v>
      </c>
      <c r="E402" s="2">
        <v>0</v>
      </c>
      <c r="F402" s="2">
        <f>B402-0.090542</f>
        <v>4.2245199999999997E-2</v>
      </c>
      <c r="G402" s="2">
        <f>0.1947433-B402</f>
        <v>6.1956100000000014E-2</v>
      </c>
    </row>
    <row r="403" spans="1:7" x14ac:dyDescent="0.25">
      <c r="A403" s="36" t="s">
        <v>182</v>
      </c>
      <c r="B403" s="2">
        <v>0.24816779999999999</v>
      </c>
      <c r="C403" s="2">
        <v>4.7701199999999999E-2</v>
      </c>
      <c r="D403" s="2">
        <v>-7.25</v>
      </c>
      <c r="E403" s="2">
        <v>0</v>
      </c>
      <c r="F403" s="2">
        <f>B403-0.170268</f>
        <v>7.7899799999999991E-2</v>
      </c>
      <c r="G403" s="2">
        <f>0.3617077-B403</f>
        <v>0.11353990000000003</v>
      </c>
    </row>
    <row r="404" spans="1:7" x14ac:dyDescent="0.25">
      <c r="A404" s="36" t="s">
        <v>183</v>
      </c>
      <c r="B404" s="2">
        <v>0.46895730000000002</v>
      </c>
      <c r="C404" s="2">
        <v>8.0208299999999996E-2</v>
      </c>
      <c r="D404" s="2">
        <v>-4.43</v>
      </c>
      <c r="E404" s="2">
        <v>0</v>
      </c>
      <c r="F404" s="2">
        <f>B404-0.3353882</f>
        <v>0.1335691</v>
      </c>
      <c r="G404" s="2">
        <f>0.6557206-B404</f>
        <v>0.18676329999999997</v>
      </c>
    </row>
    <row r="405" spans="1:7" x14ac:dyDescent="0.25">
      <c r="A405" s="36" t="s">
        <v>184</v>
      </c>
      <c r="B405" s="2">
        <v>0.58609829999999996</v>
      </c>
      <c r="C405" s="2">
        <v>0.1025652</v>
      </c>
      <c r="D405" s="2">
        <v>-3.05</v>
      </c>
      <c r="E405" s="2">
        <v>2E-3</v>
      </c>
      <c r="F405" s="2">
        <f>B405-0.4159231</f>
        <v>0.17017519999999997</v>
      </c>
      <c r="G405" s="2">
        <f>0.8259008-B405</f>
        <v>0.23980250000000003</v>
      </c>
    </row>
    <row r="406" spans="1:7" x14ac:dyDescent="0.25">
      <c r="A406" s="36" t="s">
        <v>185</v>
      </c>
      <c r="B406" s="2">
        <v>0.1176595</v>
      </c>
      <c r="C406" s="2">
        <v>2.35257E-2</v>
      </c>
      <c r="D406" s="2">
        <v>-10.7</v>
      </c>
      <c r="E406" s="2">
        <v>0</v>
      </c>
      <c r="F406" s="2">
        <f>B406-0.0795119</f>
        <v>3.8147600000000004E-2</v>
      </c>
      <c r="G406" s="2">
        <f>0.1741094-B406</f>
        <v>5.6449899999999997E-2</v>
      </c>
    </row>
    <row r="407" spans="1:7" x14ac:dyDescent="0.25">
      <c r="A407" s="36" t="s">
        <v>186</v>
      </c>
      <c r="B407" s="2">
        <v>0.1874459</v>
      </c>
      <c r="C407" s="2">
        <v>3.84894E-2</v>
      </c>
      <c r="D407" s="2">
        <v>-8.15</v>
      </c>
      <c r="E407" s="2">
        <v>0</v>
      </c>
      <c r="F407" s="2">
        <f>B407-0.1253411</f>
        <v>6.2104799999999988E-2</v>
      </c>
      <c r="G407" s="2">
        <f>0.2803227-B407</f>
        <v>9.2876799999999982E-2</v>
      </c>
    </row>
    <row r="408" spans="1:7" x14ac:dyDescent="0.25">
      <c r="A408" s="36" t="s">
        <v>187</v>
      </c>
      <c r="B408" s="2">
        <v>0.2101063</v>
      </c>
      <c r="C408" s="2">
        <v>3.8572200000000001E-2</v>
      </c>
      <c r="D408" s="2">
        <v>-8.5</v>
      </c>
      <c r="E408" s="2">
        <v>0</v>
      </c>
      <c r="F408" s="2">
        <f>B408-0.1466129</f>
        <v>6.3493400000000005E-2</v>
      </c>
      <c r="G408" s="2">
        <f>0.3010968-B408</f>
        <v>9.0990500000000002E-2</v>
      </c>
    </row>
    <row r="409" spans="1:7" x14ac:dyDescent="0.25">
      <c r="A409" s="36" t="s">
        <v>188</v>
      </c>
      <c r="B409" s="2">
        <v>0.4276934</v>
      </c>
      <c r="C409" s="2">
        <v>7.7130699999999996E-2</v>
      </c>
      <c r="D409" s="2">
        <v>-4.71</v>
      </c>
      <c r="E409" s="2">
        <v>0</v>
      </c>
      <c r="F409" s="2">
        <f>B409-0.3003488</f>
        <v>0.12734459999999997</v>
      </c>
      <c r="G409" s="40">
        <f>0.6090306-B409</f>
        <v>0.18133719999999998</v>
      </c>
    </row>
    <row r="410" spans="1:7" x14ac:dyDescent="0.25">
      <c r="A410" s="36" t="s">
        <v>273</v>
      </c>
      <c r="B410" s="2">
        <v>1.8831439999999999</v>
      </c>
      <c r="C410" s="2">
        <v>0.34172000000000002</v>
      </c>
      <c r="D410" s="2">
        <v>3.49</v>
      </c>
      <c r="E410" s="2">
        <v>0</v>
      </c>
      <c r="F410" s="2">
        <f>B410-1.319539</f>
        <v>0.56360499999999991</v>
      </c>
      <c r="G410" s="2">
        <f>2.687477-B410</f>
        <v>0.80433299999999996</v>
      </c>
    </row>
    <row r="411" spans="1:7" x14ac:dyDescent="0.25">
      <c r="A411" s="36" t="s">
        <v>274</v>
      </c>
      <c r="B411" s="2">
        <v>2.9077809999999999</v>
      </c>
      <c r="C411" s="2">
        <v>0.51380190000000003</v>
      </c>
      <c r="D411" s="2">
        <v>6.04</v>
      </c>
      <c r="E411" s="2">
        <v>0</v>
      </c>
      <c r="F411" s="2">
        <f>B411-2.056626</f>
        <v>0.85115499999999988</v>
      </c>
      <c r="G411" s="2">
        <f>4.111195-B411</f>
        <v>1.2034140000000004</v>
      </c>
    </row>
    <row r="412" spans="1:7" x14ac:dyDescent="0.25">
      <c r="A412" s="36" t="s">
        <v>275</v>
      </c>
      <c r="B412" s="2">
        <v>8.4826299999999993E-2</v>
      </c>
      <c r="C412" s="2">
        <v>4.04138E-2</v>
      </c>
      <c r="D412" s="2">
        <v>-5.18</v>
      </c>
      <c r="E412" s="2">
        <v>0</v>
      </c>
      <c r="F412" s="2">
        <f>B412-0.033342</f>
        <v>5.1484299999999997E-2</v>
      </c>
      <c r="G412" s="2">
        <f>0.2158087-B412</f>
        <v>0.1309824</v>
      </c>
    </row>
    <row r="413" spans="1:7" x14ac:dyDescent="0.25">
      <c r="A413" s="36" t="s">
        <v>276</v>
      </c>
      <c r="B413" s="2">
        <v>0.28739690000000001</v>
      </c>
      <c r="C413" s="2">
        <v>8.3678199999999994E-2</v>
      </c>
      <c r="D413" s="2">
        <v>-4.28</v>
      </c>
      <c r="E413" s="2">
        <v>0</v>
      </c>
      <c r="F413" s="2">
        <f>B413-0.1624229</f>
        <v>0.124974</v>
      </c>
      <c r="G413" s="2">
        <f>0.5085307-B413</f>
        <v>0.22113379999999999</v>
      </c>
    </row>
    <row r="414" spans="1:7" x14ac:dyDescent="0.25">
      <c r="A414" s="36" t="s">
        <v>277</v>
      </c>
      <c r="B414" s="2">
        <v>0.23751369999999999</v>
      </c>
      <c r="C414" s="2">
        <v>7.3654499999999998E-2</v>
      </c>
      <c r="D414" s="2">
        <v>-4.6399999999999997</v>
      </c>
      <c r="E414" s="2">
        <v>0</v>
      </c>
      <c r="F414" s="2">
        <f>B414-0.1293378</f>
        <v>0.10817589999999999</v>
      </c>
      <c r="G414" s="2">
        <f>0.4361658-B414</f>
        <v>0.1986521</v>
      </c>
    </row>
    <row r="415" spans="1:7" x14ac:dyDescent="0.25">
      <c r="A415" s="36" t="s">
        <v>278</v>
      </c>
      <c r="B415" s="2">
        <v>0.3212083</v>
      </c>
      <c r="C415" s="2">
        <v>8.9308700000000005E-2</v>
      </c>
      <c r="D415" s="2">
        <v>-4.08</v>
      </c>
      <c r="E415" s="2">
        <v>0</v>
      </c>
      <c r="F415" s="2">
        <f>B415-0.1862598</f>
        <v>0.1349485</v>
      </c>
      <c r="G415" s="2">
        <f>0.5539297-B415</f>
        <v>0.23272139999999997</v>
      </c>
    </row>
    <row r="416" spans="1:7" x14ac:dyDescent="0.25">
      <c r="A416" s="36" t="s">
        <v>279</v>
      </c>
      <c r="B416" s="2">
        <v>1.238464</v>
      </c>
      <c r="C416" s="2">
        <v>0.25385590000000002</v>
      </c>
      <c r="D416" s="2">
        <v>1.04</v>
      </c>
      <c r="E416" s="2">
        <v>0.29699999999999999</v>
      </c>
      <c r="F416" s="2">
        <f>B416-0.8287188</f>
        <v>0.40974520000000003</v>
      </c>
      <c r="G416" s="2">
        <f>1.850801-B416</f>
        <v>0.61233699999999991</v>
      </c>
    </row>
    <row r="417" spans="1:22" x14ac:dyDescent="0.25">
      <c r="A417" s="36" t="s">
        <v>280</v>
      </c>
      <c r="B417" s="2">
        <v>2.451327</v>
      </c>
      <c r="C417" s="2">
        <v>0.44980870000000001</v>
      </c>
      <c r="D417" s="2">
        <v>4.8899999999999997</v>
      </c>
      <c r="E417" s="2">
        <v>0</v>
      </c>
      <c r="F417" s="2">
        <f>B417-1.710839</f>
        <v>0.74048800000000004</v>
      </c>
      <c r="G417" s="2">
        <f>3.512314-B417</f>
        <v>1.0609869999999999</v>
      </c>
    </row>
    <row r="418" spans="1:22" x14ac:dyDescent="0.25">
      <c r="A418" s="36" t="s">
        <v>281</v>
      </c>
      <c r="B418" s="2">
        <v>1.628665</v>
      </c>
      <c r="C418" s="2">
        <v>0.31954739999999998</v>
      </c>
      <c r="D418" s="2">
        <v>2.4900000000000002</v>
      </c>
      <c r="E418" s="2">
        <v>1.2999999999999999E-2</v>
      </c>
      <c r="F418" s="2">
        <f>B418-1.108726</f>
        <v>0.51993899999999993</v>
      </c>
      <c r="G418" s="2">
        <f>2.39243-B418</f>
        <v>0.76376500000000003</v>
      </c>
    </row>
    <row r="419" spans="1:22" x14ac:dyDescent="0.25">
      <c r="A419" s="36" t="s">
        <v>282</v>
      </c>
      <c r="B419" s="2">
        <v>2.5696669999999999</v>
      </c>
      <c r="C419" s="2">
        <v>0.4666612</v>
      </c>
      <c r="D419" s="2">
        <v>5.2</v>
      </c>
      <c r="E419" s="2">
        <v>0</v>
      </c>
      <c r="F419" s="2">
        <f>B419-1.800095</f>
        <v>0.76957199999999992</v>
      </c>
      <c r="G419" s="2">
        <f>3.668244-B419</f>
        <v>1.0985770000000001</v>
      </c>
    </row>
    <row r="420" spans="1:22" x14ac:dyDescent="0.25">
      <c r="A420" s="36" t="s">
        <v>283</v>
      </c>
      <c r="B420" s="2">
        <v>0.33930519999999997</v>
      </c>
      <c r="C420" s="2">
        <v>9.3283000000000005E-2</v>
      </c>
      <c r="D420" s="2">
        <v>-3.93</v>
      </c>
      <c r="E420" s="2">
        <v>0</v>
      </c>
      <c r="F420" s="2">
        <f>B420-0.197959</f>
        <v>0.14134619999999998</v>
      </c>
      <c r="G420" s="2">
        <f>0.5815753-B420</f>
        <v>0.24227010000000004</v>
      </c>
    </row>
    <row r="421" spans="1:22" x14ac:dyDescent="0.25">
      <c r="A421" s="36" t="s">
        <v>284</v>
      </c>
      <c r="B421" s="2">
        <v>0.47335969999999999</v>
      </c>
      <c r="C421" s="2">
        <v>0.11740929999999999</v>
      </c>
      <c r="D421" s="2">
        <v>-3.02</v>
      </c>
      <c r="E421" s="2">
        <v>3.0000000000000001E-3</v>
      </c>
      <c r="F421" s="2">
        <f>B421-0.2911148</f>
        <v>0.18224489999999999</v>
      </c>
      <c r="G421" s="2">
        <f>0.7696942-B421</f>
        <v>0.2963345</v>
      </c>
    </row>
    <row r="422" spans="1:22" x14ac:dyDescent="0.25">
      <c r="A422" s="36" t="s">
        <v>285</v>
      </c>
      <c r="B422" s="2">
        <v>0.42413149999999999</v>
      </c>
      <c r="C422" s="2">
        <v>0.1077883</v>
      </c>
      <c r="D422" s="2">
        <v>-3.37</v>
      </c>
      <c r="E422" s="2">
        <v>1E-3</v>
      </c>
      <c r="F422" s="2">
        <f>B422-0.2577372</f>
        <v>0.16639429999999999</v>
      </c>
      <c r="G422" s="2">
        <f>0.6979494-B422</f>
        <v>0.27381790000000006</v>
      </c>
    </row>
    <row r="423" spans="1:22" x14ac:dyDescent="0.25">
      <c r="A423" s="36" t="s">
        <v>286</v>
      </c>
      <c r="B423" s="2">
        <v>0.59169959999999999</v>
      </c>
      <c r="C423" s="2">
        <v>0.1397369</v>
      </c>
      <c r="D423" s="2">
        <v>-2.2200000000000002</v>
      </c>
      <c r="E423" s="2">
        <v>2.5999999999999999E-2</v>
      </c>
      <c r="F423" s="2">
        <f>B423-0.3724602</f>
        <v>0.21923939999999997</v>
      </c>
      <c r="G423" s="2">
        <f>0.9399888-B423</f>
        <v>0.34828919999999997</v>
      </c>
    </row>
    <row r="424" spans="1:22" x14ac:dyDescent="0.25">
      <c r="A424" s="36" t="s">
        <v>287</v>
      </c>
      <c r="B424" s="2">
        <v>0.1017916</v>
      </c>
      <c r="C424" s="2">
        <v>5.0609500000000002E-2</v>
      </c>
      <c r="D424" s="2">
        <v>-4.5999999999999996</v>
      </c>
      <c r="E424" s="2">
        <v>0</v>
      </c>
      <c r="F424" s="2">
        <f>B424-0.0384154</f>
        <v>6.3376199999999994E-2</v>
      </c>
      <c r="G424" s="2">
        <f>0.2697232-B424</f>
        <v>0.16793160000000001</v>
      </c>
    </row>
    <row r="425" spans="1:22" x14ac:dyDescent="0.25">
      <c r="A425" s="36" t="s">
        <v>288</v>
      </c>
      <c r="B425" s="2">
        <v>5.0717100000000001E-2</v>
      </c>
      <c r="C425" s="2">
        <v>3.03795E-2</v>
      </c>
      <c r="D425" s="2">
        <v>-4.9800000000000004</v>
      </c>
      <c r="E425" s="2">
        <v>0</v>
      </c>
      <c r="F425" s="2">
        <f>B425-0.0156778</f>
        <v>3.5039300000000002E-2</v>
      </c>
      <c r="G425" s="2">
        <f>0.164068-B425</f>
        <v>0.11335089999999999</v>
      </c>
    </row>
    <row r="426" spans="1:22" x14ac:dyDescent="0.25">
      <c r="A426" s="36" t="s">
        <v>289</v>
      </c>
      <c r="B426" s="2">
        <v>0.1187568</v>
      </c>
      <c r="C426" s="2">
        <v>4.8688299999999997E-2</v>
      </c>
      <c r="D426" s="2">
        <v>-5.2</v>
      </c>
      <c r="E426" s="2">
        <v>0</v>
      </c>
      <c r="F426" s="2">
        <f>B426-0.0531717</f>
        <v>6.5585099999999993E-2</v>
      </c>
      <c r="G426" s="2">
        <f>0.2652386-B426</f>
        <v>0.1464818</v>
      </c>
    </row>
    <row r="427" spans="1:22" x14ac:dyDescent="0.25">
      <c r="A427" s="36" t="s">
        <v>290</v>
      </c>
      <c r="B427" s="2">
        <v>0.40573690000000001</v>
      </c>
      <c r="C427" s="2">
        <v>0.1056542</v>
      </c>
      <c r="D427" s="2">
        <v>-3.46</v>
      </c>
      <c r="E427" s="2">
        <v>1E-3</v>
      </c>
      <c r="F427" s="2">
        <f>B427-0.2435515</f>
        <v>0.16218540000000001</v>
      </c>
      <c r="G427" s="2">
        <f>0.6759243-B427</f>
        <v>0.27018740000000002</v>
      </c>
    </row>
    <row r="428" spans="1:22" x14ac:dyDescent="0.25">
      <c r="A428" s="36"/>
      <c r="B428" s="3"/>
      <c r="C428" s="3"/>
      <c r="D428" s="3"/>
      <c r="E428" s="3"/>
      <c r="F428" s="3"/>
      <c r="G428" s="3"/>
    </row>
    <row r="429" spans="1:22" x14ac:dyDescent="0.25">
      <c r="A429" s="5" t="s">
        <v>6</v>
      </c>
      <c r="B429" s="6">
        <v>2.6151999999999998E-3</v>
      </c>
      <c r="C429" s="6">
        <v>4.2630000000000001E-4</v>
      </c>
      <c r="D429" s="6">
        <v>-36.479999999999997</v>
      </c>
      <c r="E429" s="6">
        <v>0</v>
      </c>
      <c r="F429" s="6">
        <v>1.9E-3</v>
      </c>
      <c r="G429" s="6">
        <v>3.5996999999999999E-3</v>
      </c>
    </row>
    <row r="431" spans="1:22" ht="14.45" customHeight="1" thickBot="1" x14ac:dyDescent="0.3">
      <c r="N431" s="7"/>
      <c r="O431" s="7"/>
      <c r="P431" s="7"/>
      <c r="Q431" s="9"/>
      <c r="R431" s="7"/>
      <c r="S431" s="7"/>
      <c r="U431" s="9"/>
      <c r="V431" s="9"/>
    </row>
    <row r="432" spans="1:22" x14ac:dyDescent="0.25">
      <c r="A432" s="10"/>
      <c r="B432" s="11"/>
      <c r="C432" s="11" t="s">
        <v>9</v>
      </c>
      <c r="D432" s="11" t="s">
        <v>40</v>
      </c>
      <c r="E432" s="11" t="s">
        <v>11</v>
      </c>
      <c r="F432" s="11" t="s">
        <v>7</v>
      </c>
      <c r="G432" s="11" t="s">
        <v>8</v>
      </c>
      <c r="H432" s="11" t="s">
        <v>62</v>
      </c>
      <c r="I432" s="11" t="s">
        <v>63</v>
      </c>
      <c r="J432" s="11" t="s">
        <v>64</v>
      </c>
      <c r="K432" s="12" t="s">
        <v>65</v>
      </c>
      <c r="N432" s="2">
        <v>0.12529249999999997</v>
      </c>
      <c r="O432" s="2">
        <v>0.23633240000000005</v>
      </c>
      <c r="P432" s="2">
        <v>0.43571859999999996</v>
      </c>
      <c r="Q432" s="2">
        <v>0.66419200000000012</v>
      </c>
      <c r="R432" s="2">
        <v>0.17082180000000002</v>
      </c>
      <c r="S432" s="2">
        <v>0.29814659999999993</v>
      </c>
      <c r="U432" s="2"/>
      <c r="V432" s="2"/>
    </row>
    <row r="433" spans="1:22" x14ac:dyDescent="0.25">
      <c r="A433" s="13" t="s">
        <v>105</v>
      </c>
      <c r="B433" s="7" t="s">
        <v>152</v>
      </c>
      <c r="C433" s="14">
        <f>B374</f>
        <v>0.26666669999999998</v>
      </c>
      <c r="D433" s="15">
        <f>B376</f>
        <v>0.6</v>
      </c>
      <c r="E433" s="15">
        <f>B378</f>
        <v>0.91111109999999995</v>
      </c>
      <c r="F433" s="15">
        <f>B380</f>
        <v>1.266667</v>
      </c>
      <c r="G433" s="15">
        <f>B382</f>
        <v>1</v>
      </c>
      <c r="H433" s="15">
        <f>B384</f>
        <v>0.13333329999999999</v>
      </c>
      <c r="I433" s="16">
        <f>B386</f>
        <v>0.4</v>
      </c>
      <c r="J433" s="16">
        <f>B388</f>
        <v>0.42222219999999999</v>
      </c>
      <c r="K433" s="17">
        <f>B390</f>
        <v>0.6</v>
      </c>
      <c r="N433" s="2">
        <v>0.27877769999999996</v>
      </c>
      <c r="O433" s="2">
        <v>0.51879710000000001</v>
      </c>
      <c r="P433" s="2">
        <v>0.80564499999999972</v>
      </c>
      <c r="Q433" s="2">
        <v>1.278416</v>
      </c>
      <c r="R433" s="2">
        <v>0.31176029999999999</v>
      </c>
      <c r="S433" s="2">
        <v>0.56519059999999999</v>
      </c>
      <c r="U433" s="2"/>
      <c r="V433" s="2"/>
    </row>
    <row r="434" spans="1:22" x14ac:dyDescent="0.25">
      <c r="A434" s="13"/>
      <c r="B434" s="7" t="s">
        <v>372</v>
      </c>
      <c r="C434" s="15">
        <f>B375</f>
        <v>0.60257289999999997</v>
      </c>
      <c r="D434" s="15">
        <f>B377</f>
        <v>0.92703519999999995</v>
      </c>
      <c r="E434" s="15">
        <f>B379</f>
        <v>1.622312</v>
      </c>
      <c r="F434" s="15">
        <f>B381</f>
        <v>2.1785329999999998</v>
      </c>
      <c r="G434" s="15">
        <f>B383</f>
        <v>1.8540700000000001</v>
      </c>
      <c r="H434" s="15">
        <f>B385</f>
        <v>0.23175879999999999</v>
      </c>
      <c r="I434" s="16">
        <f>B387</f>
        <v>0.69527640000000002</v>
      </c>
      <c r="J434" s="16">
        <f>B389</f>
        <v>0.74162819999999996</v>
      </c>
      <c r="K434" s="39">
        <f>B391</f>
        <v>1.2051460000000001</v>
      </c>
      <c r="N434" s="2">
        <v>0.56360499999999991</v>
      </c>
      <c r="O434" s="2">
        <v>0.80433299999999996</v>
      </c>
      <c r="P434" s="2">
        <v>0.40974520000000003</v>
      </c>
      <c r="Q434" s="2">
        <v>0.61233699999999991</v>
      </c>
      <c r="R434" s="2">
        <v>0.16639429999999999</v>
      </c>
      <c r="S434" s="2">
        <v>0.27381790000000006</v>
      </c>
      <c r="U434" s="2"/>
      <c r="V434" s="2"/>
    </row>
    <row r="435" spans="1:22" x14ac:dyDescent="0.25">
      <c r="A435" s="24" t="s">
        <v>106</v>
      </c>
      <c r="B435" s="7" t="s">
        <v>152</v>
      </c>
      <c r="C435" s="25">
        <f>B410</f>
        <v>1.8831439999999999</v>
      </c>
      <c r="D435" s="15">
        <f>B412</f>
        <v>8.4826299999999993E-2</v>
      </c>
      <c r="E435" s="15">
        <f>B414</f>
        <v>0.23751369999999999</v>
      </c>
      <c r="F435" s="15">
        <f>B416</f>
        <v>1.238464</v>
      </c>
      <c r="G435" s="15">
        <f>B418</f>
        <v>1.628665</v>
      </c>
      <c r="H435" s="15">
        <f>B420</f>
        <v>0.33930519999999997</v>
      </c>
      <c r="I435" s="16">
        <f>B422</f>
        <v>0.42413149999999999</v>
      </c>
      <c r="J435" s="16">
        <f>B424</f>
        <v>0.1017916</v>
      </c>
      <c r="K435" s="17">
        <f>B426</f>
        <v>0.1187568</v>
      </c>
      <c r="N435" s="2">
        <v>0.85115499999999988</v>
      </c>
      <c r="O435" s="2">
        <v>1.2034140000000004</v>
      </c>
      <c r="P435" s="2">
        <v>0.74048800000000004</v>
      </c>
      <c r="Q435" s="2">
        <v>1.0609869999999999</v>
      </c>
      <c r="R435" s="2">
        <v>0.21923939999999997</v>
      </c>
      <c r="S435" s="2">
        <v>0.34828919999999997</v>
      </c>
      <c r="U435" s="2"/>
      <c r="V435" s="2"/>
    </row>
    <row r="436" spans="1:22" ht="15.75" thickBot="1" x14ac:dyDescent="0.3">
      <c r="A436" s="26"/>
      <c r="B436" s="27" t="s">
        <v>372</v>
      </c>
      <c r="C436" s="28">
        <f>B411</f>
        <v>2.9077809999999999</v>
      </c>
      <c r="D436" s="29">
        <f>B413</f>
        <v>0.28739690000000001</v>
      </c>
      <c r="E436" s="29">
        <f>B415</f>
        <v>0.3212083</v>
      </c>
      <c r="F436" s="28">
        <f>B417</f>
        <v>2.451327</v>
      </c>
      <c r="G436" s="28">
        <f>B419</f>
        <v>2.5696669999999999</v>
      </c>
      <c r="H436" s="29">
        <f>B421</f>
        <v>0.47335969999999999</v>
      </c>
      <c r="I436" s="28">
        <f>B423</f>
        <v>0.59169959999999999</v>
      </c>
      <c r="J436" s="29">
        <f>B425</f>
        <v>5.0717100000000001E-2</v>
      </c>
      <c r="K436" s="31">
        <f>B427</f>
        <v>0.40573690000000001</v>
      </c>
      <c r="N436" s="2">
        <v>0.23203369999999995</v>
      </c>
      <c r="O436" s="2">
        <v>0.37835039999999998</v>
      </c>
      <c r="P436" s="2">
        <v>0</v>
      </c>
      <c r="Q436" s="2">
        <v>0</v>
      </c>
      <c r="R436" s="2">
        <v>0.17580499999999999</v>
      </c>
      <c r="S436" s="2">
        <v>0.3012321</v>
      </c>
      <c r="U436" s="2"/>
      <c r="V436" s="2"/>
    </row>
    <row r="437" spans="1:22" x14ac:dyDescent="0.25">
      <c r="N437" s="2">
        <v>0.40119569999999993</v>
      </c>
      <c r="O437" s="2">
        <v>0.70729280000000005</v>
      </c>
      <c r="P437" s="2">
        <v>0.67061200000000021</v>
      </c>
      <c r="Q437" s="2">
        <v>1.0506199999999999</v>
      </c>
      <c r="R437" s="2">
        <v>0.33916929999999995</v>
      </c>
      <c r="S437" s="2">
        <v>0.62500180000000005</v>
      </c>
      <c r="U437" s="2"/>
      <c r="V437" s="2"/>
    </row>
    <row r="438" spans="1:22" x14ac:dyDescent="0.25">
      <c r="N438" s="2">
        <v>5.1484299999999997E-2</v>
      </c>
      <c r="O438" s="2">
        <v>0.1309824</v>
      </c>
      <c r="P438" s="2">
        <v>0.51993899999999993</v>
      </c>
      <c r="Q438" s="2">
        <v>0.76376500000000003</v>
      </c>
      <c r="R438" s="2">
        <v>6.3376199999999994E-2</v>
      </c>
      <c r="S438" s="2">
        <v>0.16793160000000001</v>
      </c>
      <c r="U438" s="2"/>
      <c r="V438" s="2"/>
    </row>
    <row r="439" spans="1:22" x14ac:dyDescent="0.25">
      <c r="N439" s="2">
        <v>0.124974</v>
      </c>
      <c r="O439" s="2">
        <v>0.22113379999999999</v>
      </c>
      <c r="P439" s="2">
        <v>0.76957199999999992</v>
      </c>
      <c r="Q439" s="2">
        <v>1.0985770000000001</v>
      </c>
      <c r="R439" s="2">
        <v>3.5039300000000002E-2</v>
      </c>
      <c r="S439" s="2">
        <v>0.11335089999999999</v>
      </c>
      <c r="U439" s="2"/>
      <c r="V439" s="2"/>
    </row>
    <row r="440" spans="1:22" x14ac:dyDescent="0.25">
      <c r="N440" s="2">
        <v>0.31939149999999994</v>
      </c>
      <c r="O440" s="2">
        <v>0.49178890000000008</v>
      </c>
      <c r="P440" s="2">
        <v>7.6829699999999987E-2</v>
      </c>
      <c r="Q440" s="2">
        <v>0.1812974</v>
      </c>
      <c r="R440" s="2">
        <v>0.2296301</v>
      </c>
      <c r="S440" s="2">
        <v>0.37200120000000003</v>
      </c>
      <c r="U440" s="2"/>
      <c r="V440" s="2"/>
    </row>
    <row r="441" spans="1:22" x14ac:dyDescent="0.25">
      <c r="N441" s="2">
        <v>0.5882639999999999</v>
      </c>
      <c r="O441" s="2">
        <v>0.92292400000000008</v>
      </c>
      <c r="P441" s="2">
        <v>0.14076339999999998</v>
      </c>
      <c r="Q441" s="2">
        <v>0.35851440000000007</v>
      </c>
      <c r="R441" s="2">
        <v>0.45003710000000008</v>
      </c>
      <c r="S441" s="2">
        <v>0.71825399999999995</v>
      </c>
      <c r="U441" s="2"/>
      <c r="V441" s="2"/>
    </row>
    <row r="442" spans="1:22" x14ac:dyDescent="0.25">
      <c r="N442" s="2">
        <v>0.10817589999999999</v>
      </c>
      <c r="O442" s="2">
        <v>0.1986521</v>
      </c>
      <c r="P442" s="2">
        <v>0.14134619999999998</v>
      </c>
      <c r="Q442" s="2">
        <v>0.24227010000000004</v>
      </c>
      <c r="R442" s="2">
        <v>6.5585099999999993E-2</v>
      </c>
      <c r="S442" s="2">
        <v>0.1464818</v>
      </c>
      <c r="U442" s="2"/>
      <c r="V442" s="2"/>
    </row>
    <row r="443" spans="1:22" x14ac:dyDescent="0.25">
      <c r="N443" s="2">
        <v>0.1349485</v>
      </c>
      <c r="O443" s="2">
        <v>0.23272139999999997</v>
      </c>
      <c r="P443" s="2">
        <v>0.18224489999999999</v>
      </c>
      <c r="Q443" s="2">
        <v>0.2963345</v>
      </c>
      <c r="R443" s="2">
        <v>0.16218540000000001</v>
      </c>
      <c r="S443" s="2">
        <v>0.27018740000000002</v>
      </c>
      <c r="U443" s="2"/>
      <c r="V443" s="2"/>
    </row>
    <row r="444" spans="1:22" x14ac:dyDescent="0.25">
      <c r="N444" s="9"/>
      <c r="O444" s="9"/>
      <c r="P444" s="7"/>
      <c r="Q444" s="7"/>
      <c r="R444" s="7"/>
      <c r="S444" s="7"/>
      <c r="U444" s="2"/>
      <c r="V444" s="2"/>
    </row>
    <row r="445" spans="1:22" x14ac:dyDescent="0.25">
      <c r="N445" s="9"/>
      <c r="O445" s="9"/>
      <c r="P445" s="7"/>
      <c r="Q445" s="7"/>
      <c r="R445" s="7"/>
      <c r="S445" s="9"/>
      <c r="U445" s="2"/>
      <c r="V445" s="2"/>
    </row>
    <row r="446" spans="1:22" x14ac:dyDescent="0.25">
      <c r="N446" s="7"/>
      <c r="O446" s="7"/>
      <c r="P446" s="7"/>
      <c r="Q446" s="7"/>
      <c r="R446" s="23"/>
      <c r="S446" s="23"/>
      <c r="U446" s="2"/>
      <c r="V446" s="2"/>
    </row>
    <row r="447" spans="1:22" x14ac:dyDescent="0.25">
      <c r="N447" s="7"/>
      <c r="O447" s="7"/>
      <c r="P447" s="7"/>
      <c r="Q447" s="7"/>
      <c r="R447" s="7"/>
      <c r="S447" s="7"/>
      <c r="U447" s="2"/>
      <c r="V447" s="2"/>
    </row>
    <row r="448" spans="1:22" x14ac:dyDescent="0.25">
      <c r="N448" s="7"/>
      <c r="O448" s="7"/>
      <c r="P448" s="7"/>
      <c r="Q448" s="7"/>
      <c r="R448" s="23"/>
      <c r="S448" s="23"/>
      <c r="U448" s="2"/>
      <c r="V448" s="2"/>
    </row>
    <row r="449" spans="14:22" x14ac:dyDescent="0.25">
      <c r="N449" s="7"/>
      <c r="O449" s="9"/>
      <c r="P449" s="7"/>
      <c r="Q449" s="7"/>
      <c r="R449" s="7"/>
      <c r="S449" s="7"/>
      <c r="U449" s="2"/>
      <c r="V449" s="2"/>
    </row>
    <row r="450" spans="14:22" x14ac:dyDescent="0.25">
      <c r="N450" s="7"/>
      <c r="O450" s="7"/>
      <c r="P450" s="7"/>
      <c r="Q450" s="9"/>
      <c r="R450" s="7"/>
      <c r="S450" s="7"/>
      <c r="U450" s="7"/>
      <c r="V450" s="9"/>
    </row>
    <row r="451" spans="14:22" x14ac:dyDescent="0.25">
      <c r="N451" s="7"/>
      <c r="O451" s="7"/>
      <c r="P451" s="7"/>
      <c r="Q451" s="7"/>
      <c r="U451" s="7"/>
      <c r="V451" s="7"/>
    </row>
    <row r="452" spans="14:22" x14ac:dyDescent="0.25">
      <c r="N452" s="7"/>
      <c r="O452" s="7"/>
      <c r="P452" s="7"/>
      <c r="Q452" s="7"/>
      <c r="U452" s="7"/>
      <c r="V452" s="7"/>
    </row>
    <row r="453" spans="14:22" x14ac:dyDescent="0.25">
      <c r="N453" s="7"/>
      <c r="O453" s="7"/>
      <c r="P453" s="7"/>
      <c r="Q453" s="7"/>
      <c r="U453" s="7"/>
      <c r="V453" s="7"/>
    </row>
    <row r="454" spans="14:22" x14ac:dyDescent="0.25">
      <c r="N454" s="9"/>
      <c r="O454" s="9"/>
      <c r="P454" s="7"/>
      <c r="Q454" s="9"/>
      <c r="U454" s="9"/>
      <c r="V454" s="9"/>
    </row>
    <row r="455" spans="14:22" x14ac:dyDescent="0.25">
      <c r="N455" s="7"/>
      <c r="O455" s="7"/>
      <c r="P455" s="7"/>
      <c r="Q455" s="7"/>
      <c r="U455" s="7"/>
      <c r="V455" s="7"/>
    </row>
    <row r="456" spans="14:22" x14ac:dyDescent="0.25">
      <c r="N456" s="7"/>
      <c r="O456" s="7"/>
      <c r="P456" s="7"/>
      <c r="Q456" s="7"/>
      <c r="U456" s="7"/>
      <c r="V456" s="7"/>
    </row>
    <row r="457" spans="14:22" x14ac:dyDescent="0.25">
      <c r="N457" s="7"/>
      <c r="O457" s="7"/>
      <c r="P457" s="7"/>
      <c r="Q457" s="9"/>
      <c r="U457" s="7"/>
      <c r="V457" s="7"/>
    </row>
    <row r="458" spans="14:22" x14ac:dyDescent="0.25">
      <c r="N458" s="23"/>
      <c r="O458" s="23"/>
      <c r="P458" s="23"/>
      <c r="Q458" s="23"/>
      <c r="U458" s="7"/>
      <c r="V458" s="7"/>
    </row>
    <row r="459" spans="14:22" x14ac:dyDescent="0.25">
      <c r="N459" s="7"/>
      <c r="O459" s="7"/>
      <c r="U459" s="7"/>
      <c r="V459" s="7"/>
    </row>
    <row r="460" spans="14:22" x14ac:dyDescent="0.25">
      <c r="N460" s="7"/>
      <c r="O460" s="7"/>
      <c r="U460" s="23"/>
      <c r="V460" s="23"/>
    </row>
    <row r="461" spans="14:22" x14ac:dyDescent="0.25">
      <c r="N461" s="7"/>
      <c r="O461" s="9"/>
      <c r="U461" s="7"/>
      <c r="V461" s="7"/>
    </row>
    <row r="462" spans="14:22" x14ac:dyDescent="0.25">
      <c r="N462" s="7"/>
      <c r="O462" s="9"/>
      <c r="U462" s="7"/>
      <c r="V462" s="7"/>
    </row>
    <row r="463" spans="14:22" x14ac:dyDescent="0.25">
      <c r="N463" s="7"/>
      <c r="O463" s="7"/>
    </row>
    <row r="464" spans="14:22" x14ac:dyDescent="0.25">
      <c r="N464" s="7"/>
      <c r="O464" s="7"/>
    </row>
    <row r="465" spans="14:15" x14ac:dyDescent="0.25">
      <c r="N465" s="7"/>
      <c r="O465" s="7"/>
    </row>
    <row r="466" spans="14:15" x14ac:dyDescent="0.25">
      <c r="N466" s="7"/>
      <c r="O466" s="9"/>
    </row>
    <row r="467" spans="14:15" x14ac:dyDescent="0.25">
      <c r="N467" s="7"/>
      <c r="O467" s="7"/>
    </row>
    <row r="468" spans="14:15" x14ac:dyDescent="0.25">
      <c r="N468" s="7"/>
      <c r="O468" s="7"/>
    </row>
    <row r="469" spans="14:15" x14ac:dyDescent="0.25">
      <c r="N469" s="7"/>
      <c r="O469" s="9"/>
    </row>
    <row r="470" spans="14:15" x14ac:dyDescent="0.25">
      <c r="N470" s="23"/>
      <c r="O470" s="23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73"/>
  <sheetViews>
    <sheetView topLeftCell="A431" zoomScale="90" zoomScaleNormal="90" workbookViewId="0">
      <selection activeCell="I460" sqref="I460"/>
    </sheetView>
  </sheetViews>
  <sheetFormatPr defaultColWidth="8.7109375" defaultRowHeight="15" x14ac:dyDescent="0.25"/>
  <cols>
    <col min="1" max="1" width="8.7109375" style="4"/>
    <col min="2" max="2" width="9.42578125" style="4" bestFit="1" customWidth="1"/>
    <col min="3" max="5" width="8.7109375" style="4"/>
    <col min="6" max="7" width="10.42578125" style="4" bestFit="1" customWidth="1"/>
    <col min="8" max="8" width="14.7109375" style="4" bestFit="1" customWidth="1"/>
    <col min="9" max="10" width="8.7109375" style="4"/>
    <col min="11" max="12" width="9.140625" style="4" bestFit="1" customWidth="1"/>
    <col min="13" max="16384" width="8.7109375" style="4"/>
  </cols>
  <sheetData>
    <row r="1" spans="1:8" s="1" customFormat="1" x14ac:dyDescent="0.25">
      <c r="A1" s="1" t="s">
        <v>0</v>
      </c>
    </row>
    <row r="2" spans="1:8" s="1" customFormat="1" x14ac:dyDescent="0.25">
      <c r="A2" s="1" t="s">
        <v>320</v>
      </c>
    </row>
    <row r="4" spans="1:8" x14ac:dyDescent="0.25">
      <c r="A4" s="36"/>
      <c r="B4" s="2" t="s">
        <v>1</v>
      </c>
      <c r="C4" s="3"/>
      <c r="D4" s="3"/>
      <c r="E4" s="3"/>
      <c r="F4" s="3"/>
      <c r="G4" s="3"/>
    </row>
    <row r="5" spans="1:8" x14ac:dyDescent="0.25">
      <c r="A5" s="5" t="s">
        <v>2</v>
      </c>
      <c r="B5" s="6" t="s">
        <v>269</v>
      </c>
      <c r="C5" s="6" t="s">
        <v>270</v>
      </c>
      <c r="D5" s="6" t="s">
        <v>3</v>
      </c>
      <c r="E5" s="6" t="s">
        <v>4</v>
      </c>
      <c r="F5" s="6" t="s">
        <v>271</v>
      </c>
      <c r="G5" s="6" t="s">
        <v>272</v>
      </c>
      <c r="H5" s="7"/>
    </row>
    <row r="6" spans="1:8" x14ac:dyDescent="0.25">
      <c r="A6" s="36"/>
      <c r="B6" s="2"/>
      <c r="C6" s="2"/>
      <c r="D6" s="3"/>
      <c r="E6" s="3"/>
      <c r="F6" s="3"/>
      <c r="G6" s="3"/>
    </row>
    <row r="7" spans="1:8" x14ac:dyDescent="0.25">
      <c r="A7" s="36" t="s">
        <v>5</v>
      </c>
      <c r="B7" s="3"/>
      <c r="C7" s="3"/>
      <c r="D7" s="3"/>
      <c r="E7" s="3"/>
      <c r="F7" s="3"/>
      <c r="G7" s="3"/>
    </row>
    <row r="8" spans="1:8" x14ac:dyDescent="0.25">
      <c r="A8" s="36" t="s">
        <v>46</v>
      </c>
      <c r="B8" s="2">
        <v>0.13679250000000001</v>
      </c>
      <c r="C8" s="2">
        <v>1.9515600000000001E-2</v>
      </c>
      <c r="D8" s="2">
        <v>-13.94</v>
      </c>
      <c r="E8" s="2">
        <v>0</v>
      </c>
      <c r="F8" s="2">
        <v>0.1034249</v>
      </c>
      <c r="G8" s="2">
        <v>0.18092539999999999</v>
      </c>
      <c r="H8" s="9"/>
    </row>
    <row r="9" spans="1:8" x14ac:dyDescent="0.25">
      <c r="A9" s="36" t="s">
        <v>16</v>
      </c>
      <c r="B9" s="2">
        <v>0.38837690000000002</v>
      </c>
      <c r="C9" s="2">
        <v>5.6573100000000001E-2</v>
      </c>
      <c r="D9" s="2">
        <v>-6.49</v>
      </c>
      <c r="E9" s="2">
        <v>0</v>
      </c>
      <c r="F9" s="2">
        <v>0.29191919999999999</v>
      </c>
      <c r="G9" s="2">
        <v>0.51670669999999996</v>
      </c>
    </row>
    <row r="10" spans="1:8" x14ac:dyDescent="0.25">
      <c r="A10" s="36" t="s">
        <v>17</v>
      </c>
      <c r="B10" s="2">
        <v>0.82879369999999997</v>
      </c>
      <c r="C10" s="2">
        <v>8.6377499999999996E-2</v>
      </c>
      <c r="D10" s="2">
        <v>-1.8</v>
      </c>
      <c r="E10" s="2">
        <v>7.1999999999999995E-2</v>
      </c>
      <c r="F10" s="2">
        <v>0.6756683</v>
      </c>
      <c r="G10" s="2">
        <v>1.0166219999999999</v>
      </c>
    </row>
    <row r="11" spans="1:8" x14ac:dyDescent="0.25">
      <c r="A11" s="36" t="s">
        <v>18</v>
      </c>
      <c r="B11" s="2">
        <v>0.64377309999999999</v>
      </c>
      <c r="C11" s="2">
        <v>0.15960450000000001</v>
      </c>
      <c r="D11" s="2">
        <v>-1.78</v>
      </c>
      <c r="E11" s="2">
        <v>7.5999999999999998E-2</v>
      </c>
      <c r="F11" s="2">
        <v>0.39600669999999999</v>
      </c>
      <c r="G11" s="2">
        <v>1.0465580000000001</v>
      </c>
      <c r="H11" s="9"/>
    </row>
    <row r="12" spans="1:8" x14ac:dyDescent="0.25">
      <c r="A12" s="36" t="s">
        <v>19</v>
      </c>
      <c r="B12" s="2">
        <v>0.24056620000000001</v>
      </c>
      <c r="C12" s="2">
        <v>2.66015E-2</v>
      </c>
      <c r="D12" s="2">
        <v>-12.88</v>
      </c>
      <c r="E12" s="2">
        <v>0</v>
      </c>
      <c r="F12" s="2">
        <v>0.1936911</v>
      </c>
      <c r="G12" s="2">
        <v>0.29878549999999998</v>
      </c>
      <c r="H12" s="7"/>
    </row>
    <row r="13" spans="1:8" x14ac:dyDescent="0.25">
      <c r="A13" s="36" t="s">
        <v>20</v>
      </c>
      <c r="B13" s="2">
        <v>0.7547701</v>
      </c>
      <c r="C13" s="2">
        <v>8.4064100000000003E-2</v>
      </c>
      <c r="D13" s="2">
        <v>-2.5299999999999998</v>
      </c>
      <c r="E13" s="2">
        <v>1.2E-2</v>
      </c>
      <c r="F13" s="2">
        <v>0.60675069999999998</v>
      </c>
      <c r="G13" s="2">
        <v>0.9388995</v>
      </c>
      <c r="H13" s="7"/>
    </row>
    <row r="14" spans="1:8" x14ac:dyDescent="0.25">
      <c r="A14" s="36" t="s">
        <v>21</v>
      </c>
      <c r="B14" s="2">
        <v>1.073356</v>
      </c>
      <c r="C14" s="2">
        <v>0.1012623</v>
      </c>
      <c r="D14" s="2">
        <v>0.75</v>
      </c>
      <c r="E14" s="2">
        <v>0.45300000000000001</v>
      </c>
      <c r="F14" s="2">
        <v>0.892154</v>
      </c>
      <c r="G14" s="2">
        <v>1.291361</v>
      </c>
      <c r="H14" s="7"/>
    </row>
    <row r="15" spans="1:8" x14ac:dyDescent="0.25">
      <c r="A15" s="36" t="s">
        <v>22</v>
      </c>
      <c r="B15" s="2">
        <v>1.098201</v>
      </c>
      <c r="C15" s="2">
        <v>0.21078459999999999</v>
      </c>
      <c r="D15" s="2">
        <v>0.49</v>
      </c>
      <c r="E15" s="2">
        <v>0.626</v>
      </c>
      <c r="F15" s="2">
        <v>0.75388560000000004</v>
      </c>
      <c r="G15" s="2">
        <v>1.5997729999999999</v>
      </c>
      <c r="H15" s="7"/>
    </row>
    <row r="16" spans="1:8" x14ac:dyDescent="0.25">
      <c r="A16" s="36" t="s">
        <v>23</v>
      </c>
      <c r="B16" s="2">
        <v>0.62735850000000004</v>
      </c>
      <c r="C16" s="2">
        <v>4.9172E-2</v>
      </c>
      <c r="D16" s="2">
        <v>-5.95</v>
      </c>
      <c r="E16" s="2">
        <v>0</v>
      </c>
      <c r="F16" s="2">
        <v>0.53802090000000002</v>
      </c>
      <c r="G16" s="2">
        <v>0.73153049999999997</v>
      </c>
      <c r="H16" s="7"/>
    </row>
    <row r="17" spans="1:8" x14ac:dyDescent="0.25">
      <c r="A17" s="36" t="s">
        <v>24</v>
      </c>
      <c r="B17" s="2">
        <v>1.6414420000000001</v>
      </c>
      <c r="C17" s="2">
        <v>0.1357025</v>
      </c>
      <c r="D17" s="2">
        <v>5.99</v>
      </c>
      <c r="E17" s="2">
        <v>0</v>
      </c>
      <c r="F17" s="2">
        <v>1.3958999999999999</v>
      </c>
      <c r="G17" s="2">
        <v>1.930175</v>
      </c>
      <c r="H17" s="9"/>
    </row>
    <row r="18" spans="1:8" x14ac:dyDescent="0.25">
      <c r="A18" s="36" t="s">
        <v>25</v>
      </c>
      <c r="B18" s="2">
        <v>2.4660009999999999</v>
      </c>
      <c r="C18" s="2">
        <v>0.17826339999999999</v>
      </c>
      <c r="D18" s="2">
        <v>12.49</v>
      </c>
      <c r="E18" s="2">
        <v>0</v>
      </c>
      <c r="F18" s="2">
        <v>2.140234</v>
      </c>
      <c r="G18" s="2">
        <v>2.8413539999999999</v>
      </c>
    </row>
    <row r="19" spans="1:8" x14ac:dyDescent="0.25">
      <c r="A19" s="36" t="s">
        <v>26</v>
      </c>
      <c r="B19" s="2">
        <v>1.931319</v>
      </c>
      <c r="C19" s="2">
        <v>0.28797240000000002</v>
      </c>
      <c r="D19" s="2">
        <v>4.41</v>
      </c>
      <c r="E19" s="2">
        <v>0</v>
      </c>
      <c r="F19" s="2">
        <v>1.441897</v>
      </c>
      <c r="G19" s="2">
        <v>2.586865</v>
      </c>
    </row>
    <row r="20" spans="1:8" x14ac:dyDescent="0.25">
      <c r="A20" s="36" t="s">
        <v>27</v>
      </c>
      <c r="B20" s="2">
        <v>1.674528</v>
      </c>
      <c r="C20" s="2">
        <v>0.1083392</v>
      </c>
      <c r="D20" s="2">
        <v>7.97</v>
      </c>
      <c r="E20" s="2">
        <v>0</v>
      </c>
      <c r="F20" s="2">
        <v>1.4750989999999999</v>
      </c>
      <c r="G20" s="2">
        <v>1.9009199999999999</v>
      </c>
      <c r="H20" s="7"/>
    </row>
    <row r="21" spans="1:8" x14ac:dyDescent="0.25">
      <c r="A21" s="36" t="s">
        <v>28</v>
      </c>
      <c r="B21" s="2">
        <v>3.6199650000000001</v>
      </c>
      <c r="C21" s="2">
        <v>0.2528281</v>
      </c>
      <c r="D21" s="2">
        <v>18.420000000000002</v>
      </c>
      <c r="E21" s="2">
        <v>0</v>
      </c>
      <c r="F21" s="2">
        <v>3.1568520000000002</v>
      </c>
      <c r="G21" s="2">
        <v>4.1510179999999997</v>
      </c>
      <c r="H21" s="7"/>
    </row>
    <row r="22" spans="1:8" x14ac:dyDescent="0.25">
      <c r="A22" s="36" t="s">
        <v>29</v>
      </c>
      <c r="B22" s="2">
        <v>4.5515720000000002</v>
      </c>
      <c r="C22" s="2">
        <v>0.29343399999999997</v>
      </c>
      <c r="D22" s="2">
        <v>23.51</v>
      </c>
      <c r="E22" s="2">
        <v>0</v>
      </c>
      <c r="F22" s="2">
        <v>4.011304</v>
      </c>
      <c r="G22" s="2">
        <v>5.1646070000000002</v>
      </c>
      <c r="H22" s="7"/>
    </row>
    <row r="23" spans="1:8" x14ac:dyDescent="0.25">
      <c r="A23" s="36" t="s">
        <v>30</v>
      </c>
      <c r="B23" s="2">
        <v>6.8164210000000001</v>
      </c>
      <c r="C23" s="2">
        <v>0.67695530000000004</v>
      </c>
      <c r="D23" s="2">
        <v>19.329999999999998</v>
      </c>
      <c r="E23" s="2">
        <v>0</v>
      </c>
      <c r="F23" s="2">
        <v>5.6107579999999997</v>
      </c>
      <c r="G23" s="2">
        <v>8.2811629999999994</v>
      </c>
      <c r="H23" s="9"/>
    </row>
    <row r="24" spans="1:8" x14ac:dyDescent="0.25">
      <c r="A24" s="36" t="s">
        <v>67</v>
      </c>
      <c r="B24" s="2">
        <v>1</v>
      </c>
      <c r="C24" s="2"/>
      <c r="D24" s="2"/>
      <c r="E24" s="2"/>
      <c r="F24" s="2"/>
      <c r="G24" s="2"/>
      <c r="H24" s="9"/>
    </row>
    <row r="25" spans="1:8" x14ac:dyDescent="0.25">
      <c r="A25" s="36" t="s">
        <v>31</v>
      </c>
      <c r="B25" s="2">
        <v>1.7879989999999999</v>
      </c>
      <c r="C25" s="2">
        <v>0.149867</v>
      </c>
      <c r="D25" s="2">
        <v>6.93</v>
      </c>
      <c r="E25" s="2">
        <v>0</v>
      </c>
      <c r="F25" s="2">
        <v>1.5171239999999999</v>
      </c>
      <c r="G25" s="2">
        <v>2.1072380000000002</v>
      </c>
      <c r="H25" s="9"/>
    </row>
    <row r="26" spans="1:8" x14ac:dyDescent="0.25">
      <c r="A26" s="36" t="s">
        <v>32</v>
      </c>
      <c r="B26" s="2">
        <v>1.440199</v>
      </c>
      <c r="C26" s="2">
        <v>0.1234508</v>
      </c>
      <c r="D26" s="2">
        <v>4.26</v>
      </c>
      <c r="E26" s="2">
        <v>0</v>
      </c>
      <c r="F26" s="2">
        <v>1.217473</v>
      </c>
      <c r="G26" s="2">
        <v>1.7036709999999999</v>
      </c>
      <c r="H26" s="9"/>
    </row>
    <row r="27" spans="1:8" x14ac:dyDescent="0.25">
      <c r="A27" s="36" t="s">
        <v>33</v>
      </c>
      <c r="B27" s="2">
        <v>2.878044</v>
      </c>
      <c r="C27" s="2">
        <v>0.36413489999999998</v>
      </c>
      <c r="D27" s="2">
        <v>8.36</v>
      </c>
      <c r="E27" s="2">
        <v>0</v>
      </c>
      <c r="F27" s="2">
        <v>2.2459600000000002</v>
      </c>
      <c r="G27" s="2">
        <v>3.6880169999999999</v>
      </c>
      <c r="H27" s="9"/>
    </row>
    <row r="28" spans="1:8" x14ac:dyDescent="0.25">
      <c r="A28" s="36" t="s">
        <v>34</v>
      </c>
      <c r="B28" s="2">
        <v>7.7830800000000006E-2</v>
      </c>
      <c r="C28" s="2">
        <v>1.4038999999999999E-2</v>
      </c>
      <c r="D28" s="2">
        <v>-14.15</v>
      </c>
      <c r="E28" s="2">
        <v>0</v>
      </c>
      <c r="F28" s="2">
        <v>5.4652899999999997E-2</v>
      </c>
      <c r="G28" s="2">
        <v>0.1108383</v>
      </c>
      <c r="H28" s="9"/>
    </row>
    <row r="29" spans="1:8" x14ac:dyDescent="0.25">
      <c r="A29" s="36" t="s">
        <v>35</v>
      </c>
      <c r="B29" s="2">
        <v>0.1831969</v>
      </c>
      <c r="C29" s="2">
        <v>3.7751800000000002E-2</v>
      </c>
      <c r="D29" s="2">
        <v>-8.24</v>
      </c>
      <c r="E29" s="2">
        <v>0</v>
      </c>
      <c r="F29" s="2">
        <v>0.12232320000000001</v>
      </c>
      <c r="G29" s="2">
        <v>0.2743641</v>
      </c>
      <c r="H29" s="9"/>
    </row>
    <row r="30" spans="1:8" x14ac:dyDescent="0.25">
      <c r="A30" s="36" t="s">
        <v>36</v>
      </c>
      <c r="B30" s="2">
        <v>0.29890919999999999</v>
      </c>
      <c r="C30" s="2">
        <v>4.8420199999999997E-2</v>
      </c>
      <c r="D30" s="2">
        <v>-7.45</v>
      </c>
      <c r="E30" s="2">
        <v>0</v>
      </c>
      <c r="F30" s="2">
        <v>0.21759729999999999</v>
      </c>
      <c r="G30" s="2">
        <v>0.41060590000000002</v>
      </c>
      <c r="H30" s="9"/>
    </row>
    <row r="31" spans="1:8" x14ac:dyDescent="0.25">
      <c r="A31" s="36" t="s">
        <v>37</v>
      </c>
      <c r="B31" s="2">
        <v>0.34082099999999999</v>
      </c>
      <c r="C31" s="2">
        <v>0.1142394</v>
      </c>
      <c r="D31" s="2">
        <v>-3.21</v>
      </c>
      <c r="E31" s="2">
        <v>1E-3</v>
      </c>
      <c r="F31" s="2">
        <v>0.1766905</v>
      </c>
      <c r="G31" s="2">
        <v>0.65741490000000002</v>
      </c>
    </row>
    <row r="32" spans="1:8" x14ac:dyDescent="0.25">
      <c r="A32" s="36" t="s">
        <v>50</v>
      </c>
      <c r="B32" s="2">
        <v>9.4339599999999996E-2</v>
      </c>
      <c r="C32" s="2">
        <v>1.56162E-2</v>
      </c>
      <c r="D32" s="2">
        <v>-14.26</v>
      </c>
      <c r="E32" s="2">
        <v>0</v>
      </c>
      <c r="F32" s="2">
        <v>6.8201399999999995E-2</v>
      </c>
      <c r="G32" s="2">
        <v>0.13049540000000001</v>
      </c>
    </row>
    <row r="33" spans="1:11" x14ac:dyDescent="0.25">
      <c r="A33" s="36" t="s">
        <v>51</v>
      </c>
      <c r="B33" s="2">
        <v>0.2418197</v>
      </c>
      <c r="C33" s="2">
        <v>4.4906399999999999E-2</v>
      </c>
      <c r="D33" s="2">
        <v>-7.64</v>
      </c>
      <c r="E33" s="2">
        <v>0</v>
      </c>
      <c r="F33" s="2">
        <v>0.16804350000000001</v>
      </c>
      <c r="G33" s="2">
        <v>0.34798580000000001</v>
      </c>
      <c r="H33" s="7"/>
    </row>
    <row r="34" spans="1:11" x14ac:dyDescent="0.25">
      <c r="A34" s="36" t="s">
        <v>52</v>
      </c>
      <c r="B34" s="2">
        <v>0.25814890000000001</v>
      </c>
      <c r="C34" s="2">
        <v>4.3840200000000003E-2</v>
      </c>
      <c r="D34" s="2">
        <v>-7.97</v>
      </c>
      <c r="E34" s="2">
        <v>0</v>
      </c>
      <c r="F34" s="2">
        <v>0.1850609</v>
      </c>
      <c r="G34" s="2">
        <v>0.36010239999999999</v>
      </c>
      <c r="H34" s="9"/>
    </row>
    <row r="35" spans="1:11" x14ac:dyDescent="0.25">
      <c r="A35" s="36" t="s">
        <v>53</v>
      </c>
      <c r="B35" s="2">
        <v>0.53016609999999997</v>
      </c>
      <c r="C35" s="2">
        <v>0.14342740000000001</v>
      </c>
      <c r="D35" s="2">
        <v>-2.35</v>
      </c>
      <c r="E35" s="2">
        <v>1.9E-2</v>
      </c>
      <c r="F35" s="2">
        <v>0.31198510000000002</v>
      </c>
      <c r="G35" s="2">
        <v>0.9009279</v>
      </c>
      <c r="H35" s="9"/>
    </row>
    <row r="36" spans="1:11" x14ac:dyDescent="0.25">
      <c r="A36" s="36" t="s">
        <v>54</v>
      </c>
      <c r="B36" s="2">
        <v>1.3325469999999999</v>
      </c>
      <c r="C36" s="2">
        <v>8.7397600000000006E-2</v>
      </c>
      <c r="D36" s="2">
        <v>4.38</v>
      </c>
      <c r="E36" s="2">
        <v>0</v>
      </c>
      <c r="F36" s="2">
        <v>1.1718040000000001</v>
      </c>
      <c r="G36" s="2">
        <v>1.515341</v>
      </c>
      <c r="H36" s="9"/>
    </row>
    <row r="37" spans="1:11" x14ac:dyDescent="0.25">
      <c r="A37" s="36" t="s">
        <v>55</v>
      </c>
      <c r="B37" s="2">
        <v>2.6233759999999999</v>
      </c>
      <c r="C37" s="2">
        <v>0.1926004</v>
      </c>
      <c r="D37" s="2">
        <v>13.14</v>
      </c>
      <c r="E37" s="2">
        <v>0</v>
      </c>
      <c r="F37" s="2">
        <v>2.2717879999999999</v>
      </c>
      <c r="G37" s="2">
        <v>3.0293760000000001</v>
      </c>
      <c r="H37" s="9"/>
    </row>
    <row r="38" spans="1:11" x14ac:dyDescent="0.25">
      <c r="A38" s="36" t="s">
        <v>56</v>
      </c>
      <c r="B38" s="2">
        <v>3.2812079999999999</v>
      </c>
      <c r="C38" s="2">
        <v>0.2214044</v>
      </c>
      <c r="D38" s="2">
        <v>17.61</v>
      </c>
      <c r="E38" s="2">
        <v>0</v>
      </c>
      <c r="F38" s="2">
        <v>2.8747340000000001</v>
      </c>
      <c r="G38" s="2">
        <v>3.745155</v>
      </c>
      <c r="H38" s="9"/>
    </row>
    <row r="39" spans="1:11" x14ac:dyDescent="0.25">
      <c r="A39" s="36" t="s">
        <v>57</v>
      </c>
      <c r="B39" s="2">
        <v>2.310009</v>
      </c>
      <c r="C39" s="2">
        <v>0.33637210000000001</v>
      </c>
      <c r="D39" s="2">
        <v>5.75</v>
      </c>
      <c r="E39" s="2">
        <v>0</v>
      </c>
      <c r="F39" s="2">
        <v>1.7364649999999999</v>
      </c>
      <c r="G39" s="2">
        <v>3.0729929999999999</v>
      </c>
      <c r="H39" s="9"/>
    </row>
    <row r="40" spans="1:11" x14ac:dyDescent="0.25">
      <c r="A40" s="36" t="s">
        <v>58</v>
      </c>
      <c r="B40" s="2">
        <v>0.46933960000000002</v>
      </c>
      <c r="C40" s="2">
        <v>4.0900499999999999E-2</v>
      </c>
      <c r="D40" s="2">
        <v>-8.68</v>
      </c>
      <c r="E40" s="2">
        <v>0</v>
      </c>
      <c r="F40" s="2">
        <v>0.39564840000000001</v>
      </c>
      <c r="G40" s="2">
        <v>0.55675620000000003</v>
      </c>
      <c r="H40" s="9"/>
    </row>
    <row r="41" spans="1:11" x14ac:dyDescent="0.25">
      <c r="A41" s="36" t="s">
        <v>59</v>
      </c>
      <c r="B41" s="2">
        <v>0.95995030000000003</v>
      </c>
      <c r="C41" s="2">
        <v>9.6805299999999997E-2</v>
      </c>
      <c r="D41" s="2">
        <v>-0.41</v>
      </c>
      <c r="E41" s="2">
        <v>0.68500000000000005</v>
      </c>
      <c r="F41" s="2">
        <v>0.78778939999999997</v>
      </c>
      <c r="G41" s="2">
        <v>1.169735</v>
      </c>
      <c r="H41" s="9"/>
    </row>
    <row r="42" spans="1:11" x14ac:dyDescent="0.25">
      <c r="A42" s="36" t="s">
        <v>60</v>
      </c>
      <c r="B42" s="2">
        <v>1.3790579999999999</v>
      </c>
      <c r="C42" s="2">
        <v>0.1183289</v>
      </c>
      <c r="D42" s="2">
        <v>3.75</v>
      </c>
      <c r="E42" s="2">
        <v>0</v>
      </c>
      <c r="F42" s="2">
        <v>1.165591</v>
      </c>
      <c r="G42" s="2">
        <v>1.631621</v>
      </c>
      <c r="H42" s="9"/>
    </row>
    <row r="43" spans="1:11" x14ac:dyDescent="0.25">
      <c r="A43" s="36" t="s">
        <v>61</v>
      </c>
      <c r="B43" s="2">
        <v>1.6283669999999999</v>
      </c>
      <c r="C43" s="2">
        <v>0.26049460000000002</v>
      </c>
      <c r="D43" s="2">
        <v>3.05</v>
      </c>
      <c r="E43" s="2">
        <v>2E-3</v>
      </c>
      <c r="F43" s="2">
        <v>1.190099</v>
      </c>
      <c r="G43" s="2">
        <v>2.2280329999999999</v>
      </c>
      <c r="H43" s="9"/>
    </row>
    <row r="44" spans="1:11" x14ac:dyDescent="0.25">
      <c r="A44" s="36"/>
      <c r="B44" s="3"/>
      <c r="C44" s="3"/>
      <c r="D44" s="3"/>
      <c r="E44" s="3"/>
      <c r="F44" s="3"/>
      <c r="G44" s="3"/>
      <c r="H44" s="9"/>
    </row>
    <row r="45" spans="1:11" x14ac:dyDescent="0.25">
      <c r="A45" s="5" t="s">
        <v>6</v>
      </c>
      <c r="B45" s="6">
        <v>1.1168E-3</v>
      </c>
      <c r="C45" s="6">
        <v>5.4700000000000001E-5</v>
      </c>
      <c r="D45" s="6">
        <v>-138.79</v>
      </c>
      <c r="E45" s="6">
        <v>0</v>
      </c>
      <c r="F45" s="6">
        <v>1.0145E-3</v>
      </c>
      <c r="G45" s="6">
        <v>1.2293E-3</v>
      </c>
      <c r="H45" s="9"/>
    </row>
    <row r="46" spans="1:11" x14ac:dyDescent="0.25">
      <c r="B46" s="7"/>
      <c r="C46" s="15"/>
      <c r="D46" s="9"/>
      <c r="E46" s="7"/>
      <c r="F46" s="7"/>
      <c r="G46" s="9"/>
      <c r="H46" s="9"/>
    </row>
    <row r="47" spans="1:11" ht="15.75" thickBot="1" x14ac:dyDescent="0.3">
      <c r="B47" s="7"/>
      <c r="C47" s="7"/>
      <c r="D47" s="7"/>
      <c r="E47" s="7"/>
      <c r="F47" s="7"/>
      <c r="G47" s="7"/>
      <c r="H47" s="7"/>
    </row>
    <row r="48" spans="1:11" x14ac:dyDescent="0.25">
      <c r="B48" s="10"/>
      <c r="C48" s="11" t="s">
        <v>9</v>
      </c>
      <c r="D48" s="11" t="s">
        <v>10</v>
      </c>
      <c r="E48" s="11" t="s">
        <v>11</v>
      </c>
      <c r="F48" s="11" t="s">
        <v>7</v>
      </c>
      <c r="G48" s="11" t="s">
        <v>8</v>
      </c>
      <c r="H48" s="11" t="s">
        <v>62</v>
      </c>
      <c r="I48" s="11" t="s">
        <v>63</v>
      </c>
      <c r="J48" s="11" t="s">
        <v>64</v>
      </c>
      <c r="K48" s="12" t="s">
        <v>65</v>
      </c>
    </row>
    <row r="49" spans="2:25" x14ac:dyDescent="0.25">
      <c r="B49" s="13" t="s">
        <v>12</v>
      </c>
      <c r="C49" s="14">
        <f>B8</f>
        <v>0.13679250000000001</v>
      </c>
      <c r="D49" s="15">
        <f>B12</f>
        <v>0.24056620000000001</v>
      </c>
      <c r="E49" s="15">
        <f>B16</f>
        <v>0.62735850000000004</v>
      </c>
      <c r="F49" s="15">
        <f>B20</f>
        <v>1.674528</v>
      </c>
      <c r="G49" s="15">
        <f>B24</f>
        <v>1</v>
      </c>
      <c r="H49" s="15">
        <f>B28</f>
        <v>7.7830800000000006E-2</v>
      </c>
      <c r="I49" s="4">
        <f>B32</f>
        <v>9.4339599999999996E-2</v>
      </c>
      <c r="J49" s="25">
        <f>B36</f>
        <v>1.3325469999999999</v>
      </c>
      <c r="K49" s="17">
        <f>B40</f>
        <v>0.46933960000000002</v>
      </c>
    </row>
    <row r="50" spans="2:25" x14ac:dyDescent="0.25">
      <c r="B50" s="13" t="s">
        <v>13</v>
      </c>
      <c r="C50" s="15">
        <f>B9</f>
        <v>0.38837690000000002</v>
      </c>
      <c r="D50" s="15">
        <f>B13</f>
        <v>0.7547701</v>
      </c>
      <c r="E50" s="15">
        <f>B17</f>
        <v>1.6414420000000001</v>
      </c>
      <c r="F50" s="15">
        <f>B21</f>
        <v>3.6199650000000001</v>
      </c>
      <c r="G50" s="15">
        <f>B25</f>
        <v>1.7879989999999999</v>
      </c>
      <c r="H50" s="15">
        <f>B29</f>
        <v>0.1831969</v>
      </c>
      <c r="I50" s="4">
        <f>B33</f>
        <v>0.2418197</v>
      </c>
      <c r="J50" s="25">
        <f>B37</f>
        <v>2.6233759999999999</v>
      </c>
      <c r="K50" s="17">
        <f>B41</f>
        <v>0.95995030000000003</v>
      </c>
    </row>
    <row r="51" spans="2:25" x14ac:dyDescent="0.25">
      <c r="B51" s="13" t="s">
        <v>14</v>
      </c>
      <c r="C51" s="15">
        <f>B10</f>
        <v>0.82879369999999997</v>
      </c>
      <c r="D51" s="15">
        <f>B14</f>
        <v>1.073356</v>
      </c>
      <c r="E51" s="15">
        <f>B18</f>
        <v>2.4660009999999999</v>
      </c>
      <c r="F51" s="15">
        <f>B22</f>
        <v>4.5515720000000002</v>
      </c>
      <c r="G51" s="15">
        <f>B26</f>
        <v>1.440199</v>
      </c>
      <c r="H51" s="15">
        <f>B30</f>
        <v>0.29890919999999999</v>
      </c>
      <c r="I51" s="4">
        <f>B34</f>
        <v>0.25814890000000001</v>
      </c>
      <c r="J51" s="25">
        <f>B38</f>
        <v>3.2812079999999999</v>
      </c>
      <c r="K51" s="17">
        <f>B42</f>
        <v>1.3790579999999999</v>
      </c>
    </row>
    <row r="52" spans="2:25" ht="15.75" thickBot="1" x14ac:dyDescent="0.3">
      <c r="B52" s="19" t="s">
        <v>15</v>
      </c>
      <c r="C52" s="20">
        <f>B11</f>
        <v>0.64377309999999999</v>
      </c>
      <c r="D52" s="20">
        <f>B15</f>
        <v>1.098201</v>
      </c>
      <c r="E52" s="20">
        <f>B19</f>
        <v>1.931319</v>
      </c>
      <c r="F52" s="20">
        <f>B23</f>
        <v>6.8164210000000001</v>
      </c>
      <c r="G52" s="20">
        <f>B27</f>
        <v>2.878044</v>
      </c>
      <c r="H52" s="20">
        <f>B31</f>
        <v>0.34082099999999999</v>
      </c>
      <c r="I52" s="29">
        <f>B35</f>
        <v>0.53016609999999997</v>
      </c>
      <c r="J52" s="28">
        <f>B39</f>
        <v>2.310009</v>
      </c>
      <c r="K52" s="22">
        <f>B43</f>
        <v>1.6283669999999999</v>
      </c>
    </row>
    <row r="53" spans="2:25" x14ac:dyDescent="0.25">
      <c r="B53" s="7"/>
      <c r="C53" s="7"/>
      <c r="D53" s="7"/>
      <c r="E53" s="7"/>
      <c r="F53" s="7"/>
      <c r="G53" s="7"/>
      <c r="H53" s="7"/>
    </row>
    <row r="54" spans="2:25" x14ac:dyDescent="0.25">
      <c r="B54" s="7"/>
      <c r="C54" s="7"/>
      <c r="D54" s="7"/>
      <c r="E54" s="7"/>
      <c r="F54" s="7"/>
      <c r="G54" s="7"/>
      <c r="H54" s="7"/>
    </row>
    <row r="55" spans="2:25" x14ac:dyDescent="0.25">
      <c r="B55" s="7"/>
      <c r="C55" s="7"/>
      <c r="D55" s="7"/>
      <c r="E55" s="7"/>
      <c r="F55" s="7"/>
      <c r="G55" s="7"/>
      <c r="H55" s="7"/>
      <c r="X55" s="4">
        <v>1090</v>
      </c>
      <c r="Y55" s="4">
        <v>2000</v>
      </c>
    </row>
    <row r="56" spans="2:25" x14ac:dyDescent="0.25">
      <c r="B56" s="7"/>
      <c r="C56" s="7"/>
      <c r="D56" s="7"/>
      <c r="E56" s="7"/>
      <c r="F56" s="7"/>
      <c r="G56" s="7"/>
      <c r="H56" s="7"/>
    </row>
    <row r="57" spans="2:25" x14ac:dyDescent="0.25">
      <c r="B57" s="7"/>
      <c r="C57" s="7"/>
      <c r="D57" s="7"/>
      <c r="E57" s="7"/>
      <c r="F57" s="7"/>
      <c r="G57" s="7"/>
      <c r="H57" s="7"/>
    </row>
    <row r="58" spans="2:25" x14ac:dyDescent="0.25">
      <c r="B58" s="7"/>
      <c r="C58" s="7"/>
      <c r="D58" s="7"/>
      <c r="E58" s="7"/>
      <c r="F58" s="7"/>
      <c r="G58" s="7"/>
      <c r="H58" s="7"/>
    </row>
    <row r="59" spans="2:25" x14ac:dyDescent="0.25">
      <c r="B59" s="7"/>
      <c r="C59" s="7"/>
      <c r="D59" s="7"/>
      <c r="E59" s="7"/>
      <c r="F59" s="7"/>
      <c r="G59" s="7"/>
      <c r="H59" s="7"/>
    </row>
    <row r="60" spans="2:25" x14ac:dyDescent="0.25">
      <c r="B60" s="7"/>
      <c r="C60" s="7"/>
      <c r="D60" s="7"/>
      <c r="E60" s="7"/>
      <c r="F60" s="7"/>
      <c r="G60" s="7"/>
      <c r="H60" s="7"/>
    </row>
    <row r="61" spans="2:25" x14ac:dyDescent="0.25">
      <c r="B61" s="7"/>
      <c r="C61" s="7"/>
      <c r="D61" s="7"/>
      <c r="E61" s="7"/>
      <c r="F61" s="7"/>
      <c r="G61" s="7"/>
      <c r="H61" s="7"/>
    </row>
    <row r="62" spans="2:25" x14ac:dyDescent="0.25">
      <c r="B62" s="7"/>
      <c r="C62" s="7"/>
      <c r="D62" s="7"/>
      <c r="E62" s="7"/>
      <c r="F62" s="7"/>
      <c r="G62" s="7"/>
      <c r="H62" s="7"/>
    </row>
    <row r="63" spans="2:25" x14ac:dyDescent="0.25">
      <c r="B63" s="7"/>
      <c r="C63" s="7"/>
      <c r="D63" s="7"/>
      <c r="E63" s="7"/>
      <c r="F63" s="7"/>
      <c r="G63" s="7"/>
      <c r="H63" s="7"/>
    </row>
    <row r="64" spans="2:25" x14ac:dyDescent="0.25">
      <c r="B64" s="7"/>
      <c r="C64" s="7"/>
      <c r="D64" s="7"/>
      <c r="E64" s="7"/>
      <c r="F64" s="7"/>
      <c r="G64" s="7"/>
      <c r="H64" s="7"/>
    </row>
    <row r="65" spans="1:17" x14ac:dyDescent="0.25">
      <c r="B65" s="7"/>
      <c r="C65" s="7"/>
      <c r="D65" s="7"/>
      <c r="E65" s="7"/>
      <c r="F65" s="7"/>
      <c r="G65" s="7"/>
      <c r="H65" s="7"/>
    </row>
    <row r="66" spans="1:17" x14ac:dyDescent="0.25">
      <c r="B66" s="7"/>
      <c r="C66" s="7"/>
      <c r="D66" s="7"/>
      <c r="E66" s="7"/>
      <c r="F66" s="7"/>
      <c r="G66" s="7"/>
      <c r="H66" s="7"/>
    </row>
    <row r="67" spans="1:17" x14ac:dyDescent="0.25">
      <c r="B67" s="7"/>
      <c r="C67" s="7"/>
      <c r="D67" s="7"/>
      <c r="E67" s="7"/>
      <c r="F67" s="7"/>
      <c r="G67" s="7"/>
      <c r="H67" s="7"/>
    </row>
    <row r="68" spans="1:17" x14ac:dyDescent="0.25">
      <c r="B68" s="7"/>
    </row>
    <row r="69" spans="1:17" x14ac:dyDescent="0.25">
      <c r="B69" s="7"/>
      <c r="C69" s="7"/>
      <c r="D69" s="7"/>
      <c r="E69" s="7"/>
      <c r="F69" s="7"/>
      <c r="G69" s="7"/>
      <c r="H69" s="7"/>
    </row>
    <row r="70" spans="1:17" s="1" customFormat="1" x14ac:dyDescent="0.25">
      <c r="L70" s="1" t="s">
        <v>370</v>
      </c>
      <c r="N70" s="33"/>
      <c r="O70" s="33"/>
    </row>
    <row r="71" spans="1:17" x14ac:dyDescent="0.25">
      <c r="A71" s="36"/>
      <c r="B71" s="2" t="s">
        <v>1</v>
      </c>
      <c r="C71" s="3"/>
      <c r="D71" s="3"/>
      <c r="E71" s="3"/>
      <c r="F71" s="3"/>
      <c r="G71" s="3"/>
      <c r="K71" s="36"/>
      <c r="L71" s="2" t="s">
        <v>1</v>
      </c>
      <c r="M71" s="3"/>
      <c r="N71" s="3"/>
      <c r="O71" s="3"/>
      <c r="P71" s="3"/>
      <c r="Q71" s="3"/>
    </row>
    <row r="72" spans="1:17" x14ac:dyDescent="0.25">
      <c r="A72" s="5" t="s">
        <v>2</v>
      </c>
      <c r="B72" s="6" t="s">
        <v>269</v>
      </c>
      <c r="C72" s="6" t="s">
        <v>270</v>
      </c>
      <c r="D72" s="6" t="s">
        <v>3</v>
      </c>
      <c r="E72" s="6" t="s">
        <v>4</v>
      </c>
      <c r="F72" s="6" t="s">
        <v>271</v>
      </c>
      <c r="G72" s="6" t="s">
        <v>272</v>
      </c>
      <c r="K72" s="5" t="s">
        <v>2</v>
      </c>
      <c r="L72" s="6" t="s">
        <v>269</v>
      </c>
      <c r="M72" s="6" t="s">
        <v>270</v>
      </c>
      <c r="N72" s="6" t="s">
        <v>3</v>
      </c>
      <c r="O72" s="6" t="s">
        <v>4</v>
      </c>
      <c r="P72" s="6" t="s">
        <v>271</v>
      </c>
      <c r="Q72" s="6" t="s">
        <v>272</v>
      </c>
    </row>
    <row r="73" spans="1:17" x14ac:dyDescent="0.25">
      <c r="A73" s="36"/>
      <c r="B73" s="2"/>
      <c r="C73" s="2"/>
      <c r="D73" s="3"/>
      <c r="E73" s="3"/>
      <c r="F73" s="3"/>
      <c r="G73" s="3"/>
      <c r="K73" s="36"/>
      <c r="L73" s="46"/>
      <c r="M73" s="46"/>
      <c r="N73" s="47"/>
      <c r="O73" s="47"/>
      <c r="P73" s="47"/>
      <c r="Q73" s="47"/>
    </row>
    <row r="74" spans="1:17" x14ac:dyDescent="0.25">
      <c r="A74" s="36" t="s">
        <v>72</v>
      </c>
      <c r="B74" s="3"/>
      <c r="C74" s="3"/>
      <c r="D74" s="3"/>
      <c r="E74" s="3"/>
      <c r="F74" s="3"/>
      <c r="G74" s="3"/>
      <c r="K74" s="36" t="s">
        <v>72</v>
      </c>
      <c r="L74" s="47"/>
      <c r="M74" s="47"/>
      <c r="N74" s="47"/>
      <c r="O74" s="47"/>
      <c r="P74" s="47"/>
      <c r="Q74" s="47"/>
    </row>
    <row r="75" spans="1:17" x14ac:dyDescent="0.25">
      <c r="A75" s="36" t="s">
        <v>73</v>
      </c>
      <c r="B75" s="2">
        <v>1.3625890000000001</v>
      </c>
      <c r="C75" s="2">
        <v>4.5483700000000002E-2</v>
      </c>
      <c r="D75" s="2">
        <v>9.27</v>
      </c>
      <c r="E75" s="2">
        <v>0</v>
      </c>
      <c r="F75" s="2">
        <v>1.276297</v>
      </c>
      <c r="G75" s="2">
        <v>1.454717</v>
      </c>
      <c r="K75" s="36" t="s">
        <v>73</v>
      </c>
      <c r="L75" s="46">
        <v>1.186466</v>
      </c>
      <c r="M75" s="46">
        <v>7.7079599999999998E-2</v>
      </c>
      <c r="N75" s="46">
        <v>2.63</v>
      </c>
      <c r="O75" s="46">
        <v>8.0000000000000002E-3</v>
      </c>
      <c r="P75" s="46">
        <v>1.044616</v>
      </c>
      <c r="Q75" s="46">
        <v>1.3475790000000001</v>
      </c>
    </row>
    <row r="76" spans="1:17" x14ac:dyDescent="0.25">
      <c r="A76" s="36"/>
      <c r="B76" s="3"/>
      <c r="C76" s="3"/>
      <c r="D76" s="3"/>
      <c r="E76" s="3"/>
      <c r="F76" s="3"/>
      <c r="G76" s="3"/>
      <c r="K76" s="36"/>
      <c r="L76" s="47"/>
      <c r="M76" s="47"/>
      <c r="N76" s="47"/>
      <c r="O76" s="47"/>
      <c r="P76" s="47"/>
      <c r="Q76" s="47"/>
    </row>
    <row r="77" spans="1:17" x14ac:dyDescent="0.25">
      <c r="A77" s="36" t="s">
        <v>74</v>
      </c>
      <c r="B77" s="3"/>
      <c r="C77" s="3"/>
      <c r="D77" s="3"/>
      <c r="E77" s="3"/>
      <c r="F77" s="3"/>
      <c r="G77" s="3"/>
      <c r="K77" s="36" t="s">
        <v>74</v>
      </c>
      <c r="L77" s="47"/>
      <c r="M77" s="47"/>
      <c r="N77" s="47"/>
      <c r="O77" s="47"/>
      <c r="P77" s="47"/>
      <c r="Q77" s="47"/>
    </row>
    <row r="78" spans="1:17" x14ac:dyDescent="0.25">
      <c r="A78" s="36" t="s">
        <v>75</v>
      </c>
      <c r="B78" s="2">
        <v>0.86698560000000002</v>
      </c>
      <c r="C78" s="2">
        <v>3.1047700000000001E-2</v>
      </c>
      <c r="D78" s="2">
        <v>-3.99</v>
      </c>
      <c r="E78" s="2">
        <v>0</v>
      </c>
      <c r="F78" s="2">
        <v>0.80821980000000004</v>
      </c>
      <c r="G78" s="2">
        <v>0.93002430000000003</v>
      </c>
      <c r="K78" s="36" t="s">
        <v>75</v>
      </c>
      <c r="L78" s="46">
        <v>0.9184698</v>
      </c>
      <c r="M78" s="46">
        <v>6.5045900000000004E-2</v>
      </c>
      <c r="N78" s="46">
        <v>-1.2</v>
      </c>
      <c r="O78" s="46">
        <v>0.23</v>
      </c>
      <c r="P78" s="46">
        <v>0.79943450000000005</v>
      </c>
      <c r="Q78" s="46">
        <v>1.055229</v>
      </c>
    </row>
    <row r="79" spans="1:17" x14ac:dyDescent="0.25">
      <c r="A79" s="36" t="s">
        <v>76</v>
      </c>
      <c r="B79" s="2">
        <v>0.678311</v>
      </c>
      <c r="C79" s="2">
        <v>3.1594799999999999E-2</v>
      </c>
      <c r="D79" s="2">
        <v>-8.33</v>
      </c>
      <c r="E79" s="2">
        <v>0</v>
      </c>
      <c r="F79" s="2">
        <v>0.61912889999999998</v>
      </c>
      <c r="G79" s="2">
        <v>0.74315019999999998</v>
      </c>
      <c r="K79" s="36" t="s">
        <v>76</v>
      </c>
      <c r="L79" s="46">
        <v>0.63957909999999996</v>
      </c>
      <c r="M79" s="46">
        <v>6.7028699999999997E-2</v>
      </c>
      <c r="N79" s="46">
        <v>-4.26</v>
      </c>
      <c r="O79" s="46">
        <v>0</v>
      </c>
      <c r="P79" s="46">
        <v>0.52081949999999999</v>
      </c>
      <c r="Q79" s="46">
        <v>0.78541870000000003</v>
      </c>
    </row>
    <row r="80" spans="1:17" x14ac:dyDescent="0.25">
      <c r="A80" s="36" t="s">
        <v>77</v>
      </c>
      <c r="B80" s="2">
        <v>0.60211590000000004</v>
      </c>
      <c r="C80" s="2">
        <v>3.06056E-2</v>
      </c>
      <c r="D80" s="2">
        <v>-9.98</v>
      </c>
      <c r="E80" s="2">
        <v>0</v>
      </c>
      <c r="F80" s="2">
        <v>0.54502130000000004</v>
      </c>
      <c r="G80" s="2">
        <v>0.66519159999999999</v>
      </c>
      <c r="K80" s="36" t="s">
        <v>77</v>
      </c>
      <c r="L80" s="46">
        <v>0.56120349999999997</v>
      </c>
      <c r="M80" s="46">
        <v>5.65195E-2</v>
      </c>
      <c r="N80" s="46">
        <v>-5.74</v>
      </c>
      <c r="O80" s="46">
        <v>0</v>
      </c>
      <c r="P80" s="46">
        <v>0.4606751</v>
      </c>
      <c r="Q80" s="46">
        <v>0.68366910000000003</v>
      </c>
    </row>
    <row r="81" spans="1:17" x14ac:dyDescent="0.25">
      <c r="A81" s="36" t="s">
        <v>78</v>
      </c>
      <c r="B81" s="2">
        <v>0.55474749999999995</v>
      </c>
      <c r="C81" s="2">
        <v>3.0863999999999999E-2</v>
      </c>
      <c r="D81" s="2">
        <v>-10.59</v>
      </c>
      <c r="E81" s="2">
        <v>0</v>
      </c>
      <c r="F81" s="2">
        <v>0.49743670000000001</v>
      </c>
      <c r="G81" s="2">
        <v>0.61866109999999996</v>
      </c>
      <c r="K81" s="36" t="s">
        <v>78</v>
      </c>
      <c r="L81" s="46">
        <v>0.53167439999999999</v>
      </c>
      <c r="M81" s="46">
        <v>5.5584000000000001E-2</v>
      </c>
      <c r="N81" s="46">
        <v>-6.04</v>
      </c>
      <c r="O81" s="46">
        <v>0</v>
      </c>
      <c r="P81" s="46">
        <v>0.43316840000000001</v>
      </c>
      <c r="Q81" s="46">
        <v>0.65258159999999998</v>
      </c>
    </row>
    <row r="82" spans="1:17" x14ac:dyDescent="0.25">
      <c r="A82" s="36" t="s">
        <v>79</v>
      </c>
      <c r="B82" s="2">
        <v>0.52034860000000005</v>
      </c>
      <c r="C82" s="2">
        <v>3.4153200000000002E-2</v>
      </c>
      <c r="D82" s="2">
        <v>-9.9499999999999993</v>
      </c>
      <c r="E82" s="2">
        <v>0</v>
      </c>
      <c r="F82" s="2">
        <v>0.45753630000000001</v>
      </c>
      <c r="G82" s="2">
        <v>0.59178410000000004</v>
      </c>
      <c r="K82" s="36" t="s">
        <v>79</v>
      </c>
      <c r="L82" s="46">
        <v>0.45522629999999997</v>
      </c>
      <c r="M82" s="46">
        <v>5.7851699999999999E-2</v>
      </c>
      <c r="N82" s="46">
        <v>-6.19</v>
      </c>
      <c r="O82" s="46">
        <v>0</v>
      </c>
      <c r="P82" s="46">
        <v>0.35485729999999999</v>
      </c>
      <c r="Q82" s="46">
        <v>0.5839839</v>
      </c>
    </row>
    <row r="83" spans="1:17" x14ac:dyDescent="0.25">
      <c r="A83" s="36" t="s">
        <v>80</v>
      </c>
      <c r="B83" s="2">
        <v>0.4411428</v>
      </c>
      <c r="C83" s="2">
        <v>3.1489099999999999E-2</v>
      </c>
      <c r="D83" s="2">
        <v>-11.47</v>
      </c>
      <c r="E83" s="2">
        <v>0</v>
      </c>
      <c r="F83" s="2">
        <v>0.3835481</v>
      </c>
      <c r="G83" s="2">
        <v>0.50738609999999995</v>
      </c>
      <c r="K83" s="36" t="s">
        <v>80</v>
      </c>
      <c r="L83" s="46">
        <v>0.42934470000000002</v>
      </c>
      <c r="M83" s="46">
        <v>5.9959699999999998E-2</v>
      </c>
      <c r="N83" s="46">
        <v>-6.05</v>
      </c>
      <c r="O83" s="46">
        <v>0</v>
      </c>
      <c r="P83" s="46">
        <v>0.32653710000000002</v>
      </c>
      <c r="Q83" s="46">
        <v>0.56452060000000004</v>
      </c>
    </row>
    <row r="84" spans="1:17" x14ac:dyDescent="0.25">
      <c r="A84" s="36" t="s">
        <v>86</v>
      </c>
      <c r="B84" s="2">
        <v>0.35814790000000002</v>
      </c>
      <c r="C84" s="2">
        <v>2.8312899999999998E-2</v>
      </c>
      <c r="D84" s="2">
        <v>-12.99</v>
      </c>
      <c r="E84" s="2">
        <v>0</v>
      </c>
      <c r="F84" s="2">
        <v>0.30674099999999999</v>
      </c>
      <c r="G84" s="2">
        <v>0.41816999999999999</v>
      </c>
      <c r="K84" s="36" t="s">
        <v>86</v>
      </c>
      <c r="L84" s="46">
        <v>0.35880600000000001</v>
      </c>
      <c r="M84" s="46">
        <v>6.4467099999999999E-2</v>
      </c>
      <c r="N84" s="46">
        <v>-5.7</v>
      </c>
      <c r="O84" s="46">
        <v>0</v>
      </c>
      <c r="P84" s="46">
        <v>0.25230360000000002</v>
      </c>
      <c r="Q84" s="46">
        <v>0.51026519999999997</v>
      </c>
    </row>
    <row r="85" spans="1:17" x14ac:dyDescent="0.25">
      <c r="A85" s="36" t="s">
        <v>87</v>
      </c>
      <c r="B85" s="2">
        <v>0.2223222</v>
      </c>
      <c r="C85" s="2">
        <v>2.48255E-2</v>
      </c>
      <c r="D85" s="2">
        <v>-13.47</v>
      </c>
      <c r="E85" s="2">
        <v>0</v>
      </c>
      <c r="F85" s="2">
        <v>0.17862149999999999</v>
      </c>
      <c r="G85" s="2">
        <v>0.27671459999999998</v>
      </c>
      <c r="K85" s="36" t="s">
        <v>87</v>
      </c>
      <c r="L85" s="46">
        <v>0.22381980000000001</v>
      </c>
      <c r="M85" s="46">
        <v>5.5178699999999997E-2</v>
      </c>
      <c r="N85" s="46">
        <v>-6.07</v>
      </c>
      <c r="O85" s="46">
        <v>0</v>
      </c>
      <c r="P85" s="46">
        <v>0.13805439999999999</v>
      </c>
      <c r="Q85" s="46">
        <v>0.36286649999999998</v>
      </c>
    </row>
    <row r="86" spans="1:17" x14ac:dyDescent="0.25">
      <c r="A86" s="36" t="s">
        <v>88</v>
      </c>
      <c r="B86" s="2">
        <v>4.4499999999999998E-2</v>
      </c>
      <c r="C86" s="2">
        <v>1.4256400000000001E-2</v>
      </c>
      <c r="D86" s="2">
        <v>-9.7100000000000009</v>
      </c>
      <c r="E86" s="2">
        <v>0</v>
      </c>
      <c r="F86" s="2">
        <v>2.3749900000000001E-2</v>
      </c>
      <c r="G86" s="2">
        <v>8.3379200000000001E-2</v>
      </c>
      <c r="K86" s="36" t="s">
        <v>88</v>
      </c>
      <c r="L86" s="46">
        <v>0.190029</v>
      </c>
      <c r="M86" s="46">
        <v>5.20843E-2</v>
      </c>
      <c r="N86" s="46">
        <v>-6.06</v>
      </c>
      <c r="O86" s="46">
        <v>0</v>
      </c>
      <c r="P86" s="46">
        <v>0.1110497</v>
      </c>
      <c r="Q86" s="46">
        <v>0.32517889999999999</v>
      </c>
    </row>
    <row r="87" spans="1:17" x14ac:dyDescent="0.25">
      <c r="A87" s="36"/>
      <c r="B87" s="3"/>
      <c r="C87" s="3"/>
      <c r="D87" s="3"/>
      <c r="E87" s="3"/>
      <c r="F87" s="3"/>
      <c r="G87" s="3"/>
      <c r="K87" s="36"/>
      <c r="L87" s="47"/>
      <c r="M87" s="47"/>
      <c r="N87" s="47"/>
      <c r="O87" s="47"/>
      <c r="P87" s="47"/>
      <c r="Q87" s="47"/>
    </row>
    <row r="88" spans="1:17" x14ac:dyDescent="0.25">
      <c r="A88" s="36" t="s">
        <v>113</v>
      </c>
      <c r="B88" s="3"/>
      <c r="C88" s="3"/>
      <c r="D88" s="3"/>
      <c r="E88" s="3"/>
      <c r="F88" s="3"/>
      <c r="G88" s="3"/>
      <c r="K88" s="36" t="s">
        <v>113</v>
      </c>
      <c r="L88" s="47"/>
      <c r="M88" s="47"/>
      <c r="N88" s="47"/>
      <c r="O88" s="47"/>
      <c r="P88" s="47"/>
      <c r="Q88" s="47"/>
    </row>
    <row r="89" spans="1:17" x14ac:dyDescent="0.25">
      <c r="A89" s="36">
        <v>2</v>
      </c>
      <c r="B89" s="2">
        <v>0.84888839999999999</v>
      </c>
      <c r="C89" s="2">
        <v>2.3235200000000001E-2</v>
      </c>
      <c r="D89" s="2">
        <v>-5.99</v>
      </c>
      <c r="E89" s="2">
        <v>0</v>
      </c>
      <c r="F89" s="2">
        <v>0.80454829999999999</v>
      </c>
      <c r="G89" s="2">
        <v>0.89567209999999997</v>
      </c>
      <c r="K89" s="36">
        <v>2</v>
      </c>
      <c r="L89" s="46">
        <v>0.88862319999999995</v>
      </c>
      <c r="M89" s="46">
        <v>4.94343E-2</v>
      </c>
      <c r="N89" s="46">
        <v>-2.12</v>
      </c>
      <c r="O89" s="46">
        <v>3.4000000000000002E-2</v>
      </c>
      <c r="P89" s="46">
        <v>0.79682900000000001</v>
      </c>
      <c r="Q89" s="46">
        <v>0.99099199999999998</v>
      </c>
    </row>
    <row r="90" spans="1:17" x14ac:dyDescent="0.25">
      <c r="A90" s="36">
        <v>3</v>
      </c>
      <c r="B90" s="2">
        <v>0.99365199999999998</v>
      </c>
      <c r="C90" s="2">
        <v>7.3127200000000003E-2</v>
      </c>
      <c r="D90" s="2">
        <v>-0.09</v>
      </c>
      <c r="E90" s="2">
        <v>0.93100000000000005</v>
      </c>
      <c r="F90" s="2">
        <v>0.86018269999999997</v>
      </c>
      <c r="G90" s="2">
        <v>1.147831</v>
      </c>
      <c r="K90" s="36">
        <v>3</v>
      </c>
      <c r="L90" s="46">
        <v>0.86917719999999998</v>
      </c>
      <c r="M90" s="46">
        <v>0.12701789999999999</v>
      </c>
      <c r="N90" s="46">
        <v>-0.96</v>
      </c>
      <c r="O90" s="46">
        <v>0.33700000000000002</v>
      </c>
      <c r="P90" s="46">
        <v>0.6527056</v>
      </c>
      <c r="Q90" s="46">
        <v>1.1574420000000001</v>
      </c>
    </row>
    <row r="91" spans="1:17" x14ac:dyDescent="0.25">
      <c r="A91" s="36"/>
      <c r="B91" s="3"/>
      <c r="C91" s="3"/>
      <c r="D91" s="3"/>
      <c r="E91" s="3"/>
      <c r="F91" s="3"/>
      <c r="G91" s="3"/>
      <c r="K91" s="36"/>
      <c r="L91" s="47"/>
      <c r="M91" s="47"/>
      <c r="N91" s="47"/>
      <c r="O91" s="47"/>
      <c r="P91" s="47"/>
      <c r="Q91" s="47"/>
    </row>
    <row r="92" spans="1:17" x14ac:dyDescent="0.25">
      <c r="A92" s="36" t="s">
        <v>108</v>
      </c>
      <c r="B92" s="3"/>
      <c r="C92" s="3"/>
      <c r="D92" s="3"/>
      <c r="E92" s="3"/>
      <c r="F92" s="3"/>
      <c r="G92" s="3"/>
      <c r="K92" s="36" t="s">
        <v>108</v>
      </c>
      <c r="L92" s="47"/>
      <c r="M92" s="47"/>
      <c r="N92" s="47"/>
      <c r="O92" s="47"/>
      <c r="P92" s="47"/>
      <c r="Q92" s="47"/>
    </row>
    <row r="93" spans="1:17" x14ac:dyDescent="0.25">
      <c r="A93" s="36">
        <v>2</v>
      </c>
      <c r="B93" s="2">
        <v>1.0502659999999999</v>
      </c>
      <c r="C93" s="2">
        <v>3.4378300000000001E-2</v>
      </c>
      <c r="D93" s="2">
        <v>1.5</v>
      </c>
      <c r="E93" s="2">
        <v>0.13400000000000001</v>
      </c>
      <c r="F93" s="2">
        <v>0.98500209999999999</v>
      </c>
      <c r="G93" s="2">
        <v>1.119855</v>
      </c>
      <c r="K93" s="36">
        <v>2</v>
      </c>
      <c r="L93" s="46">
        <v>1.3105869999999999</v>
      </c>
      <c r="M93" s="46">
        <v>0.13332859999999999</v>
      </c>
      <c r="N93" s="46">
        <v>2.66</v>
      </c>
      <c r="O93" s="46">
        <v>8.0000000000000002E-3</v>
      </c>
      <c r="P93" s="46">
        <v>1.073671</v>
      </c>
      <c r="Q93" s="46">
        <v>1.59978</v>
      </c>
    </row>
    <row r="94" spans="1:17" x14ac:dyDescent="0.25">
      <c r="A94" s="36" t="s">
        <v>109</v>
      </c>
      <c r="B94" s="2">
        <v>1.119122</v>
      </c>
      <c r="C94" s="2">
        <v>6.0577199999999998E-2</v>
      </c>
      <c r="D94" s="2">
        <v>2.08</v>
      </c>
      <c r="E94" s="2">
        <v>3.7999999999999999E-2</v>
      </c>
      <c r="F94" s="2">
        <v>1.0064740000000001</v>
      </c>
      <c r="G94" s="2">
        <v>1.244378</v>
      </c>
      <c r="K94" s="36" t="s">
        <v>109</v>
      </c>
      <c r="L94" s="46">
        <v>1.9794069999999999</v>
      </c>
      <c r="M94" s="46">
        <v>0.37678640000000002</v>
      </c>
      <c r="N94" s="46">
        <v>3.59</v>
      </c>
      <c r="O94" s="46">
        <v>0</v>
      </c>
      <c r="P94" s="46">
        <v>1.363032</v>
      </c>
      <c r="Q94" s="46">
        <v>2.874511</v>
      </c>
    </row>
    <row r="95" spans="1:17" x14ac:dyDescent="0.25">
      <c r="A95" s="36"/>
      <c r="B95" s="3"/>
      <c r="C95" s="3"/>
      <c r="D95" s="3"/>
      <c r="E95" s="3"/>
      <c r="F95" s="3"/>
      <c r="G95" s="3"/>
      <c r="K95" s="36"/>
      <c r="L95" s="47"/>
      <c r="M95" s="47"/>
      <c r="N95" s="47"/>
      <c r="O95" s="47"/>
      <c r="P95" s="47"/>
      <c r="Q95" s="47"/>
    </row>
    <row r="96" spans="1:17" x14ac:dyDescent="0.25">
      <c r="A96" s="36" t="s">
        <v>81</v>
      </c>
      <c r="B96" s="3"/>
      <c r="C96" s="3"/>
      <c r="D96" s="3"/>
      <c r="E96" s="3"/>
      <c r="F96" s="3"/>
      <c r="G96" s="3"/>
      <c r="K96" s="36" t="s">
        <v>81</v>
      </c>
      <c r="L96" s="47"/>
      <c r="M96" s="47"/>
      <c r="N96" s="47"/>
      <c r="O96" s="47"/>
      <c r="P96" s="47"/>
      <c r="Q96" s="47"/>
    </row>
    <row r="97" spans="1:17" x14ac:dyDescent="0.25">
      <c r="A97" s="38" t="s">
        <v>315</v>
      </c>
      <c r="B97" s="2">
        <v>1.268348</v>
      </c>
      <c r="C97" s="2">
        <v>4.6628799999999998E-2</v>
      </c>
      <c r="D97" s="2">
        <v>6.47</v>
      </c>
      <c r="E97" s="2">
        <v>0</v>
      </c>
      <c r="F97" s="2">
        <v>1.1801729999999999</v>
      </c>
      <c r="G97" s="2">
        <v>1.3631120000000001</v>
      </c>
      <c r="K97" s="38" t="s">
        <v>315</v>
      </c>
      <c r="L97" s="46">
        <v>1.641186</v>
      </c>
      <c r="M97" s="46">
        <v>0.12683330000000001</v>
      </c>
      <c r="N97" s="46">
        <v>6.41</v>
      </c>
      <c r="O97" s="46">
        <v>0</v>
      </c>
      <c r="P97" s="46">
        <v>1.410509</v>
      </c>
      <c r="Q97" s="46">
        <v>1.9095899999999999</v>
      </c>
    </row>
    <row r="98" spans="1:17" x14ac:dyDescent="0.25">
      <c r="A98" s="38" t="s">
        <v>316</v>
      </c>
      <c r="B98" s="2">
        <v>1.0352680000000001</v>
      </c>
      <c r="C98" s="2">
        <v>4.54233E-2</v>
      </c>
      <c r="D98" s="2">
        <v>0.79</v>
      </c>
      <c r="E98" s="2">
        <v>0.43</v>
      </c>
      <c r="F98" s="2">
        <v>0.94996029999999998</v>
      </c>
      <c r="G98" s="2">
        <v>1.128236</v>
      </c>
      <c r="K98" s="38" t="s">
        <v>316</v>
      </c>
      <c r="L98" s="46">
        <v>1.431322</v>
      </c>
      <c r="M98" s="46">
        <v>0.13377890000000001</v>
      </c>
      <c r="N98" s="46">
        <v>3.84</v>
      </c>
      <c r="O98" s="46">
        <v>0</v>
      </c>
      <c r="P98" s="46">
        <v>1.191735</v>
      </c>
      <c r="Q98" s="46">
        <v>1.719077</v>
      </c>
    </row>
    <row r="99" spans="1:17" x14ac:dyDescent="0.25">
      <c r="A99" s="38" t="s">
        <v>317</v>
      </c>
      <c r="B99" s="2">
        <v>1.0204500000000001</v>
      </c>
      <c r="C99" s="2">
        <v>4.5844799999999998E-2</v>
      </c>
      <c r="D99" s="2">
        <v>0.45</v>
      </c>
      <c r="E99" s="2">
        <v>0.65200000000000002</v>
      </c>
      <c r="F99" s="2">
        <v>0.93443849999999995</v>
      </c>
      <c r="G99" s="2">
        <v>1.114379</v>
      </c>
      <c r="K99" s="38" t="s">
        <v>317</v>
      </c>
      <c r="L99" s="46">
        <v>1.867648</v>
      </c>
      <c r="M99" s="46">
        <v>0.1746259</v>
      </c>
      <c r="N99" s="46">
        <v>6.68</v>
      </c>
      <c r="O99" s="46">
        <v>0</v>
      </c>
      <c r="P99" s="46">
        <v>1.554918</v>
      </c>
      <c r="Q99" s="46">
        <v>2.243277</v>
      </c>
    </row>
    <row r="100" spans="1:17" x14ac:dyDescent="0.25">
      <c r="A100" s="38" t="s">
        <v>82</v>
      </c>
      <c r="B100" s="2">
        <v>1.471231</v>
      </c>
      <c r="C100" s="2">
        <v>7.0301600000000006E-2</v>
      </c>
      <c r="D100" s="2">
        <v>8.08</v>
      </c>
      <c r="E100" s="2">
        <v>0</v>
      </c>
      <c r="F100" s="2">
        <v>1.3396969999999999</v>
      </c>
      <c r="G100" s="2">
        <v>1.6156779999999999</v>
      </c>
      <c r="K100" s="38" t="s">
        <v>82</v>
      </c>
      <c r="L100" s="46">
        <v>3.3708969999999998</v>
      </c>
      <c r="M100" s="46">
        <v>0.33050590000000002</v>
      </c>
      <c r="N100" s="46">
        <v>12.39</v>
      </c>
      <c r="O100" s="46">
        <v>0</v>
      </c>
      <c r="P100" s="46">
        <v>2.7815560000000001</v>
      </c>
      <c r="Q100" s="46">
        <v>4.0851040000000003</v>
      </c>
    </row>
    <row r="101" spans="1:17" x14ac:dyDescent="0.25">
      <c r="A101" s="36"/>
      <c r="B101" s="3"/>
      <c r="C101" s="3"/>
      <c r="D101" s="3"/>
      <c r="E101" s="3"/>
      <c r="F101" s="3"/>
      <c r="G101" s="3"/>
      <c r="K101" s="36"/>
      <c r="L101" s="47"/>
      <c r="M101" s="47"/>
      <c r="N101" s="47"/>
      <c r="O101" s="47"/>
      <c r="P101" s="47"/>
      <c r="Q101" s="47"/>
    </row>
    <row r="102" spans="1:17" x14ac:dyDescent="0.25">
      <c r="A102" s="36" t="s">
        <v>5</v>
      </c>
      <c r="B102" s="3"/>
      <c r="C102" s="3"/>
      <c r="D102" s="3"/>
      <c r="E102" s="3"/>
      <c r="F102" s="3"/>
      <c r="G102" s="3"/>
      <c r="K102" s="36" t="s">
        <v>5</v>
      </c>
      <c r="L102" s="47"/>
      <c r="M102" s="47"/>
      <c r="N102" s="47"/>
      <c r="O102" s="47"/>
      <c r="P102" s="47"/>
      <c r="Q102" s="47"/>
    </row>
    <row r="103" spans="1:17" x14ac:dyDescent="0.25">
      <c r="A103" s="36" t="s">
        <v>46</v>
      </c>
      <c r="B103" s="2">
        <v>0.13679250000000001</v>
      </c>
      <c r="C103" s="2">
        <v>1.9515600000000001E-2</v>
      </c>
      <c r="D103" s="2">
        <v>-13.94</v>
      </c>
      <c r="E103" s="2">
        <v>0</v>
      </c>
      <c r="F103" s="2">
        <f>B103-0.1034248</f>
        <v>3.3367700000000014E-2</v>
      </c>
      <c r="G103" s="2">
        <f>0.1809254-B103</f>
        <v>4.4132899999999975E-2</v>
      </c>
      <c r="K103" s="36" t="s">
        <v>46</v>
      </c>
      <c r="L103" s="46">
        <v>0.1162641</v>
      </c>
      <c r="M103" s="46">
        <v>4.2331000000000001E-2</v>
      </c>
      <c r="N103" s="46">
        <v>-5.91</v>
      </c>
      <c r="O103" s="46">
        <v>0</v>
      </c>
      <c r="P103" s="46">
        <f>L103-0.0569545</f>
        <v>5.9309599999999997E-2</v>
      </c>
      <c r="Q103" s="46">
        <f>0.2373355-L103</f>
        <v>0.12107140000000001</v>
      </c>
    </row>
    <row r="104" spans="1:17" x14ac:dyDescent="0.25">
      <c r="A104" s="36" t="s">
        <v>16</v>
      </c>
      <c r="B104" s="2">
        <v>0.29483160000000003</v>
      </c>
      <c r="C104" s="2">
        <v>4.3479400000000001E-2</v>
      </c>
      <c r="D104" s="2">
        <v>-8.2799999999999994</v>
      </c>
      <c r="E104" s="2">
        <v>0</v>
      </c>
      <c r="F104" s="2">
        <f>B104-0.2208236</f>
        <v>7.4008000000000018E-2</v>
      </c>
      <c r="G104" s="2">
        <f>0.393643-B104</f>
        <v>9.8811399999999994E-2</v>
      </c>
      <c r="K104" s="36" t="s">
        <v>16</v>
      </c>
      <c r="L104" s="46">
        <v>0.13986199999999999</v>
      </c>
      <c r="M104" s="46">
        <v>8.2415600000000006E-2</v>
      </c>
      <c r="N104" s="46">
        <v>-3.34</v>
      </c>
      <c r="O104" s="46">
        <v>1E-3</v>
      </c>
      <c r="P104" s="46">
        <f>L104-0.0440675</f>
        <v>9.5794499999999977E-2</v>
      </c>
      <c r="Q104" s="46">
        <f>0.4438965-L104</f>
        <v>0.30403450000000004</v>
      </c>
    </row>
    <row r="105" spans="1:17" x14ac:dyDescent="0.25">
      <c r="A105" s="36" t="s">
        <v>17</v>
      </c>
      <c r="B105" s="2">
        <v>0.61615410000000004</v>
      </c>
      <c r="C105" s="2">
        <v>6.64275E-2</v>
      </c>
      <c r="D105" s="2">
        <v>-4.49</v>
      </c>
      <c r="E105" s="2">
        <v>0</v>
      </c>
      <c r="F105" s="2">
        <f>B105-0.4987942</f>
        <v>0.11735990000000002</v>
      </c>
      <c r="G105" s="2">
        <f>0.7611273-B105</f>
        <v>0.14497319999999991</v>
      </c>
      <c r="K105" s="36" t="s">
        <v>17</v>
      </c>
      <c r="L105" s="46">
        <v>0.5059631</v>
      </c>
      <c r="M105" s="46">
        <v>0.20052</v>
      </c>
      <c r="N105" s="46">
        <v>-1.72</v>
      </c>
      <c r="O105" s="46">
        <v>8.5999999999999993E-2</v>
      </c>
      <c r="P105" s="46">
        <f>L105-0.2326892</f>
        <v>0.27327389999999996</v>
      </c>
      <c r="Q105" s="46">
        <f>1.100174-L105</f>
        <v>0.59421089999999999</v>
      </c>
    </row>
    <row r="106" spans="1:17" x14ac:dyDescent="0.25">
      <c r="A106" s="36" t="s">
        <v>18</v>
      </c>
      <c r="B106" s="2">
        <v>0.43194850000000001</v>
      </c>
      <c r="C106" s="2">
        <v>0.1077253</v>
      </c>
      <c r="D106" s="2">
        <v>-3.37</v>
      </c>
      <c r="E106" s="2">
        <v>1E-3</v>
      </c>
      <c r="F106" s="2">
        <f>B106-0.2649399</f>
        <v>0.16700860000000001</v>
      </c>
      <c r="G106" s="2">
        <f>0.7042331-B106</f>
        <v>0.27228459999999993</v>
      </c>
      <c r="K106" s="36" t="s">
        <v>18</v>
      </c>
      <c r="L106" s="55">
        <v>7.9999999999999996E-7</v>
      </c>
      <c r="M106" s="55">
        <v>1.3799999999999999E-7</v>
      </c>
      <c r="N106" s="46">
        <v>-81.58</v>
      </c>
      <c r="O106" s="46">
        <v>0</v>
      </c>
      <c r="P106" s="55">
        <f>L106-0.000000571</f>
        <v>2.2899999999999995E-7</v>
      </c>
      <c r="Q106" s="55">
        <f>0.00000112-L106</f>
        <v>3.2000000000000011E-7</v>
      </c>
    </row>
    <row r="107" spans="1:17" x14ac:dyDescent="0.25">
      <c r="A107" s="36" t="s">
        <v>19</v>
      </c>
      <c r="B107" s="2">
        <v>0.240566</v>
      </c>
      <c r="C107" s="2">
        <v>2.66015E-2</v>
      </c>
      <c r="D107" s="2">
        <v>-12.88</v>
      </c>
      <c r="E107" s="2">
        <v>0</v>
      </c>
      <c r="F107" s="2">
        <f>B107-0.193691</f>
        <v>4.6875E-2</v>
      </c>
      <c r="G107" s="2">
        <f>0.2987853-B107</f>
        <v>5.8219299999999974E-2</v>
      </c>
      <c r="K107" s="36" t="s">
        <v>19</v>
      </c>
      <c r="L107" s="46">
        <v>0.24419640000000001</v>
      </c>
      <c r="M107" s="46">
        <v>5.9309399999999998E-2</v>
      </c>
      <c r="N107" s="46">
        <v>-5.8</v>
      </c>
      <c r="O107" s="46">
        <v>0</v>
      </c>
      <c r="P107" s="46">
        <f>L107-0.1517061</f>
        <v>9.2490299999999998E-2</v>
      </c>
      <c r="Q107" s="46">
        <f>0.3930752-L107</f>
        <v>0.14887880000000001</v>
      </c>
    </row>
    <row r="108" spans="1:17" x14ac:dyDescent="0.25">
      <c r="A108" s="36" t="s">
        <v>20</v>
      </c>
      <c r="B108" s="2">
        <v>0.57297469999999995</v>
      </c>
      <c r="C108" s="2">
        <v>6.4676800000000007E-2</v>
      </c>
      <c r="D108" s="2">
        <v>-4.93</v>
      </c>
      <c r="E108" s="2">
        <v>0</v>
      </c>
      <c r="F108" s="2">
        <f>B108-0.4592536</f>
        <v>0.11372109999999996</v>
      </c>
      <c r="G108" s="2">
        <f>0.7148554-B108</f>
        <v>0.14188070000000008</v>
      </c>
      <c r="K108" s="36" t="s">
        <v>20</v>
      </c>
      <c r="L108" s="46">
        <v>0.60604139999999995</v>
      </c>
      <c r="M108" s="46">
        <v>0.18341679999999999</v>
      </c>
      <c r="N108" s="46">
        <v>-1.65</v>
      </c>
      <c r="O108" s="46">
        <v>9.8000000000000004E-2</v>
      </c>
      <c r="P108" s="46">
        <f>L108-0.3348794</f>
        <v>0.27116199999999996</v>
      </c>
      <c r="Q108" s="46">
        <f>1.096772-L108</f>
        <v>0.49073060000000013</v>
      </c>
    </row>
    <row r="109" spans="1:17" x14ac:dyDescent="0.25">
      <c r="A109" s="36" t="s">
        <v>21</v>
      </c>
      <c r="B109" s="2">
        <v>0.79797010000000002</v>
      </c>
      <c r="C109" s="2">
        <v>7.8229199999999999E-2</v>
      </c>
      <c r="D109" s="2">
        <v>-2.2999999999999998</v>
      </c>
      <c r="E109" s="2">
        <v>2.1000000000000001E-2</v>
      </c>
      <c r="F109" s="2">
        <f>B109-0.6584744</f>
        <v>0.1394957</v>
      </c>
      <c r="G109" s="2">
        <f>0.9670175-B109</f>
        <v>0.16904739999999996</v>
      </c>
      <c r="K109" s="36" t="s">
        <v>21</v>
      </c>
      <c r="L109" s="46">
        <v>0.5059631</v>
      </c>
      <c r="M109" s="46">
        <v>0.20145179999999999</v>
      </c>
      <c r="N109" s="46">
        <v>-1.71</v>
      </c>
      <c r="O109" s="46">
        <v>8.6999999999999994E-2</v>
      </c>
      <c r="P109" s="46">
        <f>L109-0.2318508</f>
        <v>0.27411229999999998</v>
      </c>
      <c r="Q109" s="46">
        <f>1.104153-L109</f>
        <v>0.59818989999999994</v>
      </c>
    </row>
    <row r="110" spans="1:17" x14ac:dyDescent="0.25">
      <c r="A110" s="36" t="s">
        <v>22</v>
      </c>
      <c r="B110" s="2">
        <v>0.73685330000000004</v>
      </c>
      <c r="C110" s="2">
        <v>0.14286660000000001</v>
      </c>
      <c r="D110" s="2">
        <v>-1.57</v>
      </c>
      <c r="E110" s="2">
        <v>0.115</v>
      </c>
      <c r="F110" s="2">
        <f>B110-0.5038993</f>
        <v>0.23295399999999999</v>
      </c>
      <c r="G110" s="2">
        <f>1.077502-B110</f>
        <v>0.34064869999999992</v>
      </c>
      <c r="K110" s="36" t="s">
        <v>22</v>
      </c>
      <c r="L110" s="46">
        <v>1.9524760000000001</v>
      </c>
      <c r="M110" s="46">
        <v>0.83411139999999995</v>
      </c>
      <c r="N110" s="46">
        <v>1.57</v>
      </c>
      <c r="O110" s="46">
        <v>0.11700000000000001</v>
      </c>
      <c r="P110" s="46">
        <f>L110-0.8451749</f>
        <v>1.1073011000000001</v>
      </c>
      <c r="Q110" s="46">
        <f>4.510503-L110</f>
        <v>2.5580270000000001</v>
      </c>
    </row>
    <row r="111" spans="1:17" x14ac:dyDescent="0.25">
      <c r="A111" s="36" t="s">
        <v>23</v>
      </c>
      <c r="B111" s="2">
        <v>0.62735850000000004</v>
      </c>
      <c r="C111" s="2">
        <v>4.9172E-2</v>
      </c>
      <c r="D111" s="2">
        <v>-5.95</v>
      </c>
      <c r="E111" s="2">
        <v>0</v>
      </c>
      <c r="F111" s="2">
        <f>B111-0.5380209</f>
        <v>8.9337600000000017E-2</v>
      </c>
      <c r="G111" s="2">
        <f>0.7315305-B111</f>
        <v>0.10417199999999993</v>
      </c>
      <c r="K111" s="36" t="s">
        <v>23</v>
      </c>
      <c r="L111" s="46">
        <v>0.60463460000000002</v>
      </c>
      <c r="M111" s="46">
        <v>0.1076411</v>
      </c>
      <c r="N111" s="46">
        <v>-2.83</v>
      </c>
      <c r="O111" s="46">
        <v>5.0000000000000001E-3</v>
      </c>
      <c r="P111" s="46">
        <f>L111-0.4265367</f>
        <v>0.17809790000000003</v>
      </c>
      <c r="Q111" s="46">
        <f>0.8570961-L111</f>
        <v>0.25246150000000001</v>
      </c>
    </row>
    <row r="112" spans="1:17" x14ac:dyDescent="0.25">
      <c r="A112" s="36" t="s">
        <v>24</v>
      </c>
      <c r="B112" s="2">
        <v>1.246081</v>
      </c>
      <c r="C112" s="2">
        <v>0.1064107</v>
      </c>
      <c r="D112" s="2">
        <v>2.58</v>
      </c>
      <c r="E112" s="2">
        <v>0.01</v>
      </c>
      <c r="F112" s="2">
        <f>B112-1.054039</f>
        <v>0.19204200000000005</v>
      </c>
      <c r="G112" s="2">
        <f>1.473112-B112</f>
        <v>0.22703099999999998</v>
      </c>
      <c r="K112" s="36" t="s">
        <v>24</v>
      </c>
      <c r="L112" s="46">
        <v>1.678323</v>
      </c>
      <c r="M112" s="46">
        <v>0.33925460000000002</v>
      </c>
      <c r="N112" s="46">
        <v>2.56</v>
      </c>
      <c r="O112" s="46">
        <v>0.01</v>
      </c>
      <c r="P112" s="46">
        <f>L112-1.129314</f>
        <v>0.54900900000000008</v>
      </c>
      <c r="Q112" s="46">
        <f>2.494231-L112</f>
        <v>0.81590800000000008</v>
      </c>
    </row>
    <row r="113" spans="1:17" x14ac:dyDescent="0.25">
      <c r="A113" s="36" t="s">
        <v>25</v>
      </c>
      <c r="B113" s="2">
        <v>1.8333109999999999</v>
      </c>
      <c r="C113" s="2">
        <v>0.14260709999999999</v>
      </c>
      <c r="D113" s="2">
        <v>7.79</v>
      </c>
      <c r="E113" s="2">
        <v>0</v>
      </c>
      <c r="F113" s="2">
        <f>B113-1.57407</f>
        <v>0.25924099999999983</v>
      </c>
      <c r="G113" s="2">
        <f>2.135248-B113</f>
        <v>0.3019369999999999</v>
      </c>
      <c r="K113" s="36" t="s">
        <v>25</v>
      </c>
      <c r="L113" s="46">
        <v>1.8793610000000001</v>
      </c>
      <c r="M113" s="46">
        <v>0.44053409999999998</v>
      </c>
      <c r="N113" s="46">
        <v>2.69</v>
      </c>
      <c r="O113" s="46">
        <v>7.0000000000000001E-3</v>
      </c>
      <c r="P113" s="46">
        <f>L113-1.187088</f>
        <v>0.69227300000000014</v>
      </c>
      <c r="Q113" s="46">
        <f>2.975344-L113</f>
        <v>1.0959830000000002</v>
      </c>
    </row>
    <row r="114" spans="1:17" x14ac:dyDescent="0.25">
      <c r="A114" s="36" t="s">
        <v>26</v>
      </c>
      <c r="B114" s="2">
        <v>1.2958449999999999</v>
      </c>
      <c r="C114" s="2">
        <v>0.1975316</v>
      </c>
      <c r="D114" s="2">
        <v>1.7</v>
      </c>
      <c r="E114" s="2">
        <v>8.8999999999999996E-2</v>
      </c>
      <c r="F114" s="2">
        <f>B114-0.961171</f>
        <v>0.33467399999999992</v>
      </c>
      <c r="G114" s="2">
        <f>1.747052-B114</f>
        <v>0.45120700000000014</v>
      </c>
      <c r="K114" s="36" t="s">
        <v>26</v>
      </c>
      <c r="L114" s="46">
        <v>1.6270739999999999</v>
      </c>
      <c r="M114" s="46">
        <v>0.76275890000000002</v>
      </c>
      <c r="N114" s="46">
        <v>1.04</v>
      </c>
      <c r="O114" s="46">
        <v>0.29899999999999999</v>
      </c>
      <c r="P114" s="46">
        <f>L114-0.6491887</f>
        <v>0.97788529999999996</v>
      </c>
      <c r="Q114" s="46">
        <f>4.077966-L114</f>
        <v>2.4508920000000001</v>
      </c>
    </row>
    <row r="115" spans="1:17" x14ac:dyDescent="0.25">
      <c r="A115" s="36" t="s">
        <v>27</v>
      </c>
      <c r="B115" s="2">
        <v>1.674528</v>
      </c>
      <c r="C115" s="2">
        <v>0.1083392</v>
      </c>
      <c r="D115" s="2">
        <v>7.97</v>
      </c>
      <c r="E115" s="2">
        <v>0</v>
      </c>
      <c r="F115" s="2">
        <f>B115-1.475099</f>
        <v>0.19942900000000008</v>
      </c>
      <c r="G115" s="2">
        <f>1.90092-B115</f>
        <v>0.22639199999999993</v>
      </c>
      <c r="K115" s="36" t="s">
        <v>27</v>
      </c>
      <c r="L115" s="46">
        <v>3.4999199999999999</v>
      </c>
      <c r="M115" s="46">
        <v>0.44733440000000002</v>
      </c>
      <c r="N115" s="46">
        <v>9.8000000000000007</v>
      </c>
      <c r="O115" s="46">
        <v>0</v>
      </c>
      <c r="P115" s="46">
        <f>L115-2.724355</f>
        <v>0.77556499999999984</v>
      </c>
      <c r="Q115" s="46">
        <f>4.496271-L115</f>
        <v>0.99635100000000021</v>
      </c>
    </row>
    <row r="116" spans="1:17" x14ac:dyDescent="0.25">
      <c r="A116" s="36" t="s">
        <v>28</v>
      </c>
      <c r="B116" s="2">
        <v>2.7480530000000001</v>
      </c>
      <c r="C116" s="2">
        <v>0.19688339999999999</v>
      </c>
      <c r="D116" s="2">
        <v>14.11</v>
      </c>
      <c r="E116" s="2">
        <v>0</v>
      </c>
      <c r="F116" s="2">
        <f>B116-2.388037</f>
        <v>0.36001599999999989</v>
      </c>
      <c r="G116" s="2">
        <f>3.162345-B116</f>
        <v>0.4142920000000001</v>
      </c>
      <c r="K116" s="36" t="s">
        <v>28</v>
      </c>
      <c r="L116" s="46">
        <v>7.7386720000000002</v>
      </c>
      <c r="M116" s="46">
        <v>1.0854349999999999</v>
      </c>
      <c r="N116" s="46">
        <v>14.59</v>
      </c>
      <c r="O116" s="46">
        <v>0</v>
      </c>
      <c r="P116" s="46">
        <f>L116-5.878627</f>
        <v>1.8600450000000004</v>
      </c>
      <c r="Q116" s="46">
        <f>10.18725-L116</f>
        <v>2.4485780000000004</v>
      </c>
    </row>
    <row r="117" spans="1:17" x14ac:dyDescent="0.25">
      <c r="A117" s="36" t="s">
        <v>29</v>
      </c>
      <c r="B117" s="2">
        <v>3.3837969999999999</v>
      </c>
      <c r="C117" s="2">
        <v>0.23282449999999999</v>
      </c>
      <c r="D117" s="2">
        <v>17.72</v>
      </c>
      <c r="E117" s="2">
        <v>0</v>
      </c>
      <c r="F117" s="2">
        <f>B117-2.956901</f>
        <v>0.42689600000000016</v>
      </c>
      <c r="G117" s="2">
        <f>3.872325-B117</f>
        <v>0.48852800000000007</v>
      </c>
      <c r="K117" s="36" t="s">
        <v>29</v>
      </c>
      <c r="L117" s="46">
        <v>15.9023</v>
      </c>
      <c r="M117" s="46">
        <v>2.2428590000000002</v>
      </c>
      <c r="N117" s="46">
        <v>19.61</v>
      </c>
      <c r="O117" s="46">
        <v>0</v>
      </c>
      <c r="P117" s="46">
        <f>L117-12.06165</f>
        <v>3.8406500000000001</v>
      </c>
      <c r="Q117" s="46">
        <f>20.96589-L117</f>
        <v>5.0635900000000014</v>
      </c>
    </row>
    <row r="118" spans="1:17" x14ac:dyDescent="0.25">
      <c r="A118" s="36" t="s">
        <v>30</v>
      </c>
      <c r="B118" s="2">
        <v>4.5735720000000004</v>
      </c>
      <c r="C118" s="2">
        <v>0.47000920000000002</v>
      </c>
      <c r="D118" s="2">
        <v>14.79</v>
      </c>
      <c r="E118" s="2">
        <v>0</v>
      </c>
      <c r="F118" s="2">
        <f>B118-3.739217</f>
        <v>0.8343550000000004</v>
      </c>
      <c r="G118" s="2">
        <f>5.594102-B118</f>
        <v>1.0205299999999999</v>
      </c>
      <c r="K118" s="36" t="s">
        <v>30</v>
      </c>
      <c r="L118" s="46">
        <v>17.572130000000001</v>
      </c>
      <c r="M118" s="46">
        <v>3.0486059999999999</v>
      </c>
      <c r="N118" s="46">
        <v>16.52</v>
      </c>
      <c r="O118" s="46">
        <v>0</v>
      </c>
      <c r="P118" s="46">
        <f>L118-12.50687</f>
        <v>5.0652600000000021</v>
      </c>
      <c r="Q118" s="46">
        <f>24.68881-L118</f>
        <v>7.1166799999999988</v>
      </c>
    </row>
    <row r="119" spans="1:17" x14ac:dyDescent="0.25">
      <c r="A119" s="36" t="s">
        <v>67</v>
      </c>
      <c r="B119" s="2">
        <v>1</v>
      </c>
      <c r="C119" s="2"/>
      <c r="D119" s="2"/>
      <c r="E119" s="2"/>
      <c r="F119" s="2">
        <v>0</v>
      </c>
      <c r="G119" s="2">
        <v>0</v>
      </c>
      <c r="K119" s="36" t="s">
        <v>67</v>
      </c>
      <c r="L119" s="2">
        <v>1</v>
      </c>
      <c r="M119" s="2"/>
      <c r="N119" s="2"/>
      <c r="O119" s="2"/>
      <c r="P119" s="2">
        <v>0</v>
      </c>
      <c r="Q119" s="2">
        <v>0</v>
      </c>
    </row>
    <row r="120" spans="1:17" x14ac:dyDescent="0.25">
      <c r="A120" s="36" t="s">
        <v>31</v>
      </c>
      <c r="B120" s="2">
        <v>1.3573379999999999</v>
      </c>
      <c r="C120" s="2">
        <v>0.11561299999999999</v>
      </c>
      <c r="D120" s="2">
        <v>3.59</v>
      </c>
      <c r="E120" s="2">
        <v>0</v>
      </c>
      <c r="F120" s="2">
        <f>B120-1.148645</f>
        <v>0.20869300000000002</v>
      </c>
      <c r="G120" s="2">
        <f>1.603948-B120</f>
        <v>0.24661</v>
      </c>
      <c r="K120" s="36" t="s">
        <v>31</v>
      </c>
      <c r="L120" s="46">
        <v>1.958032</v>
      </c>
      <c r="M120" s="46">
        <v>0.3718841</v>
      </c>
      <c r="N120" s="46">
        <v>3.54</v>
      </c>
      <c r="O120" s="46">
        <v>0</v>
      </c>
      <c r="P120" s="46">
        <f>L120-1.349439</f>
        <v>0.60859299999999994</v>
      </c>
      <c r="Q120" s="46">
        <f>2.841099-L120</f>
        <v>0.88306699999999982</v>
      </c>
    </row>
    <row r="121" spans="1:17" x14ac:dyDescent="0.25">
      <c r="A121" s="36" t="s">
        <v>32</v>
      </c>
      <c r="B121" s="2">
        <v>1.070694</v>
      </c>
      <c r="C121" s="2">
        <v>9.6533800000000003E-2</v>
      </c>
      <c r="D121" s="2">
        <v>0.76</v>
      </c>
      <c r="E121" s="2">
        <v>0.44900000000000001</v>
      </c>
      <c r="F121" s="2">
        <f>B121-0.8972657</f>
        <v>0.17342829999999998</v>
      </c>
      <c r="G121" s="2">
        <f>1.277644-B121</f>
        <v>0.20694999999999997</v>
      </c>
      <c r="K121" s="36" t="s">
        <v>32</v>
      </c>
      <c r="L121" s="46">
        <v>2.3130359999999999</v>
      </c>
      <c r="M121" s="46">
        <v>0.50205460000000002</v>
      </c>
      <c r="N121" s="46">
        <v>3.86</v>
      </c>
      <c r="O121" s="46">
        <v>0</v>
      </c>
      <c r="P121" s="46">
        <f>L121-1.51156</f>
        <v>0.80147599999999986</v>
      </c>
      <c r="Q121" s="46">
        <f>3.53948-L121</f>
        <v>1.2264440000000003</v>
      </c>
    </row>
    <row r="122" spans="1:17" x14ac:dyDescent="0.25">
      <c r="A122" s="36" t="s">
        <v>33</v>
      </c>
      <c r="B122" s="2">
        <v>1.9310639999999999</v>
      </c>
      <c r="C122" s="2">
        <v>0.25131110000000001</v>
      </c>
      <c r="D122" s="2">
        <v>5.0599999999999996</v>
      </c>
      <c r="E122" s="2">
        <v>0</v>
      </c>
      <c r="F122" s="2">
        <f>B122-1.496305</f>
        <v>0.4347589999999999</v>
      </c>
      <c r="G122" s="2">
        <f>2.492144-B122</f>
        <v>0.56108000000000025</v>
      </c>
      <c r="K122" s="36" t="s">
        <v>33</v>
      </c>
      <c r="L122" s="46">
        <v>4.8810130000000003</v>
      </c>
      <c r="M122" s="46">
        <v>1.392782</v>
      </c>
      <c r="N122" s="46">
        <v>5.56</v>
      </c>
      <c r="O122" s="46">
        <v>0</v>
      </c>
      <c r="P122" s="46">
        <f>L122-2.790116</f>
        <v>2.0908970000000004</v>
      </c>
      <c r="Q122" s="46">
        <f>8.538818-L122</f>
        <v>3.6578049999999989</v>
      </c>
    </row>
    <row r="123" spans="1:17" x14ac:dyDescent="0.25">
      <c r="A123" s="36" t="s">
        <v>34</v>
      </c>
      <c r="B123" s="2">
        <v>7.7830200000000002E-2</v>
      </c>
      <c r="C123" s="2">
        <v>1.4038999999999999E-2</v>
      </c>
      <c r="D123" s="2">
        <v>-14.15</v>
      </c>
      <c r="E123" s="2">
        <v>0</v>
      </c>
      <c r="F123" s="2">
        <f>B123-0.0546523</f>
        <v>2.3177900000000001E-2</v>
      </c>
      <c r="G123" s="2">
        <f>0.1108377-B123</f>
        <v>3.3007499999999995E-2</v>
      </c>
      <c r="K123" s="36" t="s">
        <v>34</v>
      </c>
      <c r="L123" s="46">
        <v>8.1357399999999996E-2</v>
      </c>
      <c r="M123" s="46">
        <v>3.17413E-2</v>
      </c>
      <c r="N123" s="46">
        <v>-6.43</v>
      </c>
      <c r="O123" s="46">
        <v>0</v>
      </c>
      <c r="P123" s="46">
        <f>L123-0.0378708</f>
        <v>4.3486599999999993E-2</v>
      </c>
      <c r="Q123" s="46">
        <f>0.1747793-L123</f>
        <v>9.3421900000000002E-2</v>
      </c>
    </row>
    <row r="124" spans="1:17" x14ac:dyDescent="0.25">
      <c r="A124" s="36" t="s">
        <v>35</v>
      </c>
      <c r="B124" s="2">
        <v>0.13907149999999999</v>
      </c>
      <c r="C124" s="2">
        <v>2.8772499999999999E-2</v>
      </c>
      <c r="D124" s="2">
        <v>-9.5399999999999991</v>
      </c>
      <c r="E124" s="2">
        <v>0</v>
      </c>
      <c r="F124" s="2">
        <f>B124-0.0927114</f>
        <v>4.6360099999999987E-2</v>
      </c>
      <c r="G124" s="2">
        <f>0.2086138-B124</f>
        <v>6.9542300000000001E-2</v>
      </c>
      <c r="K124" s="36" t="s">
        <v>35</v>
      </c>
      <c r="L124" s="46">
        <v>0.32633420000000002</v>
      </c>
      <c r="M124" s="46">
        <v>0.1291852</v>
      </c>
      <c r="N124" s="46">
        <v>-2.83</v>
      </c>
      <c r="O124" s="46">
        <v>5.0000000000000001E-3</v>
      </c>
      <c r="P124" s="46">
        <f>L124-0.1502102</f>
        <v>0.17612400000000003</v>
      </c>
      <c r="Q124" s="46">
        <f>0.7089666-L124</f>
        <v>0.38263239999999998</v>
      </c>
    </row>
    <row r="125" spans="1:17" x14ac:dyDescent="0.25">
      <c r="A125" s="36" t="s">
        <v>36</v>
      </c>
      <c r="B125" s="2">
        <v>0.22221949999999999</v>
      </c>
      <c r="C125" s="2">
        <v>3.6364899999999999E-2</v>
      </c>
      <c r="D125" s="2">
        <v>-9.19</v>
      </c>
      <c r="E125" s="2">
        <v>0</v>
      </c>
      <c r="F125" s="2">
        <f>B125-0.1612457</f>
        <v>6.0973799999999995E-2</v>
      </c>
      <c r="G125" s="2">
        <f>0.30625-B125</f>
        <v>8.4030500000000036E-2</v>
      </c>
      <c r="K125" s="36" t="s">
        <v>36</v>
      </c>
      <c r="L125" s="46">
        <v>0.5059631</v>
      </c>
      <c r="M125" s="46">
        <v>0.2007216</v>
      </c>
      <c r="N125" s="46">
        <v>-1.72</v>
      </c>
      <c r="O125" s="46">
        <v>8.5999999999999993E-2</v>
      </c>
      <c r="P125" s="46">
        <f>L125-0.2325076</f>
        <v>0.27345549999999996</v>
      </c>
      <c r="Q125" s="46">
        <f>1.101034-L125</f>
        <v>0.59507090000000007</v>
      </c>
    </row>
    <row r="126" spans="1:17" x14ac:dyDescent="0.25">
      <c r="A126" s="36" t="s">
        <v>37</v>
      </c>
      <c r="B126" s="2">
        <v>0.22867860000000001</v>
      </c>
      <c r="C126" s="2">
        <v>7.6933500000000002E-2</v>
      </c>
      <c r="D126" s="2">
        <v>-4.3899999999999997</v>
      </c>
      <c r="E126" s="2">
        <v>0</v>
      </c>
      <c r="F126" s="2">
        <f>B126-0.1182657</f>
        <v>0.11041290000000001</v>
      </c>
      <c r="G126" s="2">
        <f>0.442173-B126</f>
        <v>0.21349439999999997</v>
      </c>
      <c r="K126" s="36" t="s">
        <v>37</v>
      </c>
      <c r="L126" s="46">
        <v>0.32540819999999998</v>
      </c>
      <c r="M126" s="46">
        <v>0.32941730000000002</v>
      </c>
      <c r="N126" s="46">
        <v>-1.1100000000000001</v>
      </c>
      <c r="O126" s="46">
        <v>0.26700000000000002</v>
      </c>
      <c r="P126" s="46">
        <f>L126-0.0447445</f>
        <v>0.28066369999999996</v>
      </c>
      <c r="Q126" s="46">
        <f>2.366557-L126</f>
        <v>2.0411487999999998</v>
      </c>
    </row>
    <row r="127" spans="1:17" x14ac:dyDescent="0.25">
      <c r="A127" s="36" t="s">
        <v>50</v>
      </c>
      <c r="B127" s="2">
        <v>9.4339599999999996E-2</v>
      </c>
      <c r="C127" s="2">
        <v>1.56162E-2</v>
      </c>
      <c r="D127" s="2">
        <v>-14.26</v>
      </c>
      <c r="E127" s="2">
        <v>0</v>
      </c>
      <c r="F127" s="2">
        <f>B127-0.0682013</f>
        <v>2.6138299999999989E-2</v>
      </c>
      <c r="G127" s="2">
        <f>0.1304954-B127</f>
        <v>3.6155800000000016E-2</v>
      </c>
      <c r="K127" s="36" t="s">
        <v>50</v>
      </c>
      <c r="L127" s="46">
        <v>0.1162641</v>
      </c>
      <c r="M127" s="46">
        <v>3.9003900000000001E-2</v>
      </c>
      <c r="N127" s="46">
        <v>-6.41</v>
      </c>
      <c r="O127" s="46">
        <v>0</v>
      </c>
      <c r="P127" s="46">
        <f>L127-0.0602403</f>
        <v>5.6023799999999999E-2</v>
      </c>
      <c r="Q127" s="46">
        <f>0.2243903-L127</f>
        <v>0.10812619999999999</v>
      </c>
    </row>
    <row r="128" spans="1:17" x14ac:dyDescent="0.25">
      <c r="A128" s="36" t="s">
        <v>51</v>
      </c>
      <c r="B128" s="2">
        <v>0.1835744</v>
      </c>
      <c r="C128" s="2">
        <v>3.4321699999999997E-2</v>
      </c>
      <c r="D128" s="2">
        <v>-9.07</v>
      </c>
      <c r="E128" s="2">
        <v>0</v>
      </c>
      <c r="F128" s="2">
        <f>B128-0.1272531</f>
        <v>5.6321299999999991E-2</v>
      </c>
      <c r="G128" s="2">
        <f>0.2648231-B128</f>
        <v>8.1248699999999979E-2</v>
      </c>
      <c r="K128" s="36" t="s">
        <v>51</v>
      </c>
      <c r="L128" s="46">
        <v>0.4195644</v>
      </c>
      <c r="M128" s="46">
        <v>0.14727409999999999</v>
      </c>
      <c r="N128" s="46">
        <v>-2.4700000000000002</v>
      </c>
      <c r="O128" s="46">
        <v>1.2999999999999999E-2</v>
      </c>
      <c r="P128" s="46">
        <f>L128-0.210869</f>
        <v>0.2086954</v>
      </c>
      <c r="Q128" s="46">
        <f>0.8348041-L128</f>
        <v>0.41523970000000004</v>
      </c>
    </row>
    <row r="129" spans="1:22" x14ac:dyDescent="0.25">
      <c r="A129" s="36" t="s">
        <v>52</v>
      </c>
      <c r="B129" s="2">
        <v>0.1919169</v>
      </c>
      <c r="C129" s="2">
        <v>3.2958000000000001E-2</v>
      </c>
      <c r="D129" s="2">
        <v>-9.61</v>
      </c>
      <c r="E129" s="2">
        <v>0</v>
      </c>
      <c r="F129" s="2">
        <f>B129-0.1370679</f>
        <v>5.4849000000000009E-2</v>
      </c>
      <c r="G129" s="2">
        <f>0.2687142-B129</f>
        <v>7.6797300000000013E-2</v>
      </c>
      <c r="K129" s="36" t="s">
        <v>52</v>
      </c>
      <c r="L129" s="46">
        <v>0.5059631</v>
      </c>
      <c r="M129" s="46">
        <v>0.20107620000000001</v>
      </c>
      <c r="N129" s="46">
        <v>-1.71</v>
      </c>
      <c r="O129" s="46">
        <v>8.5999999999999993E-2</v>
      </c>
      <c r="P129" s="46">
        <f>L129-0.2321884</f>
        <v>0.27377470000000004</v>
      </c>
      <c r="Q129" s="46">
        <f>1.102547-L129</f>
        <v>0.59658389999999994</v>
      </c>
    </row>
    <row r="130" spans="1:22" x14ac:dyDescent="0.25">
      <c r="A130" s="36" t="s">
        <v>53</v>
      </c>
      <c r="B130" s="2">
        <v>0.35572229999999999</v>
      </c>
      <c r="C130" s="2">
        <v>9.6772800000000006E-2</v>
      </c>
      <c r="D130" s="2">
        <v>-3.8</v>
      </c>
      <c r="E130" s="2">
        <v>0</v>
      </c>
      <c r="F130" s="2">
        <f>B130-0.2087109</f>
        <v>0.14701139999999999</v>
      </c>
      <c r="G130" s="2">
        <f>0.6062852-B130</f>
        <v>0.25056289999999998</v>
      </c>
      <c r="K130" s="36" t="s">
        <v>53</v>
      </c>
      <c r="L130" s="46">
        <v>0.6508081</v>
      </c>
      <c r="M130" s="46">
        <v>0.46563979999999999</v>
      </c>
      <c r="N130" s="46">
        <v>-0.6</v>
      </c>
      <c r="O130" s="46">
        <v>0.54800000000000004</v>
      </c>
      <c r="P130" s="46">
        <f>L130-0.1601164</f>
        <v>0.49069170000000001</v>
      </c>
      <c r="Q130" s="46">
        <f>2.645271-L130</f>
        <v>1.9944629000000003</v>
      </c>
    </row>
    <row r="131" spans="1:22" x14ac:dyDescent="0.25">
      <c r="A131" s="36" t="s">
        <v>54</v>
      </c>
      <c r="B131" s="2">
        <v>1.3325469999999999</v>
      </c>
      <c r="C131" s="2">
        <v>8.7397600000000006E-2</v>
      </c>
      <c r="D131" s="2">
        <v>4.38</v>
      </c>
      <c r="E131" s="2">
        <v>0</v>
      </c>
      <c r="F131" s="2">
        <f>B131-1.171804</f>
        <v>0.16074299999999986</v>
      </c>
      <c r="G131" s="2">
        <f>1.515341-B131</f>
        <v>0.18279400000000012</v>
      </c>
      <c r="K131" s="36" t="s">
        <v>54</v>
      </c>
      <c r="L131" s="46">
        <v>1.8372200000000001</v>
      </c>
      <c r="M131" s="46">
        <v>0.25339010000000001</v>
      </c>
      <c r="N131" s="46">
        <v>4.41</v>
      </c>
      <c r="O131" s="46">
        <v>0</v>
      </c>
      <c r="P131" s="46">
        <f>L131-1.402048</f>
        <v>0.43517200000000011</v>
      </c>
      <c r="Q131" s="46">
        <f>2.40746-L131</f>
        <v>0.57023999999999986</v>
      </c>
    </row>
    <row r="132" spans="1:22" x14ac:dyDescent="0.25">
      <c r="A132" s="36" t="s">
        <v>55</v>
      </c>
      <c r="B132" s="2">
        <v>1.9915039999999999</v>
      </c>
      <c r="C132" s="2">
        <v>0.1513002</v>
      </c>
      <c r="D132" s="2">
        <v>9.07</v>
      </c>
      <c r="E132" s="2">
        <v>0</v>
      </c>
      <c r="F132" s="2">
        <f>B132-1.715983</f>
        <v>0.2755209999999999</v>
      </c>
      <c r="G132" s="2">
        <f>2.311263-B132</f>
        <v>0.3197589999999999</v>
      </c>
      <c r="K132" s="36" t="s">
        <v>55</v>
      </c>
      <c r="L132" s="46">
        <v>3.543005</v>
      </c>
      <c r="M132" s="46">
        <v>0.5868911</v>
      </c>
      <c r="N132" s="46">
        <v>7.64</v>
      </c>
      <c r="O132" s="46">
        <v>0</v>
      </c>
      <c r="P132" s="46">
        <f>L132-2.560778</f>
        <v>0.98222699999999996</v>
      </c>
      <c r="Q132" s="46">
        <f>4.901979-L132</f>
        <v>1.3589739999999999</v>
      </c>
    </row>
    <row r="133" spans="1:22" x14ac:dyDescent="0.25">
      <c r="A133" s="36" t="s">
        <v>56</v>
      </c>
      <c r="B133" s="2">
        <v>2.4393639999999999</v>
      </c>
      <c r="C133" s="2">
        <v>0.17717340000000001</v>
      </c>
      <c r="D133" s="2">
        <v>12.28</v>
      </c>
      <c r="E133" s="2">
        <v>0</v>
      </c>
      <c r="F133" s="2">
        <f>B133-2.115695</f>
        <v>0.32366899999999976</v>
      </c>
      <c r="G133" s="2">
        <f>2.81255-B133</f>
        <v>0.37318600000000002</v>
      </c>
      <c r="K133" s="36" t="s">
        <v>56</v>
      </c>
      <c r="L133" s="46">
        <v>3.6863220000000001</v>
      </c>
      <c r="M133" s="46">
        <v>0.69420530000000003</v>
      </c>
      <c r="N133" s="46">
        <v>6.93</v>
      </c>
      <c r="O133" s="46">
        <v>0</v>
      </c>
      <c r="P133" s="46">
        <f>L133-2.548565</f>
        <v>1.1377570000000001</v>
      </c>
      <c r="Q133" s="46">
        <f>5.332009-L133</f>
        <v>1.6456870000000001</v>
      </c>
    </row>
    <row r="134" spans="1:22" x14ac:dyDescent="0.25">
      <c r="A134" s="36" t="s">
        <v>57</v>
      </c>
      <c r="B134" s="2">
        <v>1.549933</v>
      </c>
      <c r="C134" s="2">
        <v>0.23009099999999999</v>
      </c>
      <c r="D134" s="2">
        <v>2.95</v>
      </c>
      <c r="E134" s="2">
        <v>3.0000000000000001E-3</v>
      </c>
      <c r="F134" s="2">
        <f>B134-1.158644</f>
        <v>0.391289</v>
      </c>
      <c r="G134" s="2">
        <f>2.073364-B134</f>
        <v>0.5234310000000002</v>
      </c>
      <c r="K134" s="36" t="s">
        <v>57</v>
      </c>
      <c r="L134" s="46">
        <v>2.603262</v>
      </c>
      <c r="M134" s="46">
        <v>0.9726844</v>
      </c>
      <c r="N134" s="46">
        <v>2.56</v>
      </c>
      <c r="O134" s="46">
        <v>0.01</v>
      </c>
      <c r="P134" s="46">
        <f>L134-1.251625</f>
        <v>1.351637</v>
      </c>
      <c r="Q134" s="46">
        <f>5.414537-L134</f>
        <v>2.8112750000000002</v>
      </c>
    </row>
    <row r="135" spans="1:22" x14ac:dyDescent="0.25">
      <c r="A135" s="36" t="s">
        <v>58</v>
      </c>
      <c r="B135" s="2">
        <v>0.46933960000000002</v>
      </c>
      <c r="C135" s="2">
        <v>4.0900499999999999E-2</v>
      </c>
      <c r="D135" s="2">
        <v>-8.68</v>
      </c>
      <c r="E135" s="2">
        <v>0</v>
      </c>
      <c r="F135" s="2">
        <f>B135-0.3956484</f>
        <v>7.3691200000000012E-2</v>
      </c>
      <c r="G135" s="2">
        <f>0.5567562-B135</f>
        <v>8.7416600000000011E-2</v>
      </c>
      <c r="K135" s="36" t="s">
        <v>58</v>
      </c>
      <c r="L135" s="46">
        <v>0.72091669999999997</v>
      </c>
      <c r="M135" s="46">
        <v>0.1218948</v>
      </c>
      <c r="N135" s="46">
        <v>-1.94</v>
      </c>
      <c r="O135" s="46">
        <v>5.2999999999999999E-2</v>
      </c>
      <c r="P135" s="46">
        <f>L135-0.5175607</f>
        <v>0.20335599999999998</v>
      </c>
      <c r="Q135" s="46">
        <f>1.004174-L135</f>
        <v>0.28325729999999993</v>
      </c>
    </row>
    <row r="136" spans="1:22" x14ac:dyDescent="0.25">
      <c r="A136" s="36" t="s">
        <v>59</v>
      </c>
      <c r="B136" s="2">
        <v>0.72873480000000002</v>
      </c>
      <c r="C136" s="2">
        <v>7.5007599999999994E-2</v>
      </c>
      <c r="D136" s="2">
        <v>-3.07</v>
      </c>
      <c r="E136" s="2">
        <v>2E-3</v>
      </c>
      <c r="F136" s="2">
        <f>B136-0.5956026</f>
        <v>0.13313220000000003</v>
      </c>
      <c r="G136" s="2">
        <f>0.8916253-B136</f>
        <v>0.16289049999999994</v>
      </c>
      <c r="K136" s="36" t="s">
        <v>59</v>
      </c>
      <c r="L136" s="46">
        <v>1.77156</v>
      </c>
      <c r="M136" s="46">
        <v>0.35660710000000001</v>
      </c>
      <c r="N136" s="46">
        <v>2.84</v>
      </c>
      <c r="O136" s="46">
        <v>4.0000000000000001E-3</v>
      </c>
      <c r="P136" s="46">
        <f>L136-1.194023</f>
        <v>0.57753699999999997</v>
      </c>
      <c r="Q136" s="46">
        <f>2.628445-L136</f>
        <v>0.85688500000000012</v>
      </c>
    </row>
    <row r="137" spans="1:22" x14ac:dyDescent="0.25">
      <c r="A137" s="36" t="s">
        <v>60</v>
      </c>
      <c r="B137" s="2">
        <v>1.0252399999999999</v>
      </c>
      <c r="C137" s="2">
        <v>9.2085799999999995E-2</v>
      </c>
      <c r="D137" s="2">
        <v>0.28000000000000003</v>
      </c>
      <c r="E137" s="2">
        <v>0.78100000000000003</v>
      </c>
      <c r="F137" s="2">
        <f>B137-0.859749</f>
        <v>0.16549099999999994</v>
      </c>
      <c r="G137" s="2">
        <f>1.222586-B137</f>
        <v>0.19734600000000002</v>
      </c>
      <c r="K137" s="36" t="s">
        <v>60</v>
      </c>
      <c r="L137" s="46">
        <v>1.6625179999999999</v>
      </c>
      <c r="M137" s="46">
        <v>0.39985480000000001</v>
      </c>
      <c r="N137" s="46">
        <v>2.11</v>
      </c>
      <c r="O137" s="46">
        <v>3.5000000000000003E-2</v>
      </c>
      <c r="P137" s="46">
        <f>L137-1.03763</f>
        <v>0.62488799999999989</v>
      </c>
      <c r="Q137" s="46">
        <f>2.66373-L137</f>
        <v>1.0012120000000002</v>
      </c>
    </row>
    <row r="138" spans="1:22" x14ac:dyDescent="0.25">
      <c r="A138" s="36" t="s">
        <v>61</v>
      </c>
      <c r="B138" s="2">
        <v>1.092576</v>
      </c>
      <c r="C138" s="2">
        <v>0.1779095</v>
      </c>
      <c r="D138" s="2">
        <v>0.54</v>
      </c>
      <c r="E138" s="2">
        <v>0.58699999999999997</v>
      </c>
      <c r="F138" s="2">
        <f>B138-0.7940469</f>
        <v>0.29852909999999999</v>
      </c>
      <c r="G138" s="2">
        <f>1.503339-B138</f>
        <v>0.41076299999999999</v>
      </c>
      <c r="K138" s="36" t="s">
        <v>61</v>
      </c>
      <c r="L138" s="46">
        <v>4.230219</v>
      </c>
      <c r="M138" s="46">
        <v>1.285647</v>
      </c>
      <c r="N138" s="46">
        <v>4.75</v>
      </c>
      <c r="O138" s="46">
        <v>0</v>
      </c>
      <c r="P138" s="46">
        <f>L138-2.331663</f>
        <v>1.8985560000000001</v>
      </c>
      <c r="Q138" s="46">
        <f>7.674672-L138</f>
        <v>3.4444530000000002</v>
      </c>
    </row>
    <row r="139" spans="1:22" x14ac:dyDescent="0.25">
      <c r="A139" s="36"/>
      <c r="B139" s="3"/>
      <c r="C139" s="3"/>
      <c r="D139" s="3"/>
      <c r="E139" s="3"/>
      <c r="F139" s="3"/>
      <c r="G139" s="3"/>
      <c r="K139" s="36"/>
      <c r="L139" s="47"/>
      <c r="M139" s="47"/>
      <c r="N139" s="47"/>
      <c r="O139" s="47"/>
      <c r="P139" s="47"/>
      <c r="Q139" s="47"/>
    </row>
    <row r="140" spans="1:22" x14ac:dyDescent="0.25">
      <c r="A140" s="5" t="s">
        <v>6</v>
      </c>
      <c r="B140" s="6">
        <v>1.6731000000000001E-3</v>
      </c>
      <c r="C140" s="6">
        <v>1.089E-4</v>
      </c>
      <c r="D140" s="6">
        <v>-98.2</v>
      </c>
      <c r="E140" s="6">
        <v>0</v>
      </c>
      <c r="F140" s="6">
        <v>1.4727E-3</v>
      </c>
      <c r="G140" s="6">
        <v>1.9008E-3</v>
      </c>
      <c r="K140" s="5" t="s">
        <v>6</v>
      </c>
      <c r="L140" s="48">
        <v>8.9769999999999997E-4</v>
      </c>
      <c r="M140" s="48">
        <v>1.304E-4</v>
      </c>
      <c r="N140" s="48">
        <v>-48.29</v>
      </c>
      <c r="O140" s="48">
        <v>0</v>
      </c>
      <c r="P140" s="48">
        <v>6.7529999999999999E-4</v>
      </c>
      <c r="Q140" s="48">
        <v>1.1934999999999999E-3</v>
      </c>
    </row>
    <row r="142" spans="1:22" ht="15.75" thickBot="1" x14ac:dyDescent="0.3">
      <c r="B142" s="7"/>
      <c r="C142" s="7"/>
      <c r="D142" s="7"/>
      <c r="E142" s="7"/>
      <c r="F142" s="7"/>
      <c r="G142" s="7"/>
      <c r="H142" s="7"/>
    </row>
    <row r="143" spans="1:22" x14ac:dyDescent="0.25">
      <c r="B143" s="10"/>
      <c r="C143" s="11" t="s">
        <v>9</v>
      </c>
      <c r="D143" s="11" t="s">
        <v>10</v>
      </c>
      <c r="E143" s="11" t="s">
        <v>11</v>
      </c>
      <c r="F143" s="11" t="s">
        <v>7</v>
      </c>
      <c r="G143" s="11" t="s">
        <v>8</v>
      </c>
      <c r="H143" s="11" t="s">
        <v>62</v>
      </c>
      <c r="I143" s="11" t="s">
        <v>63</v>
      </c>
      <c r="J143" s="11" t="s">
        <v>64</v>
      </c>
      <c r="K143" s="12" t="s">
        <v>65</v>
      </c>
      <c r="M143" s="10"/>
      <c r="N143" s="11" t="s">
        <v>9</v>
      </c>
      <c r="O143" s="11" t="s">
        <v>10</v>
      </c>
      <c r="P143" s="11" t="s">
        <v>11</v>
      </c>
      <c r="Q143" s="11" t="s">
        <v>7</v>
      </c>
      <c r="R143" s="11" t="s">
        <v>8</v>
      </c>
      <c r="S143" s="11" t="s">
        <v>62</v>
      </c>
      <c r="T143" s="11" t="s">
        <v>63</v>
      </c>
      <c r="U143" s="11" t="s">
        <v>64</v>
      </c>
      <c r="V143" s="12" t="s">
        <v>65</v>
      </c>
    </row>
    <row r="144" spans="1:22" x14ac:dyDescent="0.25">
      <c r="B144" s="13" t="s">
        <v>12</v>
      </c>
      <c r="C144" s="14">
        <f>B103</f>
        <v>0.13679250000000001</v>
      </c>
      <c r="D144" s="15">
        <f>B107</f>
        <v>0.240566</v>
      </c>
      <c r="E144" s="15">
        <f>B111</f>
        <v>0.62735850000000004</v>
      </c>
      <c r="F144" s="15">
        <f>B115</f>
        <v>1.674528</v>
      </c>
      <c r="G144" s="15">
        <f>B119</f>
        <v>1</v>
      </c>
      <c r="H144" s="15">
        <f>B123</f>
        <v>7.7830200000000002E-2</v>
      </c>
      <c r="I144" s="4">
        <f>B127</f>
        <v>9.4339599999999996E-2</v>
      </c>
      <c r="J144" s="25">
        <f>B131</f>
        <v>1.3325469999999999</v>
      </c>
      <c r="K144" s="17">
        <f>B135</f>
        <v>0.46933960000000002</v>
      </c>
      <c r="M144" s="13" t="s">
        <v>12</v>
      </c>
      <c r="N144" s="14">
        <f>L103</f>
        <v>0.1162641</v>
      </c>
      <c r="O144" s="15">
        <f>L107</f>
        <v>0.24419640000000001</v>
      </c>
      <c r="P144" s="15">
        <f>L111</f>
        <v>0.60463460000000002</v>
      </c>
      <c r="Q144" s="15">
        <f>L115</f>
        <v>3.4999199999999999</v>
      </c>
      <c r="R144" s="15">
        <f>L119</f>
        <v>1</v>
      </c>
      <c r="S144" s="15">
        <f>L123</f>
        <v>8.1357399999999996E-2</v>
      </c>
      <c r="T144" s="4">
        <f>L127</f>
        <v>0.1162641</v>
      </c>
      <c r="U144" s="25">
        <f>L131</f>
        <v>1.8372200000000001</v>
      </c>
      <c r="V144" s="17">
        <f>L135</f>
        <v>0.72091669999999997</v>
      </c>
    </row>
    <row r="145" spans="2:22" x14ac:dyDescent="0.25">
      <c r="B145" s="13" t="s">
        <v>13</v>
      </c>
      <c r="C145" s="15">
        <f>B104</f>
        <v>0.29483160000000003</v>
      </c>
      <c r="D145" s="15">
        <f>B108</f>
        <v>0.57297469999999995</v>
      </c>
      <c r="E145" s="15">
        <f>B112</f>
        <v>1.246081</v>
      </c>
      <c r="F145" s="15">
        <f>B116</f>
        <v>2.7480530000000001</v>
      </c>
      <c r="G145" s="15">
        <f>B120</f>
        <v>1.3573379999999999</v>
      </c>
      <c r="H145" s="15">
        <f>B124</f>
        <v>0.13907149999999999</v>
      </c>
      <c r="I145" s="4">
        <f>B128</f>
        <v>0.1835744</v>
      </c>
      <c r="J145" s="25">
        <f>B132</f>
        <v>1.9915039999999999</v>
      </c>
      <c r="K145" s="17">
        <f>B136</f>
        <v>0.72873480000000002</v>
      </c>
      <c r="M145" s="13" t="s">
        <v>13</v>
      </c>
      <c r="N145" s="15">
        <f>L104</f>
        <v>0.13986199999999999</v>
      </c>
      <c r="O145" s="15">
        <f>L108</f>
        <v>0.60604139999999995</v>
      </c>
      <c r="P145" s="15">
        <f>L112</f>
        <v>1.678323</v>
      </c>
      <c r="Q145" s="15">
        <f>L116</f>
        <v>7.7386720000000002</v>
      </c>
      <c r="R145" s="15">
        <f>L120</f>
        <v>1.958032</v>
      </c>
      <c r="S145" s="15">
        <f>L124</f>
        <v>0.32633420000000002</v>
      </c>
      <c r="T145" s="4">
        <f>L128</f>
        <v>0.4195644</v>
      </c>
      <c r="U145" s="25">
        <f>L132</f>
        <v>3.543005</v>
      </c>
      <c r="V145" s="17">
        <f>L136</f>
        <v>1.77156</v>
      </c>
    </row>
    <row r="146" spans="2:22" x14ac:dyDescent="0.25">
      <c r="B146" s="13" t="s">
        <v>14</v>
      </c>
      <c r="C146" s="15">
        <f>B105</f>
        <v>0.61615410000000004</v>
      </c>
      <c r="D146" s="15">
        <f>B109</f>
        <v>0.79797010000000002</v>
      </c>
      <c r="E146" s="15">
        <f>B113</f>
        <v>1.8333109999999999</v>
      </c>
      <c r="F146" s="15">
        <f>B117</f>
        <v>3.3837969999999999</v>
      </c>
      <c r="G146" s="15">
        <f>B121</f>
        <v>1.070694</v>
      </c>
      <c r="H146" s="15">
        <f>B125</f>
        <v>0.22221949999999999</v>
      </c>
      <c r="I146" s="4">
        <f>B129</f>
        <v>0.1919169</v>
      </c>
      <c r="J146" s="25">
        <f>B133</f>
        <v>2.4393639999999999</v>
      </c>
      <c r="K146" s="17">
        <f>B137</f>
        <v>1.0252399999999999</v>
      </c>
      <c r="M146" s="13" t="s">
        <v>14</v>
      </c>
      <c r="N146" s="15">
        <f>L105</f>
        <v>0.5059631</v>
      </c>
      <c r="O146" s="15">
        <f>L109</f>
        <v>0.5059631</v>
      </c>
      <c r="P146" s="15">
        <f>L113</f>
        <v>1.8793610000000001</v>
      </c>
      <c r="Q146" s="15">
        <f>L117</f>
        <v>15.9023</v>
      </c>
      <c r="R146" s="15">
        <f>L121</f>
        <v>2.3130359999999999</v>
      </c>
      <c r="S146" s="15">
        <f>L125</f>
        <v>0.5059631</v>
      </c>
      <c r="T146" s="4">
        <f>L129</f>
        <v>0.5059631</v>
      </c>
      <c r="U146" s="25">
        <f>L133</f>
        <v>3.6863220000000001</v>
      </c>
      <c r="V146" s="17">
        <f>L137</f>
        <v>1.6625179999999999</v>
      </c>
    </row>
    <row r="147" spans="2:22" ht="15.75" thickBot="1" x14ac:dyDescent="0.3">
      <c r="B147" s="19" t="s">
        <v>371</v>
      </c>
      <c r="C147" s="20">
        <f>B106</f>
        <v>0.43194850000000001</v>
      </c>
      <c r="D147" s="20">
        <f>B110</f>
        <v>0.73685330000000004</v>
      </c>
      <c r="E147" s="20">
        <f>B114</f>
        <v>1.2958449999999999</v>
      </c>
      <c r="F147" s="20">
        <f>B118</f>
        <v>4.5735720000000004</v>
      </c>
      <c r="G147" s="20">
        <f>B122</f>
        <v>1.9310639999999999</v>
      </c>
      <c r="H147" s="20">
        <f>B126</f>
        <v>0.22867860000000001</v>
      </c>
      <c r="I147" s="29">
        <f>B130</f>
        <v>0.35572229999999999</v>
      </c>
      <c r="J147" s="28">
        <f>B134</f>
        <v>1.549933</v>
      </c>
      <c r="K147" s="22">
        <f>B138</f>
        <v>1.092576</v>
      </c>
      <c r="M147" s="19" t="s">
        <v>371</v>
      </c>
      <c r="N147" s="20">
        <f>L106</f>
        <v>7.9999999999999996E-7</v>
      </c>
      <c r="O147" s="20">
        <f>L110</f>
        <v>1.9524760000000001</v>
      </c>
      <c r="P147" s="20">
        <f>L114</f>
        <v>1.6270739999999999</v>
      </c>
      <c r="Q147" s="20">
        <f>L118</f>
        <v>17.572130000000001</v>
      </c>
      <c r="R147" s="20">
        <f>L122</f>
        <v>4.8810130000000003</v>
      </c>
      <c r="S147" s="20">
        <f>L126</f>
        <v>0.32540819999999998</v>
      </c>
      <c r="T147" s="29">
        <f>L130</f>
        <v>0.6508081</v>
      </c>
      <c r="U147" s="28">
        <f>L134</f>
        <v>2.603262</v>
      </c>
      <c r="V147" s="22">
        <f>L138</f>
        <v>4.230219</v>
      </c>
    </row>
    <row r="148" spans="2:22" x14ac:dyDescent="0.25">
      <c r="B148" s="7"/>
      <c r="C148" s="7"/>
      <c r="D148" s="7"/>
      <c r="E148" s="7"/>
      <c r="F148" s="7"/>
      <c r="G148" s="7"/>
      <c r="H148" s="7"/>
    </row>
    <row r="149" spans="2:22" x14ac:dyDescent="0.25">
      <c r="B149" s="7"/>
      <c r="C149" s="7"/>
      <c r="D149" s="7"/>
      <c r="E149" s="7"/>
      <c r="F149" s="7"/>
      <c r="G149" s="7"/>
      <c r="H149" s="7"/>
    </row>
    <row r="150" spans="2:22" x14ac:dyDescent="0.25">
      <c r="B150" s="7"/>
      <c r="C150" s="7"/>
      <c r="D150" s="7"/>
      <c r="E150" s="7"/>
      <c r="F150" s="7"/>
      <c r="G150" s="7"/>
      <c r="H150" s="7"/>
    </row>
    <row r="151" spans="2:22" x14ac:dyDescent="0.25">
      <c r="B151" s="7"/>
      <c r="C151" s="7"/>
      <c r="D151" s="7"/>
      <c r="E151" s="7"/>
      <c r="F151" s="7"/>
      <c r="G151" s="7"/>
      <c r="H151" s="7"/>
    </row>
    <row r="152" spans="2:22" x14ac:dyDescent="0.25">
      <c r="B152" s="7"/>
      <c r="C152" s="7"/>
      <c r="D152" s="7"/>
      <c r="E152" s="7"/>
      <c r="F152" s="7"/>
      <c r="G152" s="7"/>
      <c r="H152" s="7"/>
    </row>
    <row r="153" spans="2:22" x14ac:dyDescent="0.25">
      <c r="B153" s="7"/>
      <c r="C153" s="7"/>
      <c r="D153" s="7"/>
      <c r="E153" s="7"/>
      <c r="F153" s="7"/>
      <c r="G153" s="7"/>
      <c r="H153" s="7"/>
    </row>
    <row r="154" spans="2:22" x14ac:dyDescent="0.25">
      <c r="B154" s="7"/>
      <c r="C154" s="7"/>
      <c r="D154" s="7"/>
      <c r="E154" s="7"/>
      <c r="F154" s="7"/>
      <c r="G154" s="7"/>
      <c r="H154" s="7"/>
    </row>
    <row r="155" spans="2:22" x14ac:dyDescent="0.25">
      <c r="B155" s="7"/>
      <c r="C155" s="7"/>
      <c r="D155" s="7"/>
      <c r="E155" s="7"/>
      <c r="F155" s="7"/>
      <c r="G155" s="7"/>
      <c r="H155" s="7"/>
    </row>
    <row r="156" spans="2:22" x14ac:dyDescent="0.25">
      <c r="B156" s="7"/>
      <c r="C156" s="7"/>
      <c r="D156" s="7"/>
      <c r="E156" s="7"/>
      <c r="F156" s="7"/>
      <c r="G156" s="7"/>
      <c r="H156" s="7"/>
    </row>
    <row r="157" spans="2:22" x14ac:dyDescent="0.25">
      <c r="B157" s="7"/>
      <c r="C157" s="7"/>
      <c r="D157" s="7"/>
      <c r="E157" s="7"/>
      <c r="F157" s="7"/>
      <c r="G157" s="7"/>
      <c r="H157" s="7"/>
    </row>
    <row r="158" spans="2:22" x14ac:dyDescent="0.25">
      <c r="B158" s="7"/>
      <c r="C158" s="7"/>
      <c r="D158" s="7"/>
      <c r="E158" s="7"/>
      <c r="F158" s="7"/>
      <c r="G158" s="7"/>
      <c r="H158" s="7"/>
    </row>
    <row r="159" spans="2:22" x14ac:dyDescent="0.25">
      <c r="B159" s="7"/>
      <c r="C159" s="7"/>
      <c r="D159" s="7"/>
      <c r="E159" s="7"/>
      <c r="F159" s="7"/>
      <c r="G159" s="7"/>
      <c r="H159" s="7"/>
    </row>
    <row r="160" spans="2:22" x14ac:dyDescent="0.25">
      <c r="B160" s="7"/>
      <c r="C160" s="7"/>
      <c r="D160" s="7"/>
      <c r="E160" s="7"/>
      <c r="F160" s="7"/>
      <c r="G160" s="7"/>
      <c r="H160" s="7"/>
    </row>
    <row r="161" spans="1:8" x14ac:dyDescent="0.25">
      <c r="B161" s="7"/>
      <c r="C161" s="7"/>
      <c r="D161" s="7"/>
      <c r="E161" s="7"/>
      <c r="F161" s="7"/>
      <c r="G161" s="7"/>
      <c r="H161" s="7"/>
    </row>
    <row r="162" spans="1:8" x14ac:dyDescent="0.25">
      <c r="B162" s="7"/>
      <c r="C162" s="7"/>
      <c r="D162" s="7"/>
      <c r="E162" s="7"/>
      <c r="F162" s="7"/>
      <c r="G162" s="7"/>
      <c r="H162" s="7"/>
    </row>
    <row r="163" spans="1:8" x14ac:dyDescent="0.25">
      <c r="B163" s="7"/>
    </row>
    <row r="164" spans="1:8" s="1" customFormat="1" x14ac:dyDescent="0.25">
      <c r="A164" s="1" t="s">
        <v>90</v>
      </c>
      <c r="B164" s="33"/>
      <c r="C164" s="33"/>
      <c r="D164" s="33"/>
      <c r="E164" s="33"/>
      <c r="F164" s="33"/>
      <c r="G164" s="33"/>
      <c r="H164" s="33"/>
    </row>
    <row r="166" spans="1:8" x14ac:dyDescent="0.25">
      <c r="A166" s="36"/>
      <c r="B166" s="2" t="s">
        <v>1</v>
      </c>
      <c r="C166" s="3"/>
      <c r="D166" s="3"/>
      <c r="E166" s="3"/>
      <c r="F166" s="3"/>
      <c r="G166" s="3"/>
    </row>
    <row r="167" spans="1:8" x14ac:dyDescent="0.25">
      <c r="A167" s="5" t="s">
        <v>2</v>
      </c>
      <c r="B167" s="6" t="s">
        <v>269</v>
      </c>
      <c r="C167" s="6" t="s">
        <v>270</v>
      </c>
      <c r="D167" s="6" t="s">
        <v>3</v>
      </c>
      <c r="E167" s="6" t="s">
        <v>4</v>
      </c>
      <c r="F167" s="6" t="s">
        <v>271</v>
      </c>
      <c r="G167" s="6" t="s">
        <v>272</v>
      </c>
    </row>
    <row r="168" spans="1:8" x14ac:dyDescent="0.25">
      <c r="A168" s="36"/>
      <c r="B168" s="2"/>
      <c r="C168" s="2"/>
      <c r="D168" s="3"/>
      <c r="E168" s="3"/>
      <c r="F168" s="3"/>
      <c r="G168" s="3"/>
    </row>
    <row r="169" spans="1:8" x14ac:dyDescent="0.25">
      <c r="A169" s="36" t="s">
        <v>74</v>
      </c>
      <c r="B169" s="3"/>
      <c r="C169" s="3"/>
      <c r="D169" s="3"/>
      <c r="E169" s="3"/>
      <c r="F169" s="3"/>
      <c r="G169" s="3"/>
    </row>
    <row r="170" spans="1:8" x14ac:dyDescent="0.25">
      <c r="A170" s="36" t="s">
        <v>75</v>
      </c>
      <c r="B170" s="2">
        <v>0.83927600000000002</v>
      </c>
      <c r="C170" s="2">
        <v>3.0102E-2</v>
      </c>
      <c r="D170" s="2">
        <v>-4.8899999999999997</v>
      </c>
      <c r="E170" s="2">
        <v>0</v>
      </c>
      <c r="F170" s="2">
        <v>0.78230310000000003</v>
      </c>
      <c r="G170" s="2">
        <v>0.90039809999999998</v>
      </c>
    </row>
    <row r="171" spans="1:8" x14ac:dyDescent="0.25">
      <c r="A171" s="36" t="s">
        <v>76</v>
      </c>
      <c r="B171" s="2">
        <v>0.62864059999999999</v>
      </c>
      <c r="C171" s="2">
        <v>2.9140699999999999E-2</v>
      </c>
      <c r="D171" s="2">
        <v>-10.01</v>
      </c>
      <c r="E171" s="2">
        <v>0</v>
      </c>
      <c r="F171" s="2">
        <v>0.57404350000000004</v>
      </c>
      <c r="G171" s="2">
        <v>0.68843030000000005</v>
      </c>
    </row>
    <row r="172" spans="1:8" x14ac:dyDescent="0.25">
      <c r="A172" s="36" t="s">
        <v>77</v>
      </c>
      <c r="B172" s="2">
        <v>0.54071590000000003</v>
      </c>
      <c r="C172" s="2">
        <v>2.7432999999999999E-2</v>
      </c>
      <c r="D172" s="2">
        <v>-12.12</v>
      </c>
      <c r="E172" s="2">
        <v>0</v>
      </c>
      <c r="F172" s="2">
        <v>0.4895351</v>
      </c>
      <c r="G172" s="2">
        <v>0.59724770000000005</v>
      </c>
    </row>
    <row r="173" spans="1:8" x14ac:dyDescent="0.25">
      <c r="A173" s="36" t="s">
        <v>78</v>
      </c>
      <c r="B173" s="2">
        <v>0.48635810000000002</v>
      </c>
      <c r="C173" s="2">
        <v>2.6843700000000002E-2</v>
      </c>
      <c r="D173" s="2">
        <v>-13.06</v>
      </c>
      <c r="E173" s="2">
        <v>0</v>
      </c>
      <c r="F173" s="2">
        <v>0.43649120000000002</v>
      </c>
      <c r="G173" s="2">
        <v>0.54192209999999996</v>
      </c>
    </row>
    <row r="174" spans="1:8" x14ac:dyDescent="0.25">
      <c r="A174" s="36" t="s">
        <v>79</v>
      </c>
      <c r="B174" s="2">
        <v>0.44618219999999997</v>
      </c>
      <c r="C174" s="2">
        <v>2.89091E-2</v>
      </c>
      <c r="D174" s="2">
        <v>-12.46</v>
      </c>
      <c r="E174" s="2">
        <v>0</v>
      </c>
      <c r="F174" s="2">
        <v>0.39297149999999997</v>
      </c>
      <c r="G174" s="2">
        <v>0.50659790000000005</v>
      </c>
    </row>
    <row r="175" spans="1:8" x14ac:dyDescent="0.25">
      <c r="A175" s="36" t="s">
        <v>80</v>
      </c>
      <c r="B175" s="2">
        <v>0.3718687</v>
      </c>
      <c r="C175" s="2">
        <v>2.6516899999999999E-2</v>
      </c>
      <c r="D175" s="2">
        <v>-13.87</v>
      </c>
      <c r="E175" s="2">
        <v>0</v>
      </c>
      <c r="F175" s="2">
        <v>0.32336490000000001</v>
      </c>
      <c r="G175" s="2">
        <v>0.42764780000000002</v>
      </c>
    </row>
    <row r="176" spans="1:8" x14ac:dyDescent="0.25">
      <c r="A176" s="36" t="s">
        <v>86</v>
      </c>
      <c r="B176" s="2">
        <v>0.29935980000000001</v>
      </c>
      <c r="C176" s="2">
        <v>2.34971E-2</v>
      </c>
      <c r="D176" s="2">
        <v>-15.37</v>
      </c>
      <c r="E176" s="2">
        <v>0</v>
      </c>
      <c r="F176" s="2">
        <v>0.25667400000000001</v>
      </c>
      <c r="G176" s="2">
        <v>0.34914450000000002</v>
      </c>
    </row>
    <row r="177" spans="1:7" x14ac:dyDescent="0.25">
      <c r="A177" s="36" t="s">
        <v>87</v>
      </c>
      <c r="B177" s="2">
        <v>0.18025340000000001</v>
      </c>
      <c r="C177" s="2">
        <v>1.9860099999999999E-2</v>
      </c>
      <c r="D177" s="2">
        <v>-15.55</v>
      </c>
      <c r="E177" s="2">
        <v>0</v>
      </c>
      <c r="F177" s="2">
        <v>0.1452444</v>
      </c>
      <c r="G177" s="2">
        <v>0.22370090000000001</v>
      </c>
    </row>
    <row r="178" spans="1:7" x14ac:dyDescent="0.25">
      <c r="A178" s="36" t="s">
        <v>88</v>
      </c>
      <c r="B178" s="2">
        <v>3.6094800000000003E-2</v>
      </c>
      <c r="C178" s="2">
        <v>1.1514699999999999E-2</v>
      </c>
      <c r="D178" s="2">
        <v>-10.41</v>
      </c>
      <c r="E178" s="2">
        <v>0</v>
      </c>
      <c r="F178" s="2">
        <v>1.9315200000000001E-2</v>
      </c>
      <c r="G178" s="2">
        <v>6.7450999999999997E-2</v>
      </c>
    </row>
    <row r="179" spans="1:7" x14ac:dyDescent="0.25">
      <c r="A179" s="36"/>
      <c r="B179" s="3"/>
      <c r="C179" s="3"/>
      <c r="D179" s="3"/>
      <c r="E179" s="3"/>
      <c r="F179" s="3"/>
      <c r="G179" s="3"/>
    </row>
    <row r="180" spans="1:7" x14ac:dyDescent="0.25">
      <c r="A180" s="36" t="s">
        <v>113</v>
      </c>
      <c r="B180" s="3"/>
      <c r="C180" s="3"/>
      <c r="D180" s="3"/>
      <c r="E180" s="3"/>
      <c r="F180" s="3"/>
      <c r="G180" s="3"/>
    </row>
    <row r="181" spans="1:7" x14ac:dyDescent="0.25">
      <c r="A181" s="36">
        <v>2</v>
      </c>
      <c r="B181" s="2">
        <v>0.86962740000000005</v>
      </c>
      <c r="C181" s="2">
        <v>2.3531199999999999E-2</v>
      </c>
      <c r="D181" s="2">
        <v>-5.16</v>
      </c>
      <c r="E181" s="2">
        <v>0</v>
      </c>
      <c r="F181" s="2">
        <v>0.82470880000000002</v>
      </c>
      <c r="G181" s="2">
        <v>0.91699249999999999</v>
      </c>
    </row>
    <row r="182" spans="1:7" x14ac:dyDescent="0.25">
      <c r="A182" s="36">
        <v>3</v>
      </c>
      <c r="B182" s="2">
        <v>1.046932</v>
      </c>
      <c r="C182" s="2">
        <v>7.6550099999999996E-2</v>
      </c>
      <c r="D182" s="2">
        <v>0.63</v>
      </c>
      <c r="E182" s="2">
        <v>0.53</v>
      </c>
      <c r="F182" s="2">
        <v>0.90715190000000001</v>
      </c>
      <c r="G182" s="2">
        <v>1.208251</v>
      </c>
    </row>
    <row r="183" spans="1:7" x14ac:dyDescent="0.25">
      <c r="A183" s="36"/>
      <c r="B183" s="3"/>
      <c r="C183" s="3"/>
      <c r="D183" s="3"/>
      <c r="E183" s="3"/>
      <c r="F183" s="3"/>
      <c r="G183" s="3"/>
    </row>
    <row r="184" spans="1:7" x14ac:dyDescent="0.25">
      <c r="A184" s="36" t="s">
        <v>108</v>
      </c>
      <c r="B184" s="3"/>
      <c r="C184" s="3"/>
      <c r="D184" s="3"/>
      <c r="E184" s="3"/>
      <c r="F184" s="3"/>
      <c r="G184" s="3"/>
    </row>
    <row r="185" spans="1:7" x14ac:dyDescent="0.25">
      <c r="A185" s="36">
        <v>2</v>
      </c>
      <c r="B185" s="2">
        <v>1.1482380000000001</v>
      </c>
      <c r="C185" s="2">
        <v>3.6586899999999999E-2</v>
      </c>
      <c r="D185" s="2">
        <v>4.34</v>
      </c>
      <c r="E185" s="2">
        <v>0</v>
      </c>
      <c r="F185" s="2">
        <v>1.078722</v>
      </c>
      <c r="G185" s="2">
        <v>1.2222329999999999</v>
      </c>
    </row>
    <row r="186" spans="1:7" x14ac:dyDescent="0.25">
      <c r="A186" s="36" t="s">
        <v>109</v>
      </c>
      <c r="B186" s="2">
        <v>1.2174940000000001</v>
      </c>
      <c r="C186" s="2">
        <v>6.5271700000000002E-2</v>
      </c>
      <c r="D186" s="2">
        <v>3.67</v>
      </c>
      <c r="E186" s="2">
        <v>0</v>
      </c>
      <c r="F186" s="2">
        <v>1.0960559999999999</v>
      </c>
      <c r="G186" s="2">
        <v>1.352387</v>
      </c>
    </row>
    <row r="187" spans="1:7" x14ac:dyDescent="0.25">
      <c r="A187" s="36"/>
      <c r="B187" s="3"/>
      <c r="C187" s="3"/>
      <c r="D187" s="3"/>
      <c r="E187" s="3"/>
      <c r="F187" s="3"/>
      <c r="G187" s="3"/>
    </row>
    <row r="188" spans="1:7" x14ac:dyDescent="0.25">
      <c r="A188" s="36" t="s">
        <v>81</v>
      </c>
      <c r="B188" s="3"/>
      <c r="C188" s="3"/>
      <c r="D188" s="3"/>
      <c r="E188" s="3"/>
      <c r="F188" s="3"/>
      <c r="G188" s="3"/>
    </row>
    <row r="189" spans="1:7" x14ac:dyDescent="0.25">
      <c r="A189" s="38" t="s">
        <v>315</v>
      </c>
      <c r="B189" s="2">
        <v>1.266597</v>
      </c>
      <c r="C189" s="2">
        <v>4.6670299999999998E-2</v>
      </c>
      <c r="D189" s="2">
        <v>6.41</v>
      </c>
      <c r="E189" s="2">
        <v>0</v>
      </c>
      <c r="F189" s="2">
        <v>1.17835</v>
      </c>
      <c r="G189" s="2">
        <v>1.361453</v>
      </c>
    </row>
    <row r="190" spans="1:7" x14ac:dyDescent="0.25">
      <c r="A190" s="38" t="s">
        <v>316</v>
      </c>
      <c r="B190" s="2">
        <v>1.0342210000000001</v>
      </c>
      <c r="C190" s="2">
        <v>4.5465899999999997E-2</v>
      </c>
      <c r="D190" s="2">
        <v>0.77</v>
      </c>
      <c r="E190" s="2">
        <v>0.44400000000000001</v>
      </c>
      <c r="F190" s="2">
        <v>0.94884049999999998</v>
      </c>
      <c r="G190" s="2">
        <v>1.127284</v>
      </c>
    </row>
    <row r="191" spans="1:7" x14ac:dyDescent="0.25">
      <c r="A191" s="38" t="s">
        <v>317</v>
      </c>
      <c r="B191" s="2">
        <v>1.012084</v>
      </c>
      <c r="C191" s="2">
        <v>4.5603100000000001E-2</v>
      </c>
      <c r="D191" s="2">
        <v>0.27</v>
      </c>
      <c r="E191" s="2">
        <v>0.79</v>
      </c>
      <c r="F191" s="2">
        <v>0.92653700000000005</v>
      </c>
      <c r="G191" s="2">
        <v>1.1055299999999999</v>
      </c>
    </row>
    <row r="192" spans="1:7" x14ac:dyDescent="0.25">
      <c r="A192" s="38" t="s">
        <v>82</v>
      </c>
      <c r="B192" s="2">
        <v>1.3561730000000001</v>
      </c>
      <c r="C192" s="2">
        <v>6.3400999999999999E-2</v>
      </c>
      <c r="D192" s="2">
        <v>6.52</v>
      </c>
      <c r="E192" s="2">
        <v>0</v>
      </c>
      <c r="F192" s="2">
        <v>1.2374320000000001</v>
      </c>
      <c r="G192" s="2">
        <v>1.486308</v>
      </c>
    </row>
    <row r="193" spans="1:7" x14ac:dyDescent="0.25">
      <c r="A193" s="36"/>
      <c r="B193" s="3"/>
      <c r="C193" s="3"/>
      <c r="D193" s="3"/>
      <c r="E193" s="3"/>
      <c r="F193" s="3"/>
      <c r="G193" s="3"/>
    </row>
    <row r="194" spans="1:7" x14ac:dyDescent="0.25">
      <c r="A194" s="36" t="s">
        <v>92</v>
      </c>
      <c r="B194" s="3"/>
      <c r="C194" s="3"/>
      <c r="D194" s="3"/>
      <c r="E194" s="3"/>
      <c r="F194" s="3"/>
      <c r="G194" s="3"/>
    </row>
    <row r="195" spans="1:7" x14ac:dyDescent="0.25">
      <c r="A195" s="36" t="s">
        <v>117</v>
      </c>
      <c r="B195" s="2">
        <v>0.27837840000000003</v>
      </c>
      <c r="C195" s="2">
        <v>3.1697400000000001E-2</v>
      </c>
      <c r="D195" s="2">
        <v>-11.23</v>
      </c>
      <c r="E195" s="2">
        <v>0</v>
      </c>
      <c r="F195" s="2">
        <f>B195-0.2226968</f>
        <v>5.5681600000000026E-2</v>
      </c>
      <c r="G195" s="2">
        <f>0.3479823-B195</f>
        <v>6.9603899999999996E-2</v>
      </c>
    </row>
    <row r="196" spans="1:7" x14ac:dyDescent="0.25">
      <c r="A196" s="36" t="s">
        <v>118</v>
      </c>
      <c r="B196" s="2">
        <v>0.71562020000000004</v>
      </c>
      <c r="C196" s="2">
        <v>7.8376899999999999E-2</v>
      </c>
      <c r="D196" s="2">
        <v>-3.06</v>
      </c>
      <c r="E196" s="2">
        <v>2E-3</v>
      </c>
      <c r="F196" s="2">
        <f>B196-0.5773729</f>
        <v>0.13824730000000007</v>
      </c>
      <c r="G196" s="2">
        <f>0.8869697-B196</f>
        <v>0.17134949999999993</v>
      </c>
    </row>
    <row r="197" spans="1:7" x14ac:dyDescent="0.25">
      <c r="A197" s="36" t="s">
        <v>119</v>
      </c>
      <c r="B197" s="2">
        <v>0.47567569999999998</v>
      </c>
      <c r="C197" s="2">
        <v>4.4373299999999997E-2</v>
      </c>
      <c r="D197" s="2">
        <v>-7.97</v>
      </c>
      <c r="E197" s="2">
        <v>0</v>
      </c>
      <c r="F197" s="2">
        <f>B197-0.3961931</f>
        <v>7.9482599999999959E-2</v>
      </c>
      <c r="G197" s="2">
        <f>0.5711038-B197</f>
        <v>9.5428100000000071E-2</v>
      </c>
    </row>
    <row r="198" spans="1:7" x14ac:dyDescent="0.25">
      <c r="A198" s="36" t="s">
        <v>120</v>
      </c>
      <c r="B198" s="2">
        <v>0.91837919999999995</v>
      </c>
      <c r="C198" s="2">
        <v>9.1752799999999995E-2</v>
      </c>
      <c r="D198" s="2">
        <v>-0.85</v>
      </c>
      <c r="E198" s="2">
        <v>0.39400000000000002</v>
      </c>
      <c r="F198" s="2">
        <f>B198-0.7550588</f>
        <v>0.16332039999999992</v>
      </c>
      <c r="G198" s="2">
        <f>1.117026-B198</f>
        <v>0.19864680000000012</v>
      </c>
    </row>
    <row r="199" spans="1:7" x14ac:dyDescent="0.25">
      <c r="A199" s="36" t="s">
        <v>121</v>
      </c>
      <c r="B199" s="2">
        <v>1.156757</v>
      </c>
      <c r="C199" s="2">
        <v>8.3392400000000005E-2</v>
      </c>
      <c r="D199" s="2">
        <v>2.02</v>
      </c>
      <c r="E199" s="2">
        <v>4.2999999999999997E-2</v>
      </c>
      <c r="F199" s="2">
        <f>B199-1.004333</f>
        <v>0.15242400000000011</v>
      </c>
      <c r="G199" s="2">
        <f>1.332314-B199</f>
        <v>0.17555699999999996</v>
      </c>
    </row>
    <row r="200" spans="1:7" x14ac:dyDescent="0.25">
      <c r="A200" s="36" t="s">
        <v>122</v>
      </c>
      <c r="B200" s="2">
        <v>2.1647509999999999</v>
      </c>
      <c r="C200" s="2">
        <v>0.16945499999999999</v>
      </c>
      <c r="D200" s="2">
        <v>9.8699999999999992</v>
      </c>
      <c r="E200" s="2">
        <v>0</v>
      </c>
      <c r="F200" s="2">
        <f>B200-1.856849</f>
        <v>0.3079019999999999</v>
      </c>
      <c r="G200" s="2">
        <f>2.523709-B200</f>
        <v>0.35895800000000033</v>
      </c>
    </row>
    <row r="201" spans="1:7" x14ac:dyDescent="0.25">
      <c r="A201" s="36" t="s">
        <v>123</v>
      </c>
      <c r="B201" s="2">
        <v>2.778378</v>
      </c>
      <c r="C201" s="2">
        <v>0.17972869999999999</v>
      </c>
      <c r="D201" s="2">
        <v>15.8</v>
      </c>
      <c r="E201" s="2">
        <v>0</v>
      </c>
      <c r="F201" s="2">
        <f>B201-2.447533</f>
        <v>0.33084500000000006</v>
      </c>
      <c r="G201" s="2">
        <f>3.153946-B201</f>
        <v>0.3755679999999999</v>
      </c>
    </row>
    <row r="202" spans="1:7" x14ac:dyDescent="0.25">
      <c r="A202" s="36" t="s">
        <v>124</v>
      </c>
      <c r="B202" s="2">
        <v>4.1028890000000002</v>
      </c>
      <c r="C202" s="2">
        <v>0.28929440000000001</v>
      </c>
      <c r="D202" s="2">
        <v>20.02</v>
      </c>
      <c r="E202" s="2">
        <v>0</v>
      </c>
      <c r="F202" s="2">
        <f>B202-3.573318</f>
        <v>0.52957100000000024</v>
      </c>
      <c r="G202" s="2">
        <f>4.710944-B202</f>
        <v>0.60805499999999935</v>
      </c>
    </row>
    <row r="203" spans="1:7" x14ac:dyDescent="0.25">
      <c r="A203" s="36" t="s">
        <v>153</v>
      </c>
      <c r="B203" s="2">
        <v>1</v>
      </c>
      <c r="C203" s="2"/>
      <c r="D203" s="2"/>
      <c r="E203" s="2"/>
      <c r="F203" s="2">
        <v>0</v>
      </c>
      <c r="G203" s="2">
        <v>0</v>
      </c>
    </row>
    <row r="204" spans="1:7" x14ac:dyDescent="0.25">
      <c r="A204" s="36" t="s">
        <v>125</v>
      </c>
      <c r="B204" s="2">
        <v>1.127102</v>
      </c>
      <c r="C204" s="2">
        <v>0.1073514</v>
      </c>
      <c r="D204" s="2">
        <v>1.26</v>
      </c>
      <c r="E204" s="2">
        <v>0.20899999999999999</v>
      </c>
      <c r="F204" s="2">
        <f>B204-0.9351687</f>
        <v>0.19193330000000008</v>
      </c>
      <c r="G204" s="2">
        <f>1.358427-B204</f>
        <v>0.231325</v>
      </c>
    </row>
    <row r="205" spans="1:7" x14ac:dyDescent="0.25">
      <c r="A205" s="36" t="s">
        <v>126</v>
      </c>
      <c r="B205" s="2">
        <v>0.14054050000000001</v>
      </c>
      <c r="C205" s="2">
        <v>2.08349E-2</v>
      </c>
      <c r="D205" s="2">
        <v>-13.24</v>
      </c>
      <c r="E205" s="2">
        <v>0</v>
      </c>
      <c r="F205" s="2">
        <f>B205-0.1051023</f>
        <v>3.5438200000000017E-2</v>
      </c>
      <c r="G205" s="2">
        <f>0.1879277-B205</f>
        <v>4.738719999999999E-2</v>
      </c>
    </row>
    <row r="206" spans="1:7" x14ac:dyDescent="0.25">
      <c r="A206" s="36" t="s">
        <v>127</v>
      </c>
      <c r="B206" s="2">
        <v>0.26835759999999997</v>
      </c>
      <c r="C206" s="2">
        <v>4.3295699999999999E-2</v>
      </c>
      <c r="D206" s="2">
        <v>-8.15</v>
      </c>
      <c r="E206" s="2">
        <v>0</v>
      </c>
      <c r="F206" s="2">
        <f>B206-0.1956071</f>
        <v>7.2750499999999968E-2</v>
      </c>
      <c r="G206" s="2">
        <f>0.3681655-B206</f>
        <v>9.9807900000000005E-2</v>
      </c>
    </row>
    <row r="207" spans="1:7" x14ac:dyDescent="0.25">
      <c r="A207" s="36" t="s">
        <v>128</v>
      </c>
      <c r="B207" s="2">
        <v>0.16756760000000001</v>
      </c>
      <c r="C207" s="2">
        <v>2.3719400000000002E-2</v>
      </c>
      <c r="D207" s="2">
        <v>-12.62</v>
      </c>
      <c r="E207" s="2">
        <v>0</v>
      </c>
      <c r="F207" s="2">
        <f>B207-0.12697</f>
        <v>4.0597600000000011E-2</v>
      </c>
      <c r="G207" s="2">
        <f>0.2211459-B207</f>
        <v>5.3578299999999995E-2</v>
      </c>
    </row>
    <row r="208" spans="1:7" x14ac:dyDescent="0.25">
      <c r="A208" s="36" t="s">
        <v>129</v>
      </c>
      <c r="B208" s="2">
        <v>0.26239410000000002</v>
      </c>
      <c r="C208" s="2">
        <v>4.2228700000000001E-2</v>
      </c>
      <c r="D208" s="2">
        <v>-8.31</v>
      </c>
      <c r="E208" s="2">
        <v>0</v>
      </c>
      <c r="F208" s="2">
        <f>B208-0.1914102</f>
        <v>7.0983900000000016E-2</v>
      </c>
      <c r="G208" s="2">
        <f>0.3597021-B208</f>
        <v>9.7308000000000006E-2</v>
      </c>
    </row>
    <row r="209" spans="1:7" x14ac:dyDescent="0.25">
      <c r="A209" s="36" t="s">
        <v>130</v>
      </c>
      <c r="B209" s="2">
        <v>2.2594590000000001</v>
      </c>
      <c r="C209" s="2">
        <v>0.146144</v>
      </c>
      <c r="D209" s="2">
        <v>12.6</v>
      </c>
      <c r="E209" s="2">
        <v>0</v>
      </c>
      <c r="F209" s="2">
        <f>B209-1.990435</f>
        <v>0.26902400000000015</v>
      </c>
      <c r="G209" s="2">
        <f>2.564845-B209</f>
        <v>0.30538599999999994</v>
      </c>
    </row>
    <row r="210" spans="1:7" x14ac:dyDescent="0.25">
      <c r="A210" s="36" t="s">
        <v>131</v>
      </c>
      <c r="B210" s="2">
        <v>3.0831300000000001</v>
      </c>
      <c r="C210" s="2">
        <v>0.22205430000000001</v>
      </c>
      <c r="D210" s="2">
        <v>15.63</v>
      </c>
      <c r="E210" s="2">
        <v>0</v>
      </c>
      <c r="F210" s="2">
        <f>B210-2.677234</f>
        <v>0.40589600000000026</v>
      </c>
      <c r="G210" s="2">
        <f>3.550565-B210</f>
        <v>0.46743500000000004</v>
      </c>
    </row>
    <row r="211" spans="1:7" x14ac:dyDescent="0.25">
      <c r="A211" s="36" t="s">
        <v>132</v>
      </c>
      <c r="B211" s="2">
        <v>0.74054050000000005</v>
      </c>
      <c r="C211" s="2">
        <v>6.0421500000000003E-2</v>
      </c>
      <c r="D211" s="2">
        <v>-3.68</v>
      </c>
      <c r="E211" s="2">
        <v>0</v>
      </c>
      <c r="F211" s="2">
        <f>B211-0.6311004</f>
        <v>0.10944010000000004</v>
      </c>
      <c r="G211" s="2">
        <f>0.8689589-B211</f>
        <v>0.12841839999999993</v>
      </c>
    </row>
    <row r="212" spans="1:7" x14ac:dyDescent="0.25">
      <c r="A212" s="36" t="s">
        <v>133</v>
      </c>
      <c r="B212" s="2">
        <v>1.252335</v>
      </c>
      <c r="C212" s="2">
        <v>0.11273</v>
      </c>
      <c r="D212" s="2">
        <v>2.5</v>
      </c>
      <c r="E212" s="2">
        <v>1.2E-2</v>
      </c>
      <c r="F212" s="2">
        <f>B212-1.049782</f>
        <v>0.20255299999999998</v>
      </c>
      <c r="G212" s="2">
        <f>1.493971-B212</f>
        <v>0.24163599999999996</v>
      </c>
    </row>
    <row r="213" spans="1:7" x14ac:dyDescent="0.25">
      <c r="A213" s="36" t="s">
        <v>134</v>
      </c>
      <c r="B213" s="2">
        <v>0.13291800000000001</v>
      </c>
      <c r="C213" s="2">
        <v>4.7362399999999999E-2</v>
      </c>
      <c r="D213" s="2">
        <v>-5.66</v>
      </c>
      <c r="E213" s="2">
        <v>0</v>
      </c>
      <c r="F213" s="2">
        <f>B213-0.0661114</f>
        <v>6.6806600000000008E-2</v>
      </c>
      <c r="G213" s="2">
        <f>0.2672334-B213</f>
        <v>0.1343154</v>
      </c>
    </row>
    <row r="214" spans="1:7" x14ac:dyDescent="0.25">
      <c r="A214" s="36" t="s">
        <v>135</v>
      </c>
      <c r="B214" s="2">
        <v>0.85153440000000002</v>
      </c>
      <c r="C214" s="2">
        <v>0.2024907</v>
      </c>
      <c r="D214" s="2">
        <v>-0.68</v>
      </c>
      <c r="E214" s="2">
        <v>0.499</v>
      </c>
      <c r="F214" s="2">
        <f>B214-0.5343067</f>
        <v>0.3172277</v>
      </c>
      <c r="G214" s="2">
        <f>1.357106-B214</f>
        <v>0.5055715999999999</v>
      </c>
    </row>
    <row r="215" spans="1:7" x14ac:dyDescent="0.25">
      <c r="A215" s="36" t="s">
        <v>136</v>
      </c>
      <c r="B215" s="2">
        <v>0.48182760000000002</v>
      </c>
      <c r="C215" s="2">
        <v>9.2297799999999999E-2</v>
      </c>
      <c r="D215" s="2">
        <v>-3.81</v>
      </c>
      <c r="E215" s="2">
        <v>0</v>
      </c>
      <c r="F215" s="2">
        <f>B215-0.3310072</f>
        <v>0.15082040000000002</v>
      </c>
      <c r="G215" s="2">
        <f>0.7013679-B215</f>
        <v>0.21954030000000002</v>
      </c>
    </row>
    <row r="216" spans="1:7" x14ac:dyDescent="0.25">
      <c r="A216" s="36" t="s">
        <v>137</v>
      </c>
      <c r="B216" s="2">
        <v>1.4789810000000001</v>
      </c>
      <c r="C216" s="2">
        <v>0.27043139999999999</v>
      </c>
      <c r="D216" s="2">
        <v>2.14</v>
      </c>
      <c r="E216" s="2">
        <v>3.2000000000000001E-2</v>
      </c>
      <c r="F216" s="2">
        <f>B216-1.033524</f>
        <v>0.44545699999999999</v>
      </c>
      <c r="G216" s="2">
        <f>2.116433-B216</f>
        <v>0.63745199999999969</v>
      </c>
    </row>
    <row r="217" spans="1:7" x14ac:dyDescent="0.25">
      <c r="A217" s="36" t="s">
        <v>138</v>
      </c>
      <c r="B217" s="2">
        <v>1.030114</v>
      </c>
      <c r="C217" s="2">
        <v>0.14344319999999999</v>
      </c>
      <c r="D217" s="2">
        <v>0.21</v>
      </c>
      <c r="E217" s="2">
        <v>0.83099999999999996</v>
      </c>
      <c r="F217" s="2">
        <f>B217-0.7840715</f>
        <v>0.24604249999999994</v>
      </c>
      <c r="G217" s="2">
        <f>1.353365-B217</f>
        <v>0.32325099999999996</v>
      </c>
    </row>
    <row r="218" spans="1:7" x14ac:dyDescent="0.25">
      <c r="A218" s="36" t="s">
        <v>139</v>
      </c>
      <c r="B218" s="2">
        <v>2.2856969999999999</v>
      </c>
      <c r="C218" s="2">
        <v>0.35351959999999999</v>
      </c>
      <c r="D218" s="2">
        <v>5.34</v>
      </c>
      <c r="E218" s="2">
        <v>0</v>
      </c>
      <c r="F218" s="2">
        <f>B218-1.687978</f>
        <v>0.59771899999999989</v>
      </c>
      <c r="G218" s="2">
        <f>3.095071-B218</f>
        <v>0.80937400000000004</v>
      </c>
    </row>
    <row r="219" spans="1:7" x14ac:dyDescent="0.25">
      <c r="A219" s="36" t="s">
        <v>140</v>
      </c>
      <c r="B219" s="2">
        <v>2.9241950000000001</v>
      </c>
      <c r="C219" s="2">
        <v>0.27899479999999999</v>
      </c>
      <c r="D219" s="2">
        <v>11.25</v>
      </c>
      <c r="E219" s="2">
        <v>0</v>
      </c>
      <c r="F219" s="2">
        <f>B219-2.425459</f>
        <v>0.49873600000000007</v>
      </c>
      <c r="G219" s="2">
        <f>3.525484-B219</f>
        <v>0.60128899999999996</v>
      </c>
    </row>
    <row r="220" spans="1:7" x14ac:dyDescent="0.25">
      <c r="A220" s="36" t="s">
        <v>141</v>
      </c>
      <c r="B220" s="2">
        <v>7.2604509999999998</v>
      </c>
      <c r="C220" s="2">
        <v>0.72855780000000003</v>
      </c>
      <c r="D220" s="2">
        <v>19.760000000000002</v>
      </c>
      <c r="E220" s="2">
        <v>0</v>
      </c>
      <c r="F220" s="2">
        <f>B220-5.964154</f>
        <v>1.296297</v>
      </c>
      <c r="G220" s="2">
        <f>8.838495-B220</f>
        <v>1.5780440000000002</v>
      </c>
    </row>
    <row r="221" spans="1:7" x14ac:dyDescent="0.25">
      <c r="A221" s="36" t="s">
        <v>142</v>
      </c>
      <c r="B221" s="2">
        <v>4.9511940000000001</v>
      </c>
      <c r="C221" s="2">
        <v>0.41072570000000003</v>
      </c>
      <c r="D221" s="2">
        <v>19.28</v>
      </c>
      <c r="E221" s="2">
        <v>0</v>
      </c>
      <c r="F221" s="2">
        <f>B221-4.208222</f>
        <v>0.74297199999999997</v>
      </c>
      <c r="G221" s="2">
        <f>5.82534-B221</f>
        <v>0.87414599999999965</v>
      </c>
    </row>
    <row r="222" spans="1:7" x14ac:dyDescent="0.25">
      <c r="A222" s="36" t="s">
        <v>143</v>
      </c>
      <c r="B222" s="2">
        <v>4.4369420000000002</v>
      </c>
      <c r="C222" s="2">
        <v>0.51635470000000006</v>
      </c>
      <c r="D222" s="2">
        <v>12.8</v>
      </c>
      <c r="E222" s="2">
        <v>0</v>
      </c>
      <c r="F222" s="2">
        <f>B222-3.532028</f>
        <v>0.90491400000000022</v>
      </c>
      <c r="G222" s="2">
        <f>5.573698-B222</f>
        <v>1.1367560000000001</v>
      </c>
    </row>
    <row r="223" spans="1:7" x14ac:dyDescent="0.25">
      <c r="A223" s="36" t="s">
        <v>144</v>
      </c>
      <c r="B223" s="2">
        <v>9.9688499999999999E-2</v>
      </c>
      <c r="C223" s="2">
        <v>4.0946499999999997E-2</v>
      </c>
      <c r="D223" s="2">
        <v>-5.61</v>
      </c>
      <c r="E223" s="2">
        <v>0</v>
      </c>
      <c r="F223" s="2">
        <f>B223-0.0445675</f>
        <v>5.5120999999999996E-2</v>
      </c>
      <c r="G223" s="2">
        <f>0.222983-B223</f>
        <v>0.12329449999999999</v>
      </c>
    </row>
    <row r="224" spans="1:7" x14ac:dyDescent="0.25">
      <c r="A224" s="36" t="s">
        <v>145</v>
      </c>
      <c r="B224" s="2">
        <v>0.35854079999999999</v>
      </c>
      <c r="C224" s="2">
        <v>0.1284344</v>
      </c>
      <c r="D224" s="2">
        <v>-2.86</v>
      </c>
      <c r="E224" s="2">
        <v>4.0000000000000001E-3</v>
      </c>
      <c r="F224" s="2">
        <f>B224-0.1776749</f>
        <v>0.1808659</v>
      </c>
      <c r="G224" s="2">
        <f>0.7235209-B224</f>
        <v>0.36498010000000003</v>
      </c>
    </row>
    <row r="225" spans="1:23" x14ac:dyDescent="0.25">
      <c r="A225" s="36" t="s">
        <v>146</v>
      </c>
      <c r="B225" s="2">
        <v>0.18276220000000001</v>
      </c>
      <c r="C225" s="2">
        <v>5.5785599999999998E-2</v>
      </c>
      <c r="D225" s="2">
        <v>-5.57</v>
      </c>
      <c r="E225" s="2">
        <v>0</v>
      </c>
      <c r="F225" s="2">
        <f>B225-0.1004775</f>
        <v>8.2284700000000016E-2</v>
      </c>
      <c r="G225" s="2">
        <f>0.3324327-B225</f>
        <v>0.14967050000000001</v>
      </c>
    </row>
    <row r="226" spans="1:23" x14ac:dyDescent="0.25">
      <c r="A226" s="36" t="s">
        <v>147</v>
      </c>
      <c r="B226" s="2">
        <v>0.35854079999999999</v>
      </c>
      <c r="C226" s="2">
        <v>0.12834400000000001</v>
      </c>
      <c r="D226" s="2">
        <v>-2.87</v>
      </c>
      <c r="E226" s="2">
        <v>4.0000000000000001E-3</v>
      </c>
      <c r="F226" s="2">
        <f>B226-0.1777627</f>
        <v>0.1807781</v>
      </c>
      <c r="G226" s="2">
        <f>0.7231634-B226</f>
        <v>0.36462260000000002</v>
      </c>
    </row>
    <row r="227" spans="1:23" x14ac:dyDescent="0.25">
      <c r="A227" s="36" t="s">
        <v>148</v>
      </c>
      <c r="B227" s="2">
        <v>1.4454830000000001</v>
      </c>
      <c r="C227" s="2">
        <v>0.1724609</v>
      </c>
      <c r="D227" s="2">
        <v>3.09</v>
      </c>
      <c r="E227" s="2">
        <v>2E-3</v>
      </c>
      <c r="F227" s="2">
        <f>B227-1.144079</f>
        <v>0.30140400000000001</v>
      </c>
      <c r="G227" s="2">
        <f>1.826291-B227</f>
        <v>0.38080800000000004</v>
      </c>
    </row>
    <row r="228" spans="1:23" x14ac:dyDescent="0.25">
      <c r="A228" s="36" t="s">
        <v>149</v>
      </c>
      <c r="B228" s="2">
        <v>1.210075</v>
      </c>
      <c r="C228" s="2">
        <v>0.2409731</v>
      </c>
      <c r="D228" s="2">
        <v>0.96</v>
      </c>
      <c r="E228" s="2">
        <v>0.33800000000000002</v>
      </c>
      <c r="F228" s="2">
        <f>B228-0.8190398</f>
        <v>0.39103520000000003</v>
      </c>
      <c r="G228" s="2">
        <f>1.787803-B228</f>
        <v>0.57772800000000002</v>
      </c>
    </row>
    <row r="229" spans="1:23" x14ac:dyDescent="0.25">
      <c r="A229" s="36" t="s">
        <v>150</v>
      </c>
      <c r="B229" s="2">
        <v>0.93042570000000002</v>
      </c>
      <c r="C229" s="2">
        <v>0.134771</v>
      </c>
      <c r="D229" s="2">
        <v>-0.5</v>
      </c>
      <c r="E229" s="2">
        <v>0.61899999999999999</v>
      </c>
      <c r="F229" s="2">
        <f>B229-0.7004646</f>
        <v>0.22996110000000003</v>
      </c>
      <c r="G229" s="2">
        <f>1.235883-B229</f>
        <v>0.30545730000000004</v>
      </c>
    </row>
    <row r="230" spans="1:23" x14ac:dyDescent="0.25">
      <c r="A230" s="36" t="s">
        <v>151</v>
      </c>
      <c r="B230" s="2">
        <v>1.613434</v>
      </c>
      <c r="C230" s="2">
        <v>0.28416839999999999</v>
      </c>
      <c r="D230" s="2">
        <v>2.72</v>
      </c>
      <c r="E230" s="2">
        <v>7.0000000000000001E-3</v>
      </c>
      <c r="F230" s="2">
        <f>B230-1.142436</f>
        <v>0.47099800000000003</v>
      </c>
      <c r="G230" s="2">
        <f>2.278611-B230</f>
        <v>0.66517700000000013</v>
      </c>
    </row>
    <row r="231" spans="1:23" x14ac:dyDescent="0.25">
      <c r="A231" s="36"/>
      <c r="B231" s="3"/>
      <c r="C231" s="3"/>
      <c r="D231" s="3"/>
      <c r="E231" s="3"/>
      <c r="F231" s="3"/>
      <c r="G231" s="3"/>
    </row>
    <row r="232" spans="1:23" x14ac:dyDescent="0.25">
      <c r="A232" s="5" t="s">
        <v>6</v>
      </c>
      <c r="B232" s="6">
        <v>1.3557E-3</v>
      </c>
      <c r="C232" s="6">
        <v>9.1199999999999994E-5</v>
      </c>
      <c r="D232" s="6">
        <v>-98.21</v>
      </c>
      <c r="E232" s="6">
        <v>0</v>
      </c>
      <c r="F232" s="6">
        <v>1.1883E-3</v>
      </c>
      <c r="G232" s="6">
        <v>1.5467E-3</v>
      </c>
    </row>
    <row r="233" spans="1:23" x14ac:dyDescent="0.25">
      <c r="N233" s="7"/>
      <c r="O233" s="7"/>
      <c r="P233" s="9"/>
      <c r="Q233" s="9"/>
      <c r="R233" s="9"/>
      <c r="S233" s="9"/>
      <c r="V233" s="7"/>
      <c r="W233" s="9"/>
    </row>
    <row r="234" spans="1:23" x14ac:dyDescent="0.25">
      <c r="N234" s="9"/>
      <c r="O234" s="9"/>
      <c r="P234" s="9"/>
      <c r="Q234" s="9"/>
      <c r="R234" s="9"/>
      <c r="S234" s="9"/>
      <c r="V234" s="9"/>
      <c r="W234" s="9"/>
    </row>
    <row r="235" spans="1:23" ht="15.75" thickBot="1" x14ac:dyDescent="0.3">
      <c r="B235" s="7"/>
      <c r="C235" s="7"/>
      <c r="D235" s="7"/>
      <c r="E235" s="7"/>
      <c r="F235" s="7"/>
      <c r="G235" s="7"/>
      <c r="H235" s="7"/>
      <c r="N235" s="7"/>
      <c r="O235" s="9"/>
      <c r="P235" s="9"/>
      <c r="Q235" s="9"/>
      <c r="R235" s="9"/>
      <c r="S235" s="9"/>
      <c r="T235" s="2"/>
      <c r="U235" s="2"/>
      <c r="V235" s="9"/>
      <c r="W235" s="9"/>
    </row>
    <row r="236" spans="1:23" x14ac:dyDescent="0.25">
      <c r="A236" s="10"/>
      <c r="B236" s="11"/>
      <c r="C236" s="11" t="s">
        <v>9</v>
      </c>
      <c r="D236" s="11" t="s">
        <v>10</v>
      </c>
      <c r="E236" s="11" t="s">
        <v>11</v>
      </c>
      <c r="F236" s="11" t="s">
        <v>7</v>
      </c>
      <c r="G236" s="11" t="s">
        <v>8</v>
      </c>
      <c r="H236" s="11" t="s">
        <v>62</v>
      </c>
      <c r="I236" s="11" t="s">
        <v>63</v>
      </c>
      <c r="J236" s="11" t="s">
        <v>64</v>
      </c>
      <c r="K236" s="12" t="s">
        <v>65</v>
      </c>
      <c r="M236" s="2">
        <v>5.5681600000000026E-2</v>
      </c>
      <c r="N236" s="2">
        <v>6.9603899999999996E-2</v>
      </c>
      <c r="O236" s="2">
        <v>0.33084500000000006</v>
      </c>
      <c r="P236" s="2">
        <v>0.3755679999999999</v>
      </c>
      <c r="Q236" s="2">
        <v>4.0597600000000011E-2</v>
      </c>
      <c r="R236" s="2">
        <v>5.3578299999999995E-2</v>
      </c>
      <c r="T236" s="2"/>
      <c r="U236" s="2"/>
      <c r="V236" s="7"/>
      <c r="W236" s="7"/>
    </row>
    <row r="237" spans="1:23" x14ac:dyDescent="0.25">
      <c r="A237" s="24" t="s">
        <v>91</v>
      </c>
      <c r="B237" s="7" t="s">
        <v>152</v>
      </c>
      <c r="C237" s="14">
        <f>B195</f>
        <v>0.27837840000000003</v>
      </c>
      <c r="D237" s="15">
        <f>B197</f>
        <v>0.47567569999999998</v>
      </c>
      <c r="E237" s="15">
        <f>B199</f>
        <v>1.156757</v>
      </c>
      <c r="F237" s="15">
        <f>B201</f>
        <v>2.778378</v>
      </c>
      <c r="G237" s="15">
        <f>B203</f>
        <v>1</v>
      </c>
      <c r="H237" s="15">
        <f>B205</f>
        <v>0.14054050000000001</v>
      </c>
      <c r="I237" s="4">
        <f>B207</f>
        <v>0.16756760000000001</v>
      </c>
      <c r="J237" s="25">
        <f>B209</f>
        <v>2.2594590000000001</v>
      </c>
      <c r="K237" s="17">
        <f>B211</f>
        <v>0.74054050000000005</v>
      </c>
      <c r="M237" s="2">
        <v>0.13824730000000007</v>
      </c>
      <c r="N237" s="2">
        <v>0.17134949999999993</v>
      </c>
      <c r="O237" s="2">
        <v>0.52957100000000024</v>
      </c>
      <c r="P237" s="2">
        <v>0.60805499999999935</v>
      </c>
      <c r="Q237" s="2">
        <v>7.0983900000000016E-2</v>
      </c>
      <c r="R237" s="2">
        <v>9.7308000000000006E-2</v>
      </c>
      <c r="T237" s="2"/>
      <c r="U237" s="2"/>
      <c r="V237" s="9"/>
      <c r="W237" s="9"/>
    </row>
    <row r="238" spans="1:23" x14ac:dyDescent="0.25">
      <c r="A238" s="24"/>
      <c r="B238" s="7" t="s">
        <v>372</v>
      </c>
      <c r="C238" s="15">
        <f>B196</f>
        <v>0.71562020000000004</v>
      </c>
      <c r="D238" s="15">
        <f>B198</f>
        <v>0.91837919999999995</v>
      </c>
      <c r="E238" s="15">
        <f>B200</f>
        <v>2.1647509999999999</v>
      </c>
      <c r="F238" s="15">
        <f>B202</f>
        <v>4.1028890000000002</v>
      </c>
      <c r="G238" s="15">
        <f>B204</f>
        <v>1.127102</v>
      </c>
      <c r="H238" s="15">
        <f>B206</f>
        <v>0.26835759999999997</v>
      </c>
      <c r="I238" s="4">
        <f>B208</f>
        <v>0.26239410000000002</v>
      </c>
      <c r="J238" s="25">
        <f>B210</f>
        <v>3.0831300000000001</v>
      </c>
      <c r="K238" s="18">
        <f>B212</f>
        <v>1.252335</v>
      </c>
      <c r="M238" s="2">
        <v>6.6806600000000008E-2</v>
      </c>
      <c r="N238" s="2">
        <v>0.1343154</v>
      </c>
      <c r="O238" s="2">
        <v>0.49873600000000007</v>
      </c>
      <c r="P238" s="2">
        <v>0.60128899999999996</v>
      </c>
      <c r="Q238" s="2">
        <v>8.2284700000000016E-2</v>
      </c>
      <c r="R238" s="2">
        <v>0.14967050000000001</v>
      </c>
      <c r="T238" s="2"/>
      <c r="U238" s="2"/>
      <c r="V238" s="9"/>
      <c r="W238" s="9"/>
    </row>
    <row r="239" spans="1:23" x14ac:dyDescent="0.25">
      <c r="A239" s="24" t="s">
        <v>73</v>
      </c>
      <c r="B239" s="7" t="s">
        <v>152</v>
      </c>
      <c r="C239" s="7">
        <f>B213</f>
        <v>0.13291800000000001</v>
      </c>
      <c r="D239" s="7">
        <f>B215</f>
        <v>0.48182760000000002</v>
      </c>
      <c r="E239" s="7">
        <f>B217</f>
        <v>1.030114</v>
      </c>
      <c r="F239" s="9">
        <f>B219</f>
        <v>2.9241950000000001</v>
      </c>
      <c r="G239" s="9">
        <f>B221</f>
        <v>4.9511940000000001</v>
      </c>
      <c r="H239" s="7">
        <f>B223</f>
        <v>9.9688499999999999E-2</v>
      </c>
      <c r="I239" s="4">
        <f>B225</f>
        <v>0.18276220000000001</v>
      </c>
      <c r="J239" s="25">
        <f>B227</f>
        <v>1.4454830000000001</v>
      </c>
      <c r="K239" s="17">
        <f>B229</f>
        <v>0.93042570000000002</v>
      </c>
      <c r="M239" s="2">
        <v>0.3172277</v>
      </c>
      <c r="N239" s="2">
        <v>0.5055715999999999</v>
      </c>
      <c r="O239" s="2">
        <v>1.296297</v>
      </c>
      <c r="P239" s="2">
        <v>1.5780440000000002</v>
      </c>
      <c r="Q239" s="2">
        <v>0.1807781</v>
      </c>
      <c r="R239" s="2">
        <v>0.36462260000000002</v>
      </c>
      <c r="T239" s="2"/>
      <c r="U239" s="2"/>
      <c r="V239" s="9"/>
      <c r="W239" s="9"/>
    </row>
    <row r="240" spans="1:23" ht="15.75" thickBot="1" x14ac:dyDescent="0.3">
      <c r="A240" s="26"/>
      <c r="B240" s="27" t="s">
        <v>372</v>
      </c>
      <c r="C240" s="29">
        <f>B214</f>
        <v>0.85153440000000002</v>
      </c>
      <c r="D240" s="28">
        <f>B216</f>
        <v>1.4789810000000001</v>
      </c>
      <c r="E240" s="28">
        <f>B218</f>
        <v>2.2856969999999999</v>
      </c>
      <c r="F240" s="28">
        <f>B220</f>
        <v>7.2604509999999998</v>
      </c>
      <c r="G240" s="28">
        <f>B222</f>
        <v>4.4369420000000002</v>
      </c>
      <c r="H240" s="29">
        <f>B224</f>
        <v>0.35854079999999999</v>
      </c>
      <c r="I240" s="28">
        <f>B226</f>
        <v>0.35854079999999999</v>
      </c>
      <c r="J240" s="28">
        <f>B228</f>
        <v>1.210075</v>
      </c>
      <c r="K240" s="22">
        <f>B230</f>
        <v>1.613434</v>
      </c>
      <c r="M240" s="2">
        <v>7.9482599999999959E-2</v>
      </c>
      <c r="N240" s="2">
        <v>9.5428100000000071E-2</v>
      </c>
      <c r="O240" s="2">
        <v>0</v>
      </c>
      <c r="P240" s="2">
        <v>0</v>
      </c>
      <c r="Q240" s="2">
        <v>0.26902400000000015</v>
      </c>
      <c r="R240" s="2">
        <v>0.30538599999999994</v>
      </c>
      <c r="T240" s="2"/>
      <c r="U240" s="2"/>
      <c r="V240" s="9"/>
      <c r="W240" s="9"/>
    </row>
    <row r="241" spans="13:23" x14ac:dyDescent="0.25">
      <c r="M241" s="2">
        <v>0.16332039999999992</v>
      </c>
      <c r="N241" s="2">
        <v>0.19864680000000012</v>
      </c>
      <c r="O241" s="2">
        <v>0.19193330000000008</v>
      </c>
      <c r="P241" s="2">
        <v>0.231325</v>
      </c>
      <c r="Q241" s="2">
        <v>0.40589600000000026</v>
      </c>
      <c r="R241" s="2">
        <v>0.46743500000000004</v>
      </c>
      <c r="T241" s="2"/>
      <c r="U241" s="2"/>
      <c r="V241" s="9"/>
      <c r="W241" s="9"/>
    </row>
    <row r="242" spans="13:23" x14ac:dyDescent="0.25">
      <c r="M242" s="2">
        <v>0.15082040000000002</v>
      </c>
      <c r="N242" s="2">
        <v>0.21954030000000002</v>
      </c>
      <c r="O242" s="2">
        <v>0.74297199999999997</v>
      </c>
      <c r="P242" s="2">
        <v>0.87414599999999965</v>
      </c>
      <c r="Q242" s="2">
        <v>0.30140400000000001</v>
      </c>
      <c r="R242" s="2">
        <v>0.38080800000000004</v>
      </c>
      <c r="T242" s="2"/>
      <c r="U242" s="2"/>
      <c r="V242" s="9"/>
      <c r="W242" s="9"/>
    </row>
    <row r="243" spans="13:23" x14ac:dyDescent="0.25">
      <c r="M243" s="2">
        <v>0.44545699999999999</v>
      </c>
      <c r="N243" s="2">
        <v>0.63745199999999969</v>
      </c>
      <c r="O243" s="2">
        <v>0.90491400000000022</v>
      </c>
      <c r="P243" s="2">
        <v>1.1367560000000001</v>
      </c>
      <c r="Q243" s="2">
        <v>0.39103520000000003</v>
      </c>
      <c r="R243" s="2">
        <v>0.57772800000000002</v>
      </c>
      <c r="T243" s="2"/>
      <c r="U243" s="2"/>
      <c r="V243" s="9"/>
      <c r="W243" s="9"/>
    </row>
    <row r="244" spans="13:23" x14ac:dyDescent="0.25">
      <c r="M244" s="2">
        <v>0.15242400000000011</v>
      </c>
      <c r="N244" s="2">
        <v>0.17555699999999996</v>
      </c>
      <c r="O244" s="2">
        <v>3.5438200000000017E-2</v>
      </c>
      <c r="P244" s="2">
        <v>4.738719999999999E-2</v>
      </c>
      <c r="Q244" s="2">
        <v>0.10944010000000004</v>
      </c>
      <c r="R244" s="2">
        <v>0.12841839999999993</v>
      </c>
      <c r="T244" s="2"/>
      <c r="U244" s="2"/>
      <c r="V244" s="7"/>
      <c r="W244" s="7"/>
    </row>
    <row r="245" spans="13:23" x14ac:dyDescent="0.25">
      <c r="M245" s="2">
        <v>0.3079019999999999</v>
      </c>
      <c r="N245" s="2">
        <v>0.35895800000000033</v>
      </c>
      <c r="O245" s="2">
        <v>7.2750499999999968E-2</v>
      </c>
      <c r="P245" s="2">
        <v>9.9807900000000005E-2</v>
      </c>
      <c r="Q245" s="2">
        <v>0.20255299999999998</v>
      </c>
      <c r="R245" s="2">
        <v>0.24163599999999996</v>
      </c>
      <c r="T245" s="2"/>
      <c r="U245" s="2"/>
      <c r="V245" s="7"/>
      <c r="W245" s="7"/>
    </row>
    <row r="246" spans="13:23" x14ac:dyDescent="0.25">
      <c r="M246" s="2">
        <v>0.24604249999999994</v>
      </c>
      <c r="N246" s="2">
        <v>0.32325099999999996</v>
      </c>
      <c r="O246" s="2">
        <v>5.5120999999999996E-2</v>
      </c>
      <c r="P246" s="2">
        <v>0.12329449999999999</v>
      </c>
      <c r="Q246" s="2">
        <v>0.22996110000000003</v>
      </c>
      <c r="R246" s="2">
        <v>0.30545730000000004</v>
      </c>
      <c r="T246" s="2"/>
      <c r="U246" s="2"/>
      <c r="V246" s="7"/>
      <c r="W246" s="7"/>
    </row>
    <row r="247" spans="13:23" x14ac:dyDescent="0.25">
      <c r="M247" s="2">
        <v>0.59771899999999989</v>
      </c>
      <c r="N247" s="2">
        <v>0.80937400000000004</v>
      </c>
      <c r="O247" s="2">
        <v>0.1808659</v>
      </c>
      <c r="P247" s="2">
        <v>0.36498010000000003</v>
      </c>
      <c r="Q247" s="2">
        <v>0.47099800000000003</v>
      </c>
      <c r="R247" s="2">
        <v>0.66517700000000013</v>
      </c>
      <c r="T247" s="2"/>
      <c r="U247" s="2"/>
      <c r="V247" s="7"/>
      <c r="W247" s="9"/>
    </row>
    <row r="248" spans="13:23" x14ac:dyDescent="0.25">
      <c r="M248" s="9"/>
      <c r="N248" s="9"/>
      <c r="O248" s="9"/>
      <c r="P248" s="9"/>
      <c r="Q248" s="9"/>
      <c r="T248" s="2"/>
      <c r="U248" s="2"/>
      <c r="V248" s="7"/>
      <c r="W248" s="7"/>
    </row>
    <row r="249" spans="13:23" x14ac:dyDescent="0.25">
      <c r="M249" s="9"/>
      <c r="N249" s="9"/>
      <c r="O249" s="9"/>
      <c r="P249" s="9"/>
      <c r="Q249" s="9"/>
      <c r="T249" s="2"/>
      <c r="U249" s="2"/>
      <c r="V249" s="7"/>
      <c r="W249" s="7"/>
    </row>
    <row r="250" spans="13:23" x14ac:dyDescent="0.25">
      <c r="M250" s="7"/>
      <c r="N250" s="7"/>
      <c r="O250" s="7"/>
      <c r="P250" s="7"/>
      <c r="Q250" s="9"/>
      <c r="T250" s="2"/>
      <c r="U250" s="2"/>
      <c r="V250" s="7"/>
      <c r="W250" s="9"/>
    </row>
    <row r="251" spans="13:23" x14ac:dyDescent="0.25">
      <c r="M251" s="7"/>
      <c r="N251" s="7"/>
      <c r="O251" s="7"/>
      <c r="P251" s="7"/>
      <c r="Q251" s="9"/>
      <c r="T251" s="2"/>
      <c r="U251" s="2"/>
      <c r="V251" s="9"/>
      <c r="W251" s="9"/>
    </row>
    <row r="252" spans="13:23" x14ac:dyDescent="0.25">
      <c r="M252" s="7"/>
      <c r="N252" s="7"/>
      <c r="O252" s="9"/>
      <c r="P252" s="9"/>
      <c r="Q252" s="9"/>
      <c r="T252" s="2"/>
      <c r="U252" s="2"/>
      <c r="V252" s="9"/>
      <c r="W252" s="9"/>
    </row>
    <row r="253" spans="13:23" x14ac:dyDescent="0.25">
      <c r="M253" s="7"/>
      <c r="N253" s="7"/>
      <c r="O253" s="9"/>
      <c r="P253" s="9"/>
      <c r="Q253" s="9"/>
      <c r="T253" s="2"/>
      <c r="U253" s="2"/>
      <c r="V253" s="9"/>
      <c r="W253" s="9"/>
    </row>
    <row r="254" spans="13:23" x14ac:dyDescent="0.25">
      <c r="M254" s="9"/>
      <c r="N254" s="9"/>
      <c r="O254" s="9"/>
      <c r="P254" s="9"/>
      <c r="Q254" s="9"/>
      <c r="V254" s="9"/>
      <c r="W254" s="9"/>
    </row>
    <row r="255" spans="13:23" x14ac:dyDescent="0.25">
      <c r="M255" s="9"/>
      <c r="N255" s="9"/>
      <c r="O255" s="9"/>
      <c r="P255" s="7"/>
      <c r="Q255" s="9"/>
      <c r="V255" s="7"/>
      <c r="W255" s="9"/>
    </row>
    <row r="256" spans="13:23" x14ac:dyDescent="0.25">
      <c r="M256" s="7"/>
      <c r="N256" s="7"/>
      <c r="O256" s="7"/>
      <c r="V256" s="7"/>
      <c r="W256" s="7"/>
    </row>
    <row r="257" spans="1:23" x14ac:dyDescent="0.25">
      <c r="M257" s="7"/>
      <c r="N257" s="7"/>
      <c r="O257" s="7"/>
      <c r="V257" s="9"/>
      <c r="W257" s="9"/>
    </row>
    <row r="258" spans="1:23" x14ac:dyDescent="0.25">
      <c r="N258" s="7"/>
      <c r="O258" s="7"/>
      <c r="V258" s="9"/>
      <c r="W258" s="9"/>
    </row>
    <row r="259" spans="1:23" x14ac:dyDescent="0.25">
      <c r="N259" s="7"/>
      <c r="O259" s="7"/>
      <c r="V259" s="9"/>
      <c r="W259" s="9"/>
    </row>
    <row r="260" spans="1:23" s="1" customFormat="1" x14ac:dyDescent="0.25">
      <c r="A260" s="1" t="s">
        <v>99</v>
      </c>
      <c r="N260" s="33"/>
      <c r="O260" s="33"/>
    </row>
    <row r="261" spans="1:23" x14ac:dyDescent="0.25">
      <c r="N261" s="7"/>
      <c r="O261" s="7"/>
    </row>
    <row r="262" spans="1:23" x14ac:dyDescent="0.25">
      <c r="A262" s="49"/>
      <c r="B262" s="46" t="s">
        <v>1</v>
      </c>
      <c r="C262" s="47"/>
      <c r="D262" s="47"/>
      <c r="E262" s="47"/>
      <c r="F262" s="47"/>
      <c r="G262" s="47"/>
      <c r="N262" s="7"/>
      <c r="O262" s="7"/>
    </row>
    <row r="263" spans="1:23" x14ac:dyDescent="0.25">
      <c r="A263" s="50" t="s">
        <v>2</v>
      </c>
      <c r="B263" s="48" t="s">
        <v>269</v>
      </c>
      <c r="C263" s="48" t="s">
        <v>270</v>
      </c>
      <c r="D263" s="48" t="s">
        <v>3</v>
      </c>
      <c r="E263" s="48" t="s">
        <v>4</v>
      </c>
      <c r="F263" s="48" t="s">
        <v>271</v>
      </c>
      <c r="G263" s="48" t="s">
        <v>272</v>
      </c>
      <c r="N263" s="7"/>
      <c r="O263" s="7"/>
    </row>
    <row r="264" spans="1:23" x14ac:dyDescent="0.25">
      <c r="A264" s="49"/>
      <c r="B264" s="46"/>
      <c r="C264" s="46"/>
      <c r="D264" s="47"/>
      <c r="E264" s="47"/>
      <c r="F264" s="47"/>
      <c r="G264" s="47"/>
      <c r="N264" s="7"/>
      <c r="O264" s="7"/>
    </row>
    <row r="265" spans="1:23" x14ac:dyDescent="0.25">
      <c r="A265" s="49" t="s">
        <v>72</v>
      </c>
      <c r="B265" s="47"/>
      <c r="C265" s="47"/>
      <c r="D265" s="47"/>
      <c r="E265" s="47"/>
      <c r="F265" s="47"/>
      <c r="G265" s="47"/>
      <c r="N265" s="7"/>
      <c r="O265" s="7"/>
    </row>
    <row r="266" spans="1:23" x14ac:dyDescent="0.25">
      <c r="A266" s="49" t="s">
        <v>73</v>
      </c>
      <c r="B266" s="46">
        <v>1.3987540000000001</v>
      </c>
      <c r="C266" s="46">
        <v>4.66057E-2</v>
      </c>
      <c r="D266" s="46">
        <v>10.07</v>
      </c>
      <c r="E266" s="46">
        <v>0</v>
      </c>
      <c r="F266" s="46">
        <v>1.310327</v>
      </c>
      <c r="G266" s="46">
        <v>1.4931479999999999</v>
      </c>
      <c r="N266" s="7"/>
      <c r="O266" s="7"/>
    </row>
    <row r="267" spans="1:23" x14ac:dyDescent="0.25">
      <c r="A267" s="49"/>
      <c r="B267" s="47"/>
      <c r="C267" s="47"/>
      <c r="D267" s="47"/>
      <c r="E267" s="47"/>
      <c r="F267" s="47"/>
      <c r="G267" s="47"/>
      <c r="N267" s="7"/>
      <c r="O267" s="7"/>
    </row>
    <row r="268" spans="1:23" x14ac:dyDescent="0.25">
      <c r="A268" s="49" t="s">
        <v>113</v>
      </c>
      <c r="B268" s="47"/>
      <c r="C268" s="47"/>
      <c r="D268" s="47"/>
      <c r="E268" s="47"/>
      <c r="F268" s="47"/>
      <c r="G268" s="47"/>
      <c r="N268" s="7"/>
      <c r="O268" s="7"/>
    </row>
    <row r="269" spans="1:23" x14ac:dyDescent="0.25">
      <c r="A269" s="49">
        <v>2</v>
      </c>
      <c r="B269" s="46">
        <v>0.91866720000000002</v>
      </c>
      <c r="C269" s="46">
        <v>2.5057900000000001E-2</v>
      </c>
      <c r="D269" s="46">
        <v>-3.11</v>
      </c>
      <c r="E269" s="46">
        <v>2E-3</v>
      </c>
      <c r="F269" s="46">
        <v>0.87084439999999996</v>
      </c>
      <c r="G269" s="46">
        <v>0.96911610000000004</v>
      </c>
      <c r="N269" s="7"/>
      <c r="O269" s="7"/>
    </row>
    <row r="270" spans="1:23" x14ac:dyDescent="0.25">
      <c r="A270" s="49">
        <v>3</v>
      </c>
      <c r="B270" s="46">
        <v>1.051852</v>
      </c>
      <c r="C270" s="46">
        <v>7.8375799999999995E-2</v>
      </c>
      <c r="D270" s="46">
        <v>0.68</v>
      </c>
      <c r="E270" s="46">
        <v>0.497</v>
      </c>
      <c r="F270" s="46">
        <v>0.90892819999999996</v>
      </c>
      <c r="G270" s="46">
        <v>1.217249</v>
      </c>
      <c r="N270" s="7"/>
      <c r="O270" s="7"/>
    </row>
    <row r="271" spans="1:23" x14ac:dyDescent="0.25">
      <c r="A271" s="49"/>
      <c r="B271" s="47"/>
      <c r="C271" s="47"/>
      <c r="D271" s="47"/>
      <c r="E271" s="47"/>
      <c r="F271" s="47"/>
      <c r="G271" s="47"/>
      <c r="N271" s="7"/>
      <c r="O271" s="9"/>
    </row>
    <row r="272" spans="1:23" x14ac:dyDescent="0.25">
      <c r="A272" s="49" t="s">
        <v>108</v>
      </c>
      <c r="B272" s="47"/>
      <c r="C272" s="47"/>
      <c r="D272" s="47"/>
      <c r="E272" s="47"/>
      <c r="F272" s="47"/>
      <c r="G272" s="47"/>
      <c r="N272" s="9"/>
      <c r="O272" s="9"/>
    </row>
    <row r="273" spans="1:15" x14ac:dyDescent="0.25">
      <c r="A273" s="49">
        <v>2</v>
      </c>
      <c r="B273" s="46">
        <v>1.1411249999999999</v>
      </c>
      <c r="C273" s="46">
        <v>3.6400500000000002E-2</v>
      </c>
      <c r="D273" s="46">
        <v>4.1399999999999997</v>
      </c>
      <c r="E273" s="46">
        <v>0</v>
      </c>
      <c r="F273" s="46">
        <v>1.071966</v>
      </c>
      <c r="G273" s="46">
        <v>1.2147460000000001</v>
      </c>
      <c r="N273" s="9"/>
      <c r="O273" s="9"/>
    </row>
    <row r="274" spans="1:15" x14ac:dyDescent="0.25">
      <c r="A274" s="49" t="s">
        <v>109</v>
      </c>
      <c r="B274" s="46">
        <v>1.2119310000000001</v>
      </c>
      <c r="C274" s="46">
        <v>6.5161899999999995E-2</v>
      </c>
      <c r="D274" s="46">
        <v>3.57</v>
      </c>
      <c r="E274" s="46">
        <v>0</v>
      </c>
      <c r="F274" s="46">
        <v>1.0907150000000001</v>
      </c>
      <c r="G274" s="46">
        <v>1.3466180000000001</v>
      </c>
      <c r="N274" s="9"/>
      <c r="O274" s="9"/>
    </row>
    <row r="275" spans="1:15" x14ac:dyDescent="0.25">
      <c r="A275" s="49"/>
      <c r="B275" s="47"/>
      <c r="C275" s="47"/>
      <c r="D275" s="47"/>
      <c r="E275" s="47"/>
      <c r="F275" s="47"/>
      <c r="G275" s="47"/>
      <c r="N275" s="9"/>
      <c r="O275" s="9"/>
    </row>
    <row r="276" spans="1:15" x14ac:dyDescent="0.25">
      <c r="A276" s="49" t="s">
        <v>81</v>
      </c>
      <c r="B276" s="47"/>
      <c r="C276" s="47"/>
      <c r="D276" s="47"/>
      <c r="E276" s="47"/>
      <c r="F276" s="47"/>
      <c r="G276" s="47"/>
      <c r="N276" s="7"/>
      <c r="O276" s="7"/>
    </row>
    <row r="277" spans="1:15" x14ac:dyDescent="0.25">
      <c r="A277" s="38" t="s">
        <v>315</v>
      </c>
      <c r="B277" s="46">
        <v>1.2419819999999999</v>
      </c>
      <c r="C277" s="46">
        <v>4.5748900000000002E-2</v>
      </c>
      <c r="D277" s="46">
        <v>5.88</v>
      </c>
      <c r="E277" s="46">
        <v>0</v>
      </c>
      <c r="F277" s="46">
        <v>1.1554759999999999</v>
      </c>
      <c r="G277" s="46">
        <v>1.334964</v>
      </c>
      <c r="N277" s="7"/>
      <c r="O277" s="7"/>
    </row>
    <row r="278" spans="1:15" x14ac:dyDescent="0.25">
      <c r="A278" s="38" t="s">
        <v>316</v>
      </c>
      <c r="B278" s="46">
        <v>0.9790586</v>
      </c>
      <c r="C278" s="46">
        <v>4.2388700000000001E-2</v>
      </c>
      <c r="D278" s="46">
        <v>-0.49</v>
      </c>
      <c r="E278" s="46">
        <v>0.625</v>
      </c>
      <c r="F278" s="46">
        <v>0.89940569999999997</v>
      </c>
      <c r="G278" s="46">
        <v>1.065766</v>
      </c>
      <c r="N278" s="9"/>
      <c r="O278" s="9"/>
    </row>
    <row r="279" spans="1:15" x14ac:dyDescent="0.25">
      <c r="A279" s="38" t="s">
        <v>317</v>
      </c>
      <c r="B279" s="46">
        <v>0.91058660000000002</v>
      </c>
      <c r="C279" s="46">
        <v>3.9210799999999997E-2</v>
      </c>
      <c r="D279" s="46">
        <v>-2.1800000000000002</v>
      </c>
      <c r="E279" s="46">
        <v>0.03</v>
      </c>
      <c r="F279" s="46">
        <v>0.83688859999999998</v>
      </c>
      <c r="G279" s="46">
        <v>0.99077470000000001</v>
      </c>
      <c r="N279" s="7"/>
      <c r="O279" s="9"/>
    </row>
    <row r="280" spans="1:15" x14ac:dyDescent="0.25">
      <c r="A280" s="38" t="s">
        <v>82</v>
      </c>
      <c r="B280" s="46">
        <v>1.2449939999999999</v>
      </c>
      <c r="C280" s="46">
        <v>5.6499199999999999E-2</v>
      </c>
      <c r="D280" s="46">
        <v>4.83</v>
      </c>
      <c r="E280" s="46">
        <v>0</v>
      </c>
      <c r="F280" s="46">
        <v>1.1390389999999999</v>
      </c>
      <c r="G280" s="46">
        <v>1.3608039999999999</v>
      </c>
    </row>
    <row r="281" spans="1:15" x14ac:dyDescent="0.25">
      <c r="A281" s="36"/>
      <c r="B281" s="47"/>
      <c r="C281" s="47"/>
      <c r="D281" s="47"/>
      <c r="E281" s="47"/>
      <c r="F281" s="47"/>
      <c r="G281" s="47"/>
    </row>
    <row r="282" spans="1:15" x14ac:dyDescent="0.25">
      <c r="A282" s="49" t="s">
        <v>93</v>
      </c>
      <c r="B282" s="47"/>
      <c r="C282" s="47"/>
      <c r="D282" s="47"/>
      <c r="E282" s="47"/>
      <c r="F282" s="47"/>
      <c r="G282" s="47"/>
    </row>
    <row r="283" spans="1:15" x14ac:dyDescent="0.25">
      <c r="A283" s="49" t="s">
        <v>154</v>
      </c>
      <c r="B283" s="46">
        <v>0.2128852</v>
      </c>
      <c r="C283" s="46">
        <v>2.7763900000000001E-2</v>
      </c>
      <c r="D283" s="46">
        <v>-11.86</v>
      </c>
      <c r="E283" s="46">
        <v>0</v>
      </c>
      <c r="F283" s="46">
        <f>B283-0.1648671</f>
        <v>4.8018100000000008E-2</v>
      </c>
      <c r="G283" s="46">
        <f>0.2748886-B283</f>
        <v>6.2003399999999986E-2</v>
      </c>
    </row>
    <row r="284" spans="1:15" x14ac:dyDescent="0.25">
      <c r="A284" s="49" t="s">
        <v>155</v>
      </c>
      <c r="B284" s="46">
        <v>0.53572909999999996</v>
      </c>
      <c r="C284" s="46">
        <v>5.8607800000000002E-2</v>
      </c>
      <c r="D284" s="46">
        <v>-5.71</v>
      </c>
      <c r="E284" s="46">
        <v>0</v>
      </c>
      <c r="F284" s="46">
        <f>B284-0.43234</f>
        <v>0.10338909999999996</v>
      </c>
      <c r="G284" s="46">
        <f>0.6638425-B284</f>
        <v>0.12811340000000004</v>
      </c>
    </row>
    <row r="285" spans="1:15" x14ac:dyDescent="0.25">
      <c r="A285" s="49" t="s">
        <v>156</v>
      </c>
      <c r="B285" s="46">
        <v>0.41456579999999998</v>
      </c>
      <c r="C285" s="46">
        <v>4.1545800000000001E-2</v>
      </c>
      <c r="D285" s="46">
        <v>-8.7899999999999991</v>
      </c>
      <c r="E285" s="46">
        <v>0</v>
      </c>
      <c r="F285" s="46">
        <f>B285-0.3406357</f>
        <v>7.3930099999999999E-2</v>
      </c>
      <c r="G285" s="46">
        <f>0.5045414-B285</f>
        <v>8.9975600000000044E-2</v>
      </c>
    </row>
    <row r="286" spans="1:15" x14ac:dyDescent="0.25">
      <c r="A286" s="49" t="s">
        <v>157</v>
      </c>
      <c r="B286" s="46">
        <v>0.77481480000000003</v>
      </c>
      <c r="C286" s="46">
        <v>7.4632299999999999E-2</v>
      </c>
      <c r="D286" s="46">
        <v>-2.65</v>
      </c>
      <c r="E286" s="46">
        <v>8.0000000000000002E-3</v>
      </c>
      <c r="F286" s="46">
        <f>B286-0.6415165</f>
        <v>0.13329829999999998</v>
      </c>
      <c r="G286" s="46">
        <f>0.9358106-B286</f>
        <v>0.16099580000000002</v>
      </c>
    </row>
    <row r="287" spans="1:15" x14ac:dyDescent="0.25">
      <c r="A287" s="49" t="s">
        <v>158</v>
      </c>
      <c r="B287" s="46">
        <v>0.90196080000000001</v>
      </c>
      <c r="C287" s="46">
        <v>7.1411600000000006E-2</v>
      </c>
      <c r="D287" s="46">
        <v>-1.3</v>
      </c>
      <c r="E287" s="46">
        <v>0.192</v>
      </c>
      <c r="F287" s="46">
        <f>B287-0.7723156</f>
        <v>0.12964520000000002</v>
      </c>
      <c r="G287" s="46">
        <f>1.053369-B287</f>
        <v>0.15140819999999999</v>
      </c>
    </row>
    <row r="288" spans="1:15" x14ac:dyDescent="0.25">
      <c r="A288" s="49" t="s">
        <v>159</v>
      </c>
      <c r="B288" s="46">
        <v>1.487644</v>
      </c>
      <c r="C288" s="46">
        <v>0.1183318</v>
      </c>
      <c r="D288" s="46">
        <v>4.99</v>
      </c>
      <c r="E288" s="46">
        <v>0</v>
      </c>
      <c r="F288" s="46">
        <f>B288-1.272893</f>
        <v>0.21475099999999991</v>
      </c>
      <c r="G288" s="46">
        <f>1.738627-B288</f>
        <v>0.25098299999999996</v>
      </c>
    </row>
    <row r="289" spans="1:7" x14ac:dyDescent="0.25">
      <c r="A289" s="49" t="s">
        <v>160</v>
      </c>
      <c r="B289" s="46">
        <v>2.1512609999999999</v>
      </c>
      <c r="C289" s="46">
        <v>0.15008540000000001</v>
      </c>
      <c r="D289" s="46">
        <v>10.98</v>
      </c>
      <c r="E289" s="46">
        <v>0</v>
      </c>
      <c r="F289" s="46">
        <f>B289-1.876324</f>
        <v>0.27493699999999976</v>
      </c>
      <c r="G289" s="46">
        <f>2.466483-B289</f>
        <v>0.31522200000000034</v>
      </c>
    </row>
    <row r="290" spans="1:7" x14ac:dyDescent="0.25">
      <c r="A290" s="49" t="s">
        <v>161</v>
      </c>
      <c r="B290" s="46">
        <v>3.3206349999999998</v>
      </c>
      <c r="C290" s="46">
        <v>0.23102220000000001</v>
      </c>
      <c r="D290" s="46">
        <v>17.25</v>
      </c>
      <c r="E290" s="46">
        <v>0</v>
      </c>
      <c r="F290" s="46">
        <f>B290-2.897354</f>
        <v>0.4232809999999998</v>
      </c>
      <c r="G290" s="46">
        <f>3.805754-B290</f>
        <v>0.48511900000000008</v>
      </c>
    </row>
    <row r="291" spans="1:7" x14ac:dyDescent="0.25">
      <c r="A291" s="49" t="s">
        <v>189</v>
      </c>
      <c r="B291" s="46">
        <v>1</v>
      </c>
      <c r="C291" s="46"/>
      <c r="D291" s="46"/>
      <c r="E291" s="46"/>
      <c r="F291" s="46">
        <v>0</v>
      </c>
      <c r="G291" s="46">
        <v>0</v>
      </c>
    </row>
    <row r="292" spans="1:7" x14ac:dyDescent="0.25">
      <c r="A292" s="49" t="s">
        <v>162</v>
      </c>
      <c r="B292" s="46">
        <v>0.98733539999999997</v>
      </c>
      <c r="C292" s="46">
        <v>8.8526300000000002E-2</v>
      </c>
      <c r="D292" s="46">
        <v>-0.14000000000000001</v>
      </c>
      <c r="E292" s="46">
        <v>0.88700000000000001</v>
      </c>
      <c r="F292" s="46">
        <f>B292-0.8282175</f>
        <v>0.15911789999999992</v>
      </c>
      <c r="G292" s="46">
        <f>1.177023-B292</f>
        <v>0.18968759999999996</v>
      </c>
    </row>
    <row r="293" spans="1:7" x14ac:dyDescent="0.25">
      <c r="A293" s="49" t="s">
        <v>163</v>
      </c>
      <c r="B293" s="46">
        <v>0.1148459</v>
      </c>
      <c r="C293" s="46">
        <v>1.89754E-2</v>
      </c>
      <c r="D293" s="46">
        <v>-13.1</v>
      </c>
      <c r="E293" s="46">
        <v>0</v>
      </c>
      <c r="F293" s="46">
        <f>B293-0.0830761</f>
        <v>3.1769800000000001E-2</v>
      </c>
      <c r="G293" s="46">
        <f>0.1587652-B293</f>
        <v>4.3919299999999994E-2</v>
      </c>
    </row>
    <row r="294" spans="1:7" x14ac:dyDescent="0.25">
      <c r="A294" s="49" t="s">
        <v>164</v>
      </c>
      <c r="B294" s="46">
        <v>0.2080931</v>
      </c>
      <c r="C294" s="46">
        <v>3.2433499999999997E-2</v>
      </c>
      <c r="D294" s="46">
        <v>-10.07</v>
      </c>
      <c r="E294" s="46">
        <v>0</v>
      </c>
      <c r="F294" s="46">
        <f>B294-0.1533165</f>
        <v>5.4776600000000009E-2</v>
      </c>
      <c r="G294" s="46">
        <f>0.2824401-B294</f>
        <v>7.4347000000000024E-2</v>
      </c>
    </row>
    <row r="295" spans="1:7" x14ac:dyDescent="0.25">
      <c r="A295" s="49" t="s">
        <v>165</v>
      </c>
      <c r="B295" s="46">
        <v>0.14005600000000001</v>
      </c>
      <c r="C295" s="46">
        <v>2.1638399999999999E-2</v>
      </c>
      <c r="D295" s="46">
        <v>-12.72</v>
      </c>
      <c r="E295" s="46">
        <v>0</v>
      </c>
      <c r="F295" s="46">
        <f>B295-0.1034648</f>
        <v>3.6591200000000018E-2</v>
      </c>
      <c r="G295" s="46">
        <f>0.189588-B295</f>
        <v>4.9531999999999993E-2</v>
      </c>
    </row>
    <row r="296" spans="1:7" x14ac:dyDescent="0.25">
      <c r="A296" s="49" t="s">
        <v>166</v>
      </c>
      <c r="B296" s="46">
        <v>0.2169481</v>
      </c>
      <c r="C296" s="46">
        <v>3.3295100000000001E-2</v>
      </c>
      <c r="D296" s="46">
        <v>-9.9600000000000009</v>
      </c>
      <c r="E296" s="46">
        <v>0</v>
      </c>
      <c r="F296" s="46">
        <f>B296-0.1605912</f>
        <v>5.6356900000000015E-2</v>
      </c>
      <c r="G296" s="46">
        <f>0.2930826-B296</f>
        <v>7.6134500000000022E-2</v>
      </c>
    </row>
    <row r="297" spans="1:7" x14ac:dyDescent="0.25">
      <c r="A297" s="49" t="s">
        <v>167</v>
      </c>
      <c r="B297" s="46">
        <v>1.610644</v>
      </c>
      <c r="C297" s="46">
        <v>0.1143951</v>
      </c>
      <c r="D297" s="46">
        <v>6.71</v>
      </c>
      <c r="E297" s="46">
        <v>0</v>
      </c>
      <c r="F297" s="46">
        <f>B297-1.40134</f>
        <v>0.20930399999999993</v>
      </c>
      <c r="G297" s="46">
        <f>1.85121-B297</f>
        <v>0.24056600000000006</v>
      </c>
    </row>
    <row r="298" spans="1:7" x14ac:dyDescent="0.25">
      <c r="A298" s="49" t="s">
        <v>168</v>
      </c>
      <c r="B298" s="46">
        <v>2.063221</v>
      </c>
      <c r="C298" s="46">
        <v>0.1528892</v>
      </c>
      <c r="D298" s="46">
        <v>9.77</v>
      </c>
      <c r="E298" s="46">
        <v>0</v>
      </c>
      <c r="F298" s="46">
        <f>B298-1.784308</f>
        <v>0.27891299999999997</v>
      </c>
      <c r="G298" s="46">
        <f>2.385732-B298</f>
        <v>0.32251099999999999</v>
      </c>
    </row>
    <row r="299" spans="1:7" x14ac:dyDescent="0.25">
      <c r="A299" s="49" t="s">
        <v>169</v>
      </c>
      <c r="B299" s="46">
        <v>0.54901960000000005</v>
      </c>
      <c r="C299" s="46">
        <v>4.9813200000000002E-2</v>
      </c>
      <c r="D299" s="46">
        <v>-6.61</v>
      </c>
      <c r="E299" s="46">
        <v>0</v>
      </c>
      <c r="F299" s="46">
        <f>B299-0.459576</f>
        <v>8.9443600000000067E-2</v>
      </c>
      <c r="G299" s="46">
        <f>0.655871-B299</f>
        <v>0.10685139999999993</v>
      </c>
    </row>
    <row r="300" spans="1:7" x14ac:dyDescent="0.25">
      <c r="A300" s="49" t="s">
        <v>170</v>
      </c>
      <c r="B300" s="46">
        <v>0.97848040000000003</v>
      </c>
      <c r="C300" s="46">
        <v>8.6784899999999998E-2</v>
      </c>
      <c r="D300" s="46">
        <v>-0.25</v>
      </c>
      <c r="E300" s="46">
        <v>0.80600000000000005</v>
      </c>
      <c r="F300" s="46">
        <f>B300-0.8223487</f>
        <v>0.15613169999999998</v>
      </c>
      <c r="G300" s="46">
        <f>1.164255-B300</f>
        <v>0.18577460000000001</v>
      </c>
    </row>
    <row r="301" spans="1:7" x14ac:dyDescent="0.25">
      <c r="A301" s="49" t="s">
        <v>171</v>
      </c>
      <c r="B301" s="46">
        <v>7.1478799999999995E-2</v>
      </c>
      <c r="C301" s="46">
        <v>1.25159E-2</v>
      </c>
      <c r="D301" s="46">
        <v>-15.07</v>
      </c>
      <c r="E301" s="46">
        <v>0</v>
      </c>
      <c r="F301" s="46">
        <f>B301-0.0507145</f>
        <v>2.0764299999999992E-2</v>
      </c>
      <c r="G301" s="46">
        <f>0.1007447-B301</f>
        <v>2.9265900000000011E-2</v>
      </c>
    </row>
    <row r="302" spans="1:7" x14ac:dyDescent="0.25">
      <c r="A302" s="49" t="s">
        <v>172</v>
      </c>
      <c r="B302" s="46">
        <v>0.36682480000000001</v>
      </c>
      <c r="C302" s="46">
        <v>9.1362399999999996E-2</v>
      </c>
      <c r="D302" s="46">
        <v>-4.03</v>
      </c>
      <c r="E302" s="46">
        <v>0</v>
      </c>
      <c r="F302" s="46">
        <f>B302-0.2251418</f>
        <v>0.141683</v>
      </c>
      <c r="G302" s="46">
        <f>0.5976698-B302</f>
        <v>0.23084500000000002</v>
      </c>
    </row>
    <row r="303" spans="1:7" x14ac:dyDescent="0.25">
      <c r="A303" s="49" t="s">
        <v>173</v>
      </c>
      <c r="B303" s="46">
        <v>0.1131747</v>
      </c>
      <c r="C303" s="46">
        <v>1.6298099999999999E-2</v>
      </c>
      <c r="D303" s="46">
        <v>-15.13</v>
      </c>
      <c r="E303" s="46">
        <v>0</v>
      </c>
      <c r="F303" s="46">
        <f>B303-0.0853433</f>
        <v>2.7831400000000006E-2</v>
      </c>
      <c r="G303" s="46">
        <f>0.1500823-B303</f>
        <v>3.6907599999999999E-2</v>
      </c>
    </row>
    <row r="304" spans="1:7" x14ac:dyDescent="0.25">
      <c r="A304" s="49" t="s">
        <v>174</v>
      </c>
      <c r="B304" s="46">
        <v>0.25893519999999998</v>
      </c>
      <c r="C304" s="46">
        <v>7.5809299999999996E-2</v>
      </c>
      <c r="D304" s="46">
        <v>-4.62</v>
      </c>
      <c r="E304" s="46">
        <v>0</v>
      </c>
      <c r="F304" s="46">
        <f>B304-0.1458754</f>
        <v>0.11305979999999999</v>
      </c>
      <c r="G304" s="46">
        <f>0.4596212-B304</f>
        <v>0.20068600000000003</v>
      </c>
    </row>
    <row r="305" spans="1:21" x14ac:dyDescent="0.25">
      <c r="A305" s="49" t="s">
        <v>175</v>
      </c>
      <c r="B305" s="46">
        <v>0.33356760000000002</v>
      </c>
      <c r="C305" s="46">
        <v>3.1798399999999998E-2</v>
      </c>
      <c r="D305" s="46">
        <v>-11.52</v>
      </c>
      <c r="E305" s="46">
        <v>0</v>
      </c>
      <c r="F305" s="46">
        <f>B305-0.2767199</f>
        <v>5.6847700000000001E-2</v>
      </c>
      <c r="G305" s="46">
        <f>0.4020937-B305</f>
        <v>6.8526099999999979E-2</v>
      </c>
    </row>
    <row r="306" spans="1:21" x14ac:dyDescent="0.25">
      <c r="A306" s="49" t="s">
        <v>176</v>
      </c>
      <c r="B306" s="46">
        <v>1.596767</v>
      </c>
      <c r="C306" s="46">
        <v>0.2091683</v>
      </c>
      <c r="D306" s="46">
        <v>3.57</v>
      </c>
      <c r="E306" s="46">
        <v>0</v>
      </c>
      <c r="F306" s="46">
        <f>B306-1.235203</f>
        <v>0.361564</v>
      </c>
      <c r="G306" s="46">
        <f>2.064166-B306</f>
        <v>0.46739900000000012</v>
      </c>
    </row>
    <row r="307" spans="1:21" x14ac:dyDescent="0.25">
      <c r="A307" s="49" t="s">
        <v>177</v>
      </c>
      <c r="B307" s="46">
        <v>0.86171620000000004</v>
      </c>
      <c r="C307" s="46">
        <v>6.6411600000000001E-2</v>
      </c>
      <c r="D307" s="46">
        <v>-1.93</v>
      </c>
      <c r="E307" s="46">
        <v>5.2999999999999999E-2</v>
      </c>
      <c r="F307" s="46">
        <f>B307-0.7409059</f>
        <v>0.12081030000000004</v>
      </c>
      <c r="G307" s="46">
        <f>1.002226-B307</f>
        <v>0.14050980000000002</v>
      </c>
    </row>
    <row r="308" spans="1:21" x14ac:dyDescent="0.25">
      <c r="A308" s="49" t="s">
        <v>178</v>
      </c>
      <c r="B308" s="46">
        <v>2.200949</v>
      </c>
      <c r="C308" s="46">
        <v>0.25489699999999998</v>
      </c>
      <c r="D308" s="46">
        <v>6.81</v>
      </c>
      <c r="E308" s="46">
        <v>0</v>
      </c>
      <c r="F308" s="46">
        <f>B308-1.754003</f>
        <v>0.44694600000000007</v>
      </c>
      <c r="G308" s="46">
        <f>2.761783-B308</f>
        <v>0.56083399999999983</v>
      </c>
    </row>
    <row r="309" spans="1:21" x14ac:dyDescent="0.25">
      <c r="A309" s="49" t="s">
        <v>179</v>
      </c>
      <c r="B309" s="46">
        <v>0.65720749999999994</v>
      </c>
      <c r="C309" s="46">
        <v>5.4344099999999999E-2</v>
      </c>
      <c r="D309" s="46">
        <v>-5.08</v>
      </c>
      <c r="E309" s="46">
        <v>0</v>
      </c>
      <c r="F309" s="46">
        <f>B309-0.5588783</f>
        <v>9.8329199999999894E-2</v>
      </c>
      <c r="G309" s="46">
        <f>0.7728368-B309</f>
        <v>0.11562930000000005</v>
      </c>
    </row>
    <row r="310" spans="1:21" x14ac:dyDescent="0.25">
      <c r="A310" s="49" t="s">
        <v>180</v>
      </c>
      <c r="B310" s="46">
        <v>1.5104550000000001</v>
      </c>
      <c r="C310" s="46">
        <v>0.2066035</v>
      </c>
      <c r="D310" s="46">
        <v>3.02</v>
      </c>
      <c r="E310" s="46">
        <v>3.0000000000000001E-3</v>
      </c>
      <c r="F310" s="46">
        <f>B310-1.155257</f>
        <v>0.35519800000000012</v>
      </c>
      <c r="G310" s="46">
        <f>1.974864-B310</f>
        <v>0.46440899999999985</v>
      </c>
    </row>
    <row r="311" spans="1:21" x14ac:dyDescent="0.25">
      <c r="A311" s="49" t="s">
        <v>181</v>
      </c>
      <c r="B311" s="46">
        <v>3.5739399999999998E-2</v>
      </c>
      <c r="C311" s="46">
        <v>8.6472000000000007E-3</v>
      </c>
      <c r="D311" s="46">
        <v>-13.77</v>
      </c>
      <c r="E311" s="46">
        <v>0</v>
      </c>
      <c r="F311" s="46">
        <f>B311-0.0222432</f>
        <v>1.3496199999999996E-2</v>
      </c>
      <c r="G311" s="46">
        <f>0.0574244-B311</f>
        <v>2.1685000000000003E-2</v>
      </c>
    </row>
    <row r="312" spans="1:21" x14ac:dyDescent="0.25">
      <c r="A312" s="49" t="s">
        <v>182</v>
      </c>
      <c r="B312" s="46">
        <v>0.1510455</v>
      </c>
      <c r="C312" s="46">
        <v>6.5451800000000004E-2</v>
      </c>
      <c r="D312" s="46">
        <v>-4.3600000000000003</v>
      </c>
      <c r="E312" s="46">
        <v>0</v>
      </c>
      <c r="F312" s="46">
        <f>B312-0.0646042</f>
        <v>8.6441299999999999E-2</v>
      </c>
      <c r="G312" s="46">
        <f>0.3531463-B312</f>
        <v>0.20210080000000002</v>
      </c>
    </row>
    <row r="313" spans="1:21" x14ac:dyDescent="0.25">
      <c r="A313" s="49" t="s">
        <v>183</v>
      </c>
      <c r="B313" s="46">
        <v>4.9638000000000002E-2</v>
      </c>
      <c r="C313" s="46">
        <v>1.07154E-2</v>
      </c>
      <c r="D313" s="46">
        <v>-13.91</v>
      </c>
      <c r="E313" s="46">
        <v>0</v>
      </c>
      <c r="F313" s="46">
        <f>B313-0.0325136</f>
        <v>1.7124400000000005E-2</v>
      </c>
      <c r="G313" s="46">
        <f>0.0757817-B313</f>
        <v>2.6143699999999992E-2</v>
      </c>
    </row>
    <row r="314" spans="1:21" x14ac:dyDescent="0.25">
      <c r="A314" s="49" t="s">
        <v>184</v>
      </c>
      <c r="B314" s="46">
        <v>6.4733799999999994E-2</v>
      </c>
      <c r="C314" s="46">
        <v>3.7482599999999998E-2</v>
      </c>
      <c r="D314" s="46">
        <v>-4.7300000000000004</v>
      </c>
      <c r="E314" s="46">
        <v>0</v>
      </c>
      <c r="F314" s="46">
        <f>B314-0.0208096</f>
        <v>4.3924199999999997E-2</v>
      </c>
      <c r="G314" s="46">
        <f>0.2013719-B314</f>
        <v>0.13663809999999998</v>
      </c>
    </row>
    <row r="315" spans="1:21" x14ac:dyDescent="0.25">
      <c r="A315" s="49" t="s">
        <v>185</v>
      </c>
      <c r="B315" s="46">
        <v>0.67706270000000002</v>
      </c>
      <c r="C315" s="46">
        <v>5.3341899999999998E-2</v>
      </c>
      <c r="D315" s="46">
        <v>-4.95</v>
      </c>
      <c r="E315" s="46">
        <v>0</v>
      </c>
      <c r="F315" s="46">
        <f>B315-0.5801865</f>
        <v>9.6876199999999968E-2</v>
      </c>
      <c r="G315" s="46">
        <f>0.7901148-B315</f>
        <v>0.11305209999999999</v>
      </c>
    </row>
    <row r="316" spans="1:21" x14ac:dyDescent="0.25">
      <c r="A316" s="49" t="s">
        <v>186</v>
      </c>
      <c r="B316" s="46">
        <v>1.726234</v>
      </c>
      <c r="C316" s="46">
        <v>0.222357</v>
      </c>
      <c r="D316" s="46">
        <v>4.24</v>
      </c>
      <c r="E316" s="46">
        <v>0</v>
      </c>
      <c r="F316" s="46">
        <f>B316-1.341084</f>
        <v>0.3851500000000001</v>
      </c>
      <c r="G316" s="46">
        <f>2.221997-B316</f>
        <v>0.49576299999999995</v>
      </c>
    </row>
    <row r="317" spans="1:21" x14ac:dyDescent="0.25">
      <c r="A317" s="49" t="s">
        <v>187</v>
      </c>
      <c r="B317" s="46">
        <v>0.27003090000000002</v>
      </c>
      <c r="C317" s="46">
        <v>2.7958799999999999E-2</v>
      </c>
      <c r="D317" s="46">
        <v>-12.64</v>
      </c>
      <c r="E317" s="46">
        <v>0</v>
      </c>
      <c r="F317" s="46">
        <f>B317-0.220435</f>
        <v>4.9595900000000026E-2</v>
      </c>
      <c r="G317" s="46">
        <f>0.3307854-B317</f>
        <v>6.0754499999999989E-2</v>
      </c>
    </row>
    <row r="318" spans="1:21" x14ac:dyDescent="0.25">
      <c r="A318" s="49" t="s">
        <v>188</v>
      </c>
      <c r="B318" s="46">
        <v>0.53944820000000004</v>
      </c>
      <c r="C318" s="46">
        <v>0.11248900000000001</v>
      </c>
      <c r="D318" s="46">
        <v>-2.96</v>
      </c>
      <c r="E318" s="46">
        <v>3.0000000000000001E-3</v>
      </c>
      <c r="F318" s="46">
        <f>B318-0.3584695</f>
        <v>0.18097870000000005</v>
      </c>
      <c r="G318" s="46">
        <f>0.811797-B318</f>
        <v>0.27234879999999995</v>
      </c>
    </row>
    <row r="319" spans="1:21" x14ac:dyDescent="0.25">
      <c r="A319" s="49"/>
      <c r="B319" s="47"/>
      <c r="C319" s="47"/>
      <c r="D319" s="47"/>
      <c r="E319" s="47"/>
      <c r="F319" s="47"/>
      <c r="G319" s="47"/>
      <c r="T319" s="46"/>
      <c r="U319" s="46"/>
    </row>
    <row r="320" spans="1:21" x14ac:dyDescent="0.25">
      <c r="A320" s="50" t="s">
        <v>6</v>
      </c>
      <c r="B320" s="48">
        <v>1.5219000000000001E-3</v>
      </c>
      <c r="C320" s="48">
        <v>9.8499999999999995E-5</v>
      </c>
      <c r="D320" s="48">
        <v>-100.25</v>
      </c>
      <c r="E320" s="48">
        <v>0</v>
      </c>
      <c r="F320" s="48">
        <v>1.3406E-3</v>
      </c>
      <c r="G320" s="48">
        <v>1.7277E-3</v>
      </c>
      <c r="T320" s="46"/>
      <c r="U320" s="46"/>
    </row>
    <row r="321" spans="1:22" x14ac:dyDescent="0.25">
      <c r="M321" s="46">
        <v>4.8018100000000008E-2</v>
      </c>
      <c r="N321" s="46">
        <v>6.2003399999999986E-2</v>
      </c>
      <c r="O321" s="46">
        <v>0.27493699999999976</v>
      </c>
      <c r="P321" s="46">
        <v>0.31522200000000034</v>
      </c>
      <c r="Q321" s="46">
        <v>3.6591200000000018E-2</v>
      </c>
      <c r="R321" s="46">
        <v>4.9531999999999993E-2</v>
      </c>
      <c r="T321" s="46"/>
      <c r="U321" s="46"/>
    </row>
    <row r="322" spans="1:22" ht="15.75" thickBot="1" x14ac:dyDescent="0.3">
      <c r="B322" s="7"/>
      <c r="C322" s="7"/>
      <c r="D322" s="7"/>
      <c r="E322" s="7"/>
      <c r="F322" s="7"/>
      <c r="G322" s="7"/>
      <c r="H322" s="7"/>
      <c r="M322" s="46">
        <v>0.10338909999999996</v>
      </c>
      <c r="N322" s="46">
        <v>0.12811340000000004</v>
      </c>
      <c r="O322" s="46">
        <v>0.4232809999999998</v>
      </c>
      <c r="P322" s="46">
        <v>0.48511900000000008</v>
      </c>
      <c r="Q322" s="46">
        <v>5.6356900000000015E-2</v>
      </c>
      <c r="R322" s="46">
        <v>7.6134500000000022E-2</v>
      </c>
      <c r="S322" s="7"/>
      <c r="T322" s="46"/>
      <c r="U322" s="46"/>
      <c r="V322" s="7"/>
    </row>
    <row r="323" spans="1:22" x14ac:dyDescent="0.25">
      <c r="A323" s="10"/>
      <c r="B323" s="11"/>
      <c r="C323" s="11" t="s">
        <v>9</v>
      </c>
      <c r="D323" s="11" t="s">
        <v>10</v>
      </c>
      <c r="E323" s="11" t="s">
        <v>11</v>
      </c>
      <c r="F323" s="11" t="s">
        <v>7</v>
      </c>
      <c r="G323" s="11" t="s">
        <v>8</v>
      </c>
      <c r="H323" s="11" t="s">
        <v>62</v>
      </c>
      <c r="I323" s="11" t="s">
        <v>63</v>
      </c>
      <c r="J323" s="11" t="s">
        <v>64</v>
      </c>
      <c r="K323" s="12" t="s">
        <v>65</v>
      </c>
      <c r="M323" s="46">
        <v>2.0764299999999992E-2</v>
      </c>
      <c r="N323" s="46">
        <v>2.9265900000000011E-2</v>
      </c>
      <c r="O323" s="46">
        <v>0.12081030000000004</v>
      </c>
      <c r="P323" s="46">
        <v>0.14050980000000002</v>
      </c>
      <c r="Q323" s="46">
        <v>1.7124400000000005E-2</v>
      </c>
      <c r="R323" s="46">
        <v>2.6143699999999992E-2</v>
      </c>
      <c r="S323" s="7"/>
      <c r="T323" s="46"/>
      <c r="U323" s="46"/>
      <c r="V323" s="7"/>
    </row>
    <row r="324" spans="1:22" x14ac:dyDescent="0.25">
      <c r="A324" s="24" t="s">
        <v>94</v>
      </c>
      <c r="B324" s="7" t="s">
        <v>152</v>
      </c>
      <c r="C324" s="14">
        <f>B283</f>
        <v>0.2128852</v>
      </c>
      <c r="D324" s="15">
        <f>B285</f>
        <v>0.41456579999999998</v>
      </c>
      <c r="E324" s="15">
        <f>B287</f>
        <v>0.90196080000000001</v>
      </c>
      <c r="F324" s="15">
        <f>B289</f>
        <v>2.1512609999999999</v>
      </c>
      <c r="G324" s="15">
        <f>B291</f>
        <v>1</v>
      </c>
      <c r="H324" s="15">
        <f>B293</f>
        <v>0.1148459</v>
      </c>
      <c r="I324" s="4">
        <f>B295</f>
        <v>0.14005600000000001</v>
      </c>
      <c r="J324" s="25">
        <f>B297</f>
        <v>1.610644</v>
      </c>
      <c r="K324" s="17">
        <f>B299</f>
        <v>0.54901960000000005</v>
      </c>
      <c r="M324" s="46">
        <v>0.141683</v>
      </c>
      <c r="N324" s="46">
        <v>0.23084500000000002</v>
      </c>
      <c r="O324" s="46">
        <v>0.44694600000000007</v>
      </c>
      <c r="P324" s="46">
        <v>0.56083399999999983</v>
      </c>
      <c r="Q324" s="46">
        <v>4.3924199999999997E-2</v>
      </c>
      <c r="R324" s="46">
        <v>0.13663809999999998</v>
      </c>
      <c r="S324" s="7"/>
      <c r="T324" s="46"/>
      <c r="U324" s="46"/>
      <c r="V324" s="7"/>
    </row>
    <row r="325" spans="1:22" x14ac:dyDescent="0.25">
      <c r="A325" s="24"/>
      <c r="B325" s="7" t="s">
        <v>372</v>
      </c>
      <c r="C325" s="15">
        <f>B284</f>
        <v>0.53572909999999996</v>
      </c>
      <c r="D325" s="15">
        <f>B286</f>
        <v>0.77481480000000003</v>
      </c>
      <c r="E325" s="15">
        <f>B288</f>
        <v>1.487644</v>
      </c>
      <c r="F325" s="15">
        <f>B290</f>
        <v>3.3206349999999998</v>
      </c>
      <c r="G325" s="15">
        <f>B292</f>
        <v>0.98733539999999997</v>
      </c>
      <c r="H325" s="15">
        <f>B294</f>
        <v>0.2080931</v>
      </c>
      <c r="I325" s="4">
        <f>B296</f>
        <v>0.2169481</v>
      </c>
      <c r="J325" s="25">
        <f>B298</f>
        <v>2.063221</v>
      </c>
      <c r="K325" s="18">
        <f>B300</f>
        <v>0.97848040000000003</v>
      </c>
      <c r="M325" s="46">
        <v>7.3930099999999999E-2</v>
      </c>
      <c r="N325" s="46">
        <v>8.9975600000000044E-2</v>
      </c>
      <c r="O325" s="46">
        <v>0</v>
      </c>
      <c r="P325" s="46">
        <v>0</v>
      </c>
      <c r="Q325" s="46">
        <v>0.20930399999999993</v>
      </c>
      <c r="R325" s="46">
        <v>0.24056600000000006</v>
      </c>
      <c r="S325" s="7"/>
      <c r="T325" s="46"/>
      <c r="U325" s="46"/>
      <c r="V325" s="7"/>
    </row>
    <row r="326" spans="1:22" x14ac:dyDescent="0.25">
      <c r="A326" s="24" t="s">
        <v>95</v>
      </c>
      <c r="B326" s="7" t="s">
        <v>152</v>
      </c>
      <c r="C326" s="7">
        <f>B301</f>
        <v>7.1478799999999995E-2</v>
      </c>
      <c r="D326" s="7">
        <f>B303</f>
        <v>0.1131747</v>
      </c>
      <c r="E326" s="7">
        <f>B305</f>
        <v>0.33356760000000002</v>
      </c>
      <c r="F326" s="7">
        <f>B307</f>
        <v>0.86171620000000004</v>
      </c>
      <c r="G326" s="7">
        <f>B309</f>
        <v>0.65720749999999994</v>
      </c>
      <c r="H326" s="7">
        <f>B311</f>
        <v>3.5739399999999998E-2</v>
      </c>
      <c r="I326" s="4">
        <f>B313</f>
        <v>4.9638000000000002E-2</v>
      </c>
      <c r="J326" s="25">
        <f>B315</f>
        <v>0.67706270000000002</v>
      </c>
      <c r="K326" s="17">
        <f>B317</f>
        <v>0.27003090000000002</v>
      </c>
      <c r="M326" s="46">
        <v>0.13329829999999998</v>
      </c>
      <c r="N326" s="46">
        <v>0.16099580000000002</v>
      </c>
      <c r="O326" s="46">
        <v>0.15911789999999992</v>
      </c>
      <c r="P326" s="46">
        <v>0.18968759999999996</v>
      </c>
      <c r="Q326" s="46">
        <v>0.27891299999999997</v>
      </c>
      <c r="R326" s="46">
        <v>0.32251099999999999</v>
      </c>
      <c r="S326" s="7"/>
      <c r="T326" s="46"/>
      <c r="U326" s="46"/>
      <c r="V326" s="7"/>
    </row>
    <row r="327" spans="1:22" ht="15.75" thickBot="1" x14ac:dyDescent="0.3">
      <c r="A327" s="26"/>
      <c r="B327" s="27" t="s">
        <v>372</v>
      </c>
      <c r="C327" s="30">
        <f>B302</f>
        <v>0.36682480000000001</v>
      </c>
      <c r="D327" s="30">
        <f>B304</f>
        <v>0.25893519999999998</v>
      </c>
      <c r="E327" s="28">
        <f>B306</f>
        <v>1.596767</v>
      </c>
      <c r="F327" s="28">
        <f>B308</f>
        <v>2.200949</v>
      </c>
      <c r="G327" s="28">
        <f>B310</f>
        <v>1.5104550000000001</v>
      </c>
      <c r="H327" s="28">
        <f>B312</f>
        <v>0.1510455</v>
      </c>
      <c r="I327" s="30">
        <f>B314</f>
        <v>6.4733799999999994E-2</v>
      </c>
      <c r="J327" s="28">
        <f>B316</f>
        <v>1.726234</v>
      </c>
      <c r="K327" s="22">
        <f>B318</f>
        <v>0.53944820000000004</v>
      </c>
      <c r="M327" s="46">
        <v>2.7831400000000006E-2</v>
      </c>
      <c r="N327" s="46">
        <v>3.6907599999999999E-2</v>
      </c>
      <c r="O327" s="46">
        <v>9.8329199999999894E-2</v>
      </c>
      <c r="P327" s="46">
        <v>0.11562930000000005</v>
      </c>
      <c r="Q327" s="46">
        <v>9.6876199999999968E-2</v>
      </c>
      <c r="R327" s="46">
        <v>0.11305209999999999</v>
      </c>
      <c r="S327" s="9"/>
      <c r="T327" s="46"/>
      <c r="U327" s="46"/>
      <c r="V327" s="9"/>
    </row>
    <row r="328" spans="1:22" x14ac:dyDescent="0.25">
      <c r="M328" s="46">
        <v>0.11305979999999999</v>
      </c>
      <c r="N328" s="46">
        <v>0.20068600000000003</v>
      </c>
      <c r="O328" s="46">
        <v>0.35519800000000012</v>
      </c>
      <c r="P328" s="46">
        <v>0.46440899999999985</v>
      </c>
      <c r="Q328" s="46">
        <v>0.3851500000000001</v>
      </c>
      <c r="R328" s="46">
        <v>0.49576299999999995</v>
      </c>
      <c r="S328" s="9"/>
      <c r="T328" s="46"/>
      <c r="U328" s="46"/>
      <c r="V328" s="9"/>
    </row>
    <row r="329" spans="1:22" x14ac:dyDescent="0.25">
      <c r="M329" s="46">
        <v>0.12964520000000002</v>
      </c>
      <c r="N329" s="46">
        <v>0.15140819999999999</v>
      </c>
      <c r="O329" s="46">
        <v>3.1769800000000001E-2</v>
      </c>
      <c r="P329" s="46">
        <v>4.3919299999999994E-2</v>
      </c>
      <c r="Q329" s="46">
        <v>8.9443600000000067E-2</v>
      </c>
      <c r="R329" s="46">
        <v>0.10685139999999993</v>
      </c>
      <c r="S329" s="9"/>
      <c r="T329" s="46"/>
      <c r="U329" s="46"/>
      <c r="V329" s="9"/>
    </row>
    <row r="330" spans="1:22" x14ac:dyDescent="0.25">
      <c r="M330" s="46">
        <v>0.21475099999999991</v>
      </c>
      <c r="N330" s="46">
        <v>0.25098299999999996</v>
      </c>
      <c r="O330" s="46">
        <v>5.4776600000000009E-2</v>
      </c>
      <c r="P330" s="46">
        <v>7.4347000000000024E-2</v>
      </c>
      <c r="Q330" s="46">
        <v>0.15613169999999998</v>
      </c>
      <c r="R330" s="46">
        <v>0.18577460000000001</v>
      </c>
      <c r="S330" s="9"/>
      <c r="T330" s="46"/>
      <c r="U330" s="46"/>
      <c r="V330" s="9"/>
    </row>
    <row r="331" spans="1:22" x14ac:dyDescent="0.25">
      <c r="M331" s="46">
        <v>5.6847700000000001E-2</v>
      </c>
      <c r="N331" s="46">
        <v>6.8526099999999979E-2</v>
      </c>
      <c r="O331" s="46">
        <v>1.3496199999999996E-2</v>
      </c>
      <c r="P331" s="46">
        <v>2.1685000000000003E-2</v>
      </c>
      <c r="Q331" s="46">
        <v>4.9595900000000026E-2</v>
      </c>
      <c r="R331" s="46">
        <v>6.0754499999999989E-2</v>
      </c>
      <c r="S331" s="9"/>
      <c r="T331" s="46"/>
      <c r="U331" s="46"/>
      <c r="V331" s="9"/>
    </row>
    <row r="332" spans="1:22" x14ac:dyDescent="0.25">
      <c r="M332" s="46">
        <v>0.361564</v>
      </c>
      <c r="N332" s="46">
        <v>0.46739900000000012</v>
      </c>
      <c r="O332" s="46">
        <v>8.6441299999999999E-2</v>
      </c>
      <c r="P332" s="46">
        <v>0.20210080000000002</v>
      </c>
      <c r="Q332" s="46">
        <v>0.18097870000000005</v>
      </c>
      <c r="R332" s="46">
        <v>0.27234879999999995</v>
      </c>
      <c r="S332" s="9"/>
      <c r="T332" s="46"/>
      <c r="U332" s="46"/>
      <c r="V332" s="9"/>
    </row>
    <row r="333" spans="1:22" x14ac:dyDescent="0.25">
      <c r="M333" s="9"/>
      <c r="N333" s="9"/>
      <c r="O333" s="7"/>
      <c r="P333" s="7"/>
      <c r="Q333" s="9"/>
      <c r="R333" s="9"/>
      <c r="S333" s="9"/>
      <c r="T333" s="46"/>
      <c r="U333" s="46"/>
      <c r="V333" s="9"/>
    </row>
    <row r="334" spans="1:22" x14ac:dyDescent="0.25">
      <c r="M334" s="9"/>
      <c r="N334" s="9"/>
      <c r="O334" s="9"/>
      <c r="P334" s="9"/>
      <c r="Q334" s="7"/>
      <c r="R334" s="7"/>
      <c r="S334" s="7"/>
      <c r="T334" s="46"/>
      <c r="U334" s="46"/>
      <c r="V334" s="7"/>
    </row>
    <row r="335" spans="1:22" x14ac:dyDescent="0.25">
      <c r="M335" s="9"/>
      <c r="N335" s="9"/>
      <c r="O335" s="9"/>
      <c r="P335" s="9"/>
      <c r="Q335" s="7"/>
      <c r="R335" s="7"/>
      <c r="S335" s="7"/>
      <c r="T335" s="46"/>
      <c r="U335" s="46"/>
      <c r="V335" s="9"/>
    </row>
    <row r="336" spans="1:22" x14ac:dyDescent="0.25">
      <c r="M336" s="7"/>
      <c r="N336" s="7"/>
      <c r="O336" s="7"/>
      <c r="P336" s="7"/>
      <c r="Q336" s="7"/>
      <c r="R336" s="7"/>
      <c r="S336" s="9"/>
      <c r="T336" s="46"/>
      <c r="U336" s="46"/>
      <c r="V336" s="9"/>
    </row>
    <row r="337" spans="1:22" x14ac:dyDescent="0.25">
      <c r="M337" s="7"/>
      <c r="N337" s="7"/>
      <c r="O337" s="7"/>
      <c r="P337" s="7"/>
      <c r="Q337" s="7"/>
      <c r="R337" s="7"/>
      <c r="S337" s="9"/>
      <c r="T337" s="46"/>
      <c r="U337" s="46"/>
      <c r="V337" s="9"/>
    </row>
    <row r="338" spans="1:22" x14ac:dyDescent="0.25">
      <c r="M338" s="7"/>
      <c r="N338" s="7"/>
      <c r="O338" s="7"/>
      <c r="P338" s="7"/>
      <c r="Q338" s="7"/>
      <c r="R338" s="7"/>
      <c r="S338" s="7"/>
      <c r="T338" s="2"/>
      <c r="U338" s="2"/>
      <c r="V338" s="7"/>
    </row>
    <row r="339" spans="1:22" x14ac:dyDescent="0.25">
      <c r="M339" s="7"/>
      <c r="N339" s="7"/>
      <c r="O339" s="9"/>
      <c r="P339" s="7"/>
      <c r="Q339" s="7"/>
      <c r="R339" s="7"/>
      <c r="S339" s="7"/>
      <c r="V339" s="7"/>
    </row>
    <row r="340" spans="1:22" x14ac:dyDescent="0.25">
      <c r="M340" s="9"/>
      <c r="N340" s="9"/>
      <c r="O340" s="9"/>
      <c r="P340" s="7"/>
      <c r="Q340" s="7"/>
      <c r="R340" s="7"/>
      <c r="S340" s="9"/>
      <c r="U340" s="7"/>
      <c r="V340" s="7"/>
    </row>
    <row r="341" spans="1:22" x14ac:dyDescent="0.25">
      <c r="M341" s="9"/>
      <c r="N341" s="9"/>
      <c r="O341" s="9"/>
      <c r="P341" s="9"/>
      <c r="Q341" s="9"/>
      <c r="R341" s="9"/>
      <c r="S341" s="9"/>
      <c r="U341" s="9"/>
      <c r="V341" s="9"/>
    </row>
    <row r="342" spans="1:22" x14ac:dyDescent="0.25">
      <c r="M342" s="7"/>
      <c r="N342" s="7"/>
      <c r="O342" s="9"/>
      <c r="P342" s="9"/>
      <c r="Q342" s="9"/>
      <c r="U342" s="7"/>
      <c r="V342" s="7"/>
    </row>
    <row r="343" spans="1:22" x14ac:dyDescent="0.25">
      <c r="M343" s="7"/>
      <c r="N343" s="7"/>
      <c r="O343" s="9"/>
      <c r="P343" s="9"/>
      <c r="Q343" s="9"/>
      <c r="U343" s="7"/>
      <c r="V343" s="7"/>
    </row>
    <row r="344" spans="1:22" x14ac:dyDescent="0.25">
      <c r="N344" s="9"/>
      <c r="O344" s="9"/>
      <c r="P344" s="9"/>
      <c r="Q344" s="9"/>
      <c r="U344" s="7"/>
      <c r="V344" s="7"/>
    </row>
    <row r="345" spans="1:22" s="1" customFormat="1" ht="13.9" customHeight="1" x14ac:dyDescent="0.25">
      <c r="A345" s="1" t="s">
        <v>103</v>
      </c>
      <c r="N345" s="32"/>
      <c r="O345" s="32"/>
      <c r="P345" s="32"/>
      <c r="Q345" s="32"/>
      <c r="U345" s="35"/>
      <c r="V345" s="35"/>
    </row>
    <row r="346" spans="1:22" x14ac:dyDescent="0.25">
      <c r="N346" s="7"/>
      <c r="O346" s="7"/>
      <c r="P346" s="7"/>
      <c r="Q346" s="7"/>
      <c r="U346" s="7"/>
      <c r="V346" s="9"/>
    </row>
    <row r="347" spans="1:22" x14ac:dyDescent="0.25">
      <c r="A347" s="36"/>
      <c r="B347" s="2" t="s">
        <v>1</v>
      </c>
      <c r="C347" s="3"/>
      <c r="D347" s="3"/>
      <c r="E347" s="3"/>
      <c r="F347" s="3"/>
      <c r="G347" s="3"/>
      <c r="N347" s="7"/>
      <c r="O347" s="7"/>
      <c r="P347" s="7"/>
      <c r="Q347" s="7"/>
      <c r="U347" s="9"/>
      <c r="V347" s="9"/>
    </row>
    <row r="348" spans="1:22" x14ac:dyDescent="0.25">
      <c r="A348" s="5" t="s">
        <v>2</v>
      </c>
      <c r="B348" s="6" t="s">
        <v>269</v>
      </c>
      <c r="C348" s="6" t="s">
        <v>270</v>
      </c>
      <c r="D348" s="6" t="s">
        <v>3</v>
      </c>
      <c r="E348" s="6" t="s">
        <v>4</v>
      </c>
      <c r="F348" s="6" t="s">
        <v>271</v>
      </c>
      <c r="G348" s="6" t="s">
        <v>272</v>
      </c>
      <c r="N348" s="7"/>
      <c r="O348" s="7"/>
      <c r="P348" s="7"/>
      <c r="Q348" s="9"/>
      <c r="U348" s="9"/>
      <c r="V348" s="9"/>
    </row>
    <row r="349" spans="1:22" x14ac:dyDescent="0.25">
      <c r="A349" s="36"/>
      <c r="B349" s="2"/>
      <c r="C349" s="2"/>
      <c r="D349" s="3"/>
      <c r="E349" s="3"/>
      <c r="F349" s="3"/>
      <c r="G349" s="3"/>
      <c r="N349" s="7"/>
      <c r="O349" s="7"/>
      <c r="P349" s="7"/>
      <c r="Q349" s="9"/>
      <c r="U349" s="9"/>
      <c r="V349" s="9"/>
    </row>
    <row r="350" spans="1:22" x14ac:dyDescent="0.25">
      <c r="A350" s="36" t="s">
        <v>72</v>
      </c>
      <c r="B350" s="3"/>
      <c r="C350" s="3"/>
      <c r="D350" s="3"/>
      <c r="E350" s="3"/>
      <c r="F350" s="3"/>
      <c r="G350" s="3"/>
      <c r="N350" s="7"/>
      <c r="O350" s="7"/>
      <c r="U350" s="7"/>
      <c r="V350" s="7"/>
    </row>
    <row r="351" spans="1:22" x14ac:dyDescent="0.25">
      <c r="A351" s="36" t="s">
        <v>73</v>
      </c>
      <c r="B351" s="2">
        <v>1.3807879999999999</v>
      </c>
      <c r="C351" s="2">
        <v>4.56446E-2</v>
      </c>
      <c r="D351" s="2">
        <v>9.76</v>
      </c>
      <c r="E351" s="2">
        <v>0</v>
      </c>
      <c r="F351" s="2">
        <v>1.294163</v>
      </c>
      <c r="G351" s="2">
        <v>1.473211</v>
      </c>
      <c r="N351" s="7"/>
      <c r="O351" s="7"/>
      <c r="U351" s="7"/>
      <c r="V351" s="7"/>
    </row>
    <row r="352" spans="1:22" x14ac:dyDescent="0.25">
      <c r="A352" s="36"/>
      <c r="B352" s="3"/>
      <c r="C352" s="3"/>
      <c r="D352" s="3"/>
      <c r="E352" s="3"/>
      <c r="F352" s="3"/>
      <c r="G352" s="3"/>
      <c r="N352" s="7"/>
      <c r="O352" s="7"/>
      <c r="U352" s="7"/>
      <c r="V352" s="9"/>
    </row>
    <row r="353" spans="1:22" x14ac:dyDescent="0.25">
      <c r="A353" s="36" t="s">
        <v>74</v>
      </c>
      <c r="B353" s="3"/>
      <c r="C353" s="3"/>
      <c r="D353" s="3"/>
      <c r="E353" s="3"/>
      <c r="F353" s="3"/>
      <c r="G353" s="3"/>
      <c r="N353" s="7"/>
      <c r="O353" s="9"/>
      <c r="U353" s="9"/>
      <c r="V353" s="9"/>
    </row>
    <row r="354" spans="1:22" x14ac:dyDescent="0.25">
      <c r="A354" s="36" t="s">
        <v>75</v>
      </c>
      <c r="B354" s="2">
        <v>0.83669420000000005</v>
      </c>
      <c r="C354" s="2">
        <v>3.0100399999999999E-2</v>
      </c>
      <c r="D354" s="2">
        <v>-4.96</v>
      </c>
      <c r="E354" s="2">
        <v>0</v>
      </c>
      <c r="F354" s="2">
        <v>0.77973040000000005</v>
      </c>
      <c r="G354" s="2">
        <v>0.89781949999999999</v>
      </c>
      <c r="N354" s="9"/>
      <c r="O354" s="9"/>
    </row>
    <row r="355" spans="1:22" x14ac:dyDescent="0.25">
      <c r="A355" s="36" t="s">
        <v>76</v>
      </c>
      <c r="B355" s="2">
        <v>0.62620480000000001</v>
      </c>
      <c r="C355" s="2">
        <v>2.9078E-2</v>
      </c>
      <c r="D355" s="2">
        <v>-10.08</v>
      </c>
      <c r="E355" s="2">
        <v>0</v>
      </c>
      <c r="F355" s="2">
        <v>0.5717295</v>
      </c>
      <c r="G355" s="2">
        <v>0.68587070000000006</v>
      </c>
      <c r="N355" s="9"/>
      <c r="O355" s="9"/>
    </row>
    <row r="356" spans="1:22" x14ac:dyDescent="0.25">
      <c r="A356" s="36" t="s">
        <v>77</v>
      </c>
      <c r="B356" s="2">
        <v>0.5385818</v>
      </c>
      <c r="C356" s="2">
        <v>2.7340300000000001E-2</v>
      </c>
      <c r="D356" s="2">
        <v>-12.19</v>
      </c>
      <c r="E356" s="2">
        <v>0</v>
      </c>
      <c r="F356" s="2">
        <v>0.48757539999999999</v>
      </c>
      <c r="G356" s="2">
        <v>0.59492409999999996</v>
      </c>
      <c r="N356" s="9"/>
      <c r="O356" s="9"/>
    </row>
    <row r="357" spans="1:22" x14ac:dyDescent="0.25">
      <c r="A357" s="36" t="s">
        <v>78</v>
      </c>
      <c r="B357" s="2">
        <v>0.48581839999999998</v>
      </c>
      <c r="C357" s="2">
        <v>2.6855299999999999E-2</v>
      </c>
      <c r="D357" s="2">
        <v>-13.06</v>
      </c>
      <c r="E357" s="2">
        <v>0</v>
      </c>
      <c r="F357" s="2">
        <v>0.43593399999999999</v>
      </c>
      <c r="G357" s="2">
        <v>0.54141099999999998</v>
      </c>
      <c r="N357" s="9"/>
      <c r="O357" s="9"/>
    </row>
    <row r="358" spans="1:22" x14ac:dyDescent="0.25">
      <c r="A358" s="36" t="s">
        <v>79</v>
      </c>
      <c r="B358" s="2">
        <v>0.4466215</v>
      </c>
      <c r="C358" s="2">
        <v>2.9017299999999999E-2</v>
      </c>
      <c r="D358" s="2">
        <v>-12.41</v>
      </c>
      <c r="E358" s="2">
        <v>0</v>
      </c>
      <c r="F358" s="2">
        <v>0.39322079999999998</v>
      </c>
      <c r="G358" s="2">
        <v>0.50727409999999995</v>
      </c>
      <c r="N358" s="7"/>
      <c r="O358" s="7"/>
    </row>
    <row r="359" spans="1:22" x14ac:dyDescent="0.25">
      <c r="A359" s="36" t="s">
        <v>80</v>
      </c>
      <c r="B359" s="2">
        <v>0.37219210000000003</v>
      </c>
      <c r="C359" s="2">
        <v>2.6601E-2</v>
      </c>
      <c r="D359" s="2">
        <v>-13.83</v>
      </c>
      <c r="E359" s="2">
        <v>0</v>
      </c>
      <c r="F359" s="2">
        <v>0.3235421</v>
      </c>
      <c r="G359" s="2">
        <v>0.42815750000000002</v>
      </c>
      <c r="N359" s="7"/>
      <c r="O359" s="7"/>
    </row>
    <row r="360" spans="1:22" x14ac:dyDescent="0.25">
      <c r="A360" s="36" t="s">
        <v>86</v>
      </c>
      <c r="B360" s="2">
        <v>0.30162600000000001</v>
      </c>
      <c r="C360" s="2">
        <v>2.3686200000000001E-2</v>
      </c>
      <c r="D360" s="2">
        <v>-15.26</v>
      </c>
      <c r="E360" s="2">
        <v>0</v>
      </c>
      <c r="F360" s="2">
        <v>0.2585981</v>
      </c>
      <c r="G360" s="2">
        <v>0.3518133</v>
      </c>
      <c r="N360" s="7"/>
      <c r="O360" s="9"/>
    </row>
    <row r="361" spans="1:22" x14ac:dyDescent="0.25">
      <c r="A361" s="36" t="s">
        <v>87</v>
      </c>
      <c r="B361" s="2">
        <v>0.1815618</v>
      </c>
      <c r="C361" s="2">
        <v>2.0089599999999999E-2</v>
      </c>
      <c r="D361" s="2">
        <v>-15.42</v>
      </c>
      <c r="E361" s="2">
        <v>0</v>
      </c>
      <c r="F361" s="2">
        <v>0.14616380000000001</v>
      </c>
      <c r="G361" s="2">
        <v>0.22553239999999999</v>
      </c>
      <c r="N361" s="7"/>
      <c r="O361" s="9"/>
    </row>
    <row r="362" spans="1:22" x14ac:dyDescent="0.25">
      <c r="A362" s="36" t="s">
        <v>88</v>
      </c>
      <c r="B362" s="2">
        <v>3.6503899999999999E-2</v>
      </c>
      <c r="C362" s="2">
        <v>1.1629799999999999E-2</v>
      </c>
      <c r="D362" s="2">
        <v>-10.39</v>
      </c>
      <c r="E362" s="2">
        <v>0</v>
      </c>
      <c r="F362" s="2">
        <v>1.95503E-2</v>
      </c>
      <c r="G362" s="2">
        <v>6.81591E-2</v>
      </c>
    </row>
    <row r="363" spans="1:22" x14ac:dyDescent="0.25">
      <c r="A363" s="36"/>
      <c r="B363" s="3"/>
      <c r="C363" s="3"/>
      <c r="D363" s="3"/>
      <c r="E363" s="3"/>
      <c r="F363" s="3"/>
      <c r="G363" s="3"/>
    </row>
    <row r="364" spans="1:22" x14ac:dyDescent="0.25">
      <c r="A364" s="36" t="s">
        <v>108</v>
      </c>
      <c r="B364" s="3"/>
      <c r="C364" s="3"/>
      <c r="D364" s="3"/>
      <c r="E364" s="3"/>
      <c r="F364" s="3"/>
      <c r="G364" s="3"/>
    </row>
    <row r="365" spans="1:22" x14ac:dyDescent="0.25">
      <c r="A365" s="36">
        <v>2</v>
      </c>
      <c r="B365" s="2">
        <v>1.1424190000000001</v>
      </c>
      <c r="C365" s="2">
        <v>3.6396600000000001E-2</v>
      </c>
      <c r="D365" s="2">
        <v>4.18</v>
      </c>
      <c r="E365" s="2">
        <v>0</v>
      </c>
      <c r="F365" s="2">
        <v>1.073264</v>
      </c>
      <c r="G365" s="2">
        <v>1.216029</v>
      </c>
    </row>
    <row r="366" spans="1:22" x14ac:dyDescent="0.25">
      <c r="A366" s="36" t="s">
        <v>109</v>
      </c>
      <c r="B366" s="2">
        <v>1.2062809999999999</v>
      </c>
      <c r="C366" s="2">
        <v>6.4753699999999997E-2</v>
      </c>
      <c r="D366" s="2">
        <v>3.49</v>
      </c>
      <c r="E366" s="2">
        <v>0</v>
      </c>
      <c r="F366" s="2">
        <v>1.0858140000000001</v>
      </c>
      <c r="G366" s="2">
        <v>1.340112</v>
      </c>
    </row>
    <row r="367" spans="1:22" x14ac:dyDescent="0.25">
      <c r="A367" s="36"/>
      <c r="B367" s="3"/>
      <c r="C367" s="3"/>
      <c r="D367" s="3"/>
      <c r="E367" s="3"/>
      <c r="F367" s="3"/>
      <c r="G367" s="3"/>
    </row>
    <row r="368" spans="1:22" x14ac:dyDescent="0.25">
      <c r="A368" s="36" t="s">
        <v>81</v>
      </c>
      <c r="B368" s="3"/>
      <c r="C368" s="3"/>
      <c r="D368" s="3"/>
      <c r="E368" s="3"/>
      <c r="F368" s="3"/>
      <c r="G368" s="3"/>
    </row>
    <row r="369" spans="1:7" x14ac:dyDescent="0.25">
      <c r="A369" s="38" t="s">
        <v>315</v>
      </c>
      <c r="B369" s="2">
        <v>1.266602</v>
      </c>
      <c r="C369" s="2">
        <v>4.6633500000000001E-2</v>
      </c>
      <c r="D369" s="2">
        <v>6.42</v>
      </c>
      <c r="E369" s="2">
        <v>0</v>
      </c>
      <c r="F369" s="2">
        <v>1.1784220000000001</v>
      </c>
      <c r="G369" s="2">
        <v>1.361381</v>
      </c>
    </row>
    <row r="370" spans="1:7" x14ac:dyDescent="0.25">
      <c r="A370" s="38" t="s">
        <v>316</v>
      </c>
      <c r="B370" s="2">
        <v>1.035345</v>
      </c>
      <c r="C370" s="2">
        <v>4.5469099999999998E-2</v>
      </c>
      <c r="D370" s="2">
        <v>0.79</v>
      </c>
      <c r="E370" s="2">
        <v>0.42899999999999999</v>
      </c>
      <c r="F370" s="2">
        <v>0.94995459999999998</v>
      </c>
      <c r="G370" s="2">
        <v>1.1284099999999999</v>
      </c>
    </row>
    <row r="371" spans="1:7" x14ac:dyDescent="0.25">
      <c r="A371" s="38" t="s">
        <v>317</v>
      </c>
      <c r="B371" s="2">
        <v>1.013957</v>
      </c>
      <c r="C371" s="2">
        <v>4.5693999999999999E-2</v>
      </c>
      <c r="D371" s="2">
        <v>0.31</v>
      </c>
      <c r="E371" s="2">
        <v>0.75800000000000001</v>
      </c>
      <c r="F371" s="2">
        <v>0.9282397</v>
      </c>
      <c r="G371" s="2">
        <v>1.1075900000000001</v>
      </c>
    </row>
    <row r="372" spans="1:7" x14ac:dyDescent="0.25">
      <c r="A372" s="38" t="s">
        <v>82</v>
      </c>
      <c r="B372" s="2">
        <v>1.3585469999999999</v>
      </c>
      <c r="C372" s="2">
        <v>6.3645999999999994E-2</v>
      </c>
      <c r="D372" s="2">
        <v>6.54</v>
      </c>
      <c r="E372" s="2">
        <v>0</v>
      </c>
      <c r="F372" s="2">
        <v>1.2393590000000001</v>
      </c>
      <c r="G372" s="2">
        <v>1.489198</v>
      </c>
    </row>
    <row r="373" spans="1:7" x14ac:dyDescent="0.25">
      <c r="A373" s="36"/>
      <c r="B373" s="3"/>
      <c r="C373" s="3"/>
      <c r="D373" s="3"/>
      <c r="E373" s="3"/>
      <c r="F373" s="3"/>
      <c r="G373" s="3"/>
    </row>
    <row r="374" spans="1:7" x14ac:dyDescent="0.25">
      <c r="A374" s="36" t="s">
        <v>111</v>
      </c>
      <c r="B374" s="3"/>
      <c r="C374" s="3"/>
      <c r="D374" s="3"/>
      <c r="E374" s="3"/>
      <c r="F374" s="3"/>
      <c r="G374" s="3"/>
    </row>
    <row r="375" spans="1:7" x14ac:dyDescent="0.25">
      <c r="A375" s="36" t="s">
        <v>154</v>
      </c>
      <c r="B375" s="2">
        <v>4.65116E-2</v>
      </c>
      <c r="C375" s="2">
        <v>1.2633800000000001E-2</v>
      </c>
      <c r="D375" s="2">
        <v>-11.3</v>
      </c>
      <c r="E375" s="2">
        <v>0</v>
      </c>
      <c r="F375" s="2">
        <f>B375-0.027312</f>
        <v>1.9199600000000001E-2</v>
      </c>
      <c r="G375" s="2">
        <f>0.0792082-B375</f>
        <v>3.2696600000000006E-2</v>
      </c>
    </row>
    <row r="376" spans="1:7" x14ac:dyDescent="0.25">
      <c r="A376" s="36" t="s">
        <v>155</v>
      </c>
      <c r="B376" s="2">
        <v>3.6970700000000002E-2</v>
      </c>
      <c r="C376" s="2">
        <v>2.1464E-2</v>
      </c>
      <c r="D376" s="2">
        <v>-5.68</v>
      </c>
      <c r="E376" s="2">
        <v>0</v>
      </c>
      <c r="F376" s="2">
        <f>B376-0.0118489</f>
        <v>2.51218E-2</v>
      </c>
      <c r="G376" s="2">
        <f>0.1153555-B376</f>
        <v>7.8384800000000004E-2</v>
      </c>
    </row>
    <row r="377" spans="1:7" x14ac:dyDescent="0.25">
      <c r="A377" s="36" t="s">
        <v>156</v>
      </c>
      <c r="B377" s="2">
        <v>0.1162791</v>
      </c>
      <c r="C377" s="2">
        <v>2.0910999999999999E-2</v>
      </c>
      <c r="D377" s="2">
        <v>-11.97</v>
      </c>
      <c r="E377" s="2">
        <v>0</v>
      </c>
      <c r="F377" s="2">
        <f>B377-0.0817384</f>
        <v>3.4540699999999994E-2</v>
      </c>
      <c r="G377" s="2">
        <f>0.1654159-B377</f>
        <v>4.9136800000000008E-2</v>
      </c>
    </row>
    <row r="378" spans="1:7" x14ac:dyDescent="0.25">
      <c r="A378" s="36" t="s">
        <v>157</v>
      </c>
      <c r="B378" s="2">
        <v>0.14788280000000001</v>
      </c>
      <c r="C378" s="2">
        <v>4.3495499999999999E-2</v>
      </c>
      <c r="D378" s="2">
        <v>-6.5</v>
      </c>
      <c r="E378" s="2">
        <v>0</v>
      </c>
      <c r="F378" s="2">
        <f>B378-0.0830923</f>
        <v>6.4790500000000015E-2</v>
      </c>
      <c r="G378" s="2">
        <f>0.263193-B378</f>
        <v>0.1153102</v>
      </c>
    </row>
    <row r="379" spans="1:7" x14ac:dyDescent="0.25">
      <c r="A379" s="36" t="s">
        <v>158</v>
      </c>
      <c r="B379" s="2">
        <v>0.75415279999999996</v>
      </c>
      <c r="C379" s="2">
        <v>6.7920700000000001E-2</v>
      </c>
      <c r="D379" s="2">
        <v>-3.13</v>
      </c>
      <c r="E379" s="2">
        <v>2E-3</v>
      </c>
      <c r="F379" s="2">
        <f>B379-0.6321181</f>
        <v>0.12203469999999994</v>
      </c>
      <c r="G379" s="2">
        <f>0.8997471-B379</f>
        <v>0.14559430000000007</v>
      </c>
    </row>
    <row r="380" spans="1:7" x14ac:dyDescent="0.25">
      <c r="A380" s="36" t="s">
        <v>159</v>
      </c>
      <c r="B380" s="2">
        <v>1.8731819999999999</v>
      </c>
      <c r="C380" s="2">
        <v>0.19801959999999999</v>
      </c>
      <c r="D380" s="2">
        <v>5.94</v>
      </c>
      <c r="E380" s="2">
        <v>0</v>
      </c>
      <c r="F380" s="2">
        <f>B380-1.522639</f>
        <v>0.35054299999999983</v>
      </c>
      <c r="G380" s="2">
        <f>2.304428-B380</f>
        <v>0.43124600000000024</v>
      </c>
    </row>
    <row r="381" spans="1:7" x14ac:dyDescent="0.25">
      <c r="A381" s="36" t="s">
        <v>160</v>
      </c>
      <c r="B381" s="2">
        <v>1.6378740000000001</v>
      </c>
      <c r="C381" s="2">
        <v>0.13053400000000001</v>
      </c>
      <c r="D381" s="2">
        <v>6.19</v>
      </c>
      <c r="E381" s="2">
        <v>0</v>
      </c>
      <c r="F381" s="2">
        <f>B381-1.401013</f>
        <v>0.23686099999999999</v>
      </c>
      <c r="G381" s="2">
        <f>1.91478-B381</f>
        <v>0.27690599999999987</v>
      </c>
    </row>
    <row r="382" spans="1:7" x14ac:dyDescent="0.25">
      <c r="A382" s="36" t="s">
        <v>161</v>
      </c>
      <c r="B382" s="2">
        <v>2.8590680000000002</v>
      </c>
      <c r="C382" s="2">
        <v>0.27639029999999998</v>
      </c>
      <c r="D382" s="2">
        <v>10.87</v>
      </c>
      <c r="E382" s="2">
        <v>0</v>
      </c>
      <c r="F382" s="2">
        <f>B382-2.365579</f>
        <v>0.49348900000000029</v>
      </c>
      <c r="G382" s="2">
        <f>3.455504-B382</f>
        <v>0.59643599999999974</v>
      </c>
    </row>
    <row r="383" spans="1:7" x14ac:dyDescent="0.25">
      <c r="A383" s="36" t="s">
        <v>189</v>
      </c>
      <c r="B383" s="2">
        <v>1</v>
      </c>
      <c r="C383" s="2"/>
      <c r="D383" s="2"/>
      <c r="E383" s="2"/>
      <c r="F383" s="2">
        <v>0</v>
      </c>
      <c r="G383" s="2">
        <v>0</v>
      </c>
    </row>
    <row r="384" spans="1:7" x14ac:dyDescent="0.25">
      <c r="A384" s="36" t="s">
        <v>162</v>
      </c>
      <c r="B384" s="2">
        <v>0.81335539999999995</v>
      </c>
      <c r="C384" s="2">
        <v>0.115563</v>
      </c>
      <c r="D384" s="2">
        <v>-1.45</v>
      </c>
      <c r="E384" s="2">
        <v>0.14599999999999999</v>
      </c>
      <c r="F384" s="2">
        <f>B384-0.6156588</f>
        <v>0.1976966</v>
      </c>
      <c r="G384" s="2">
        <f>1.074535-B384</f>
        <v>0.26117960000000007</v>
      </c>
    </row>
    <row r="385" spans="1:7" x14ac:dyDescent="0.25">
      <c r="A385" s="36" t="s">
        <v>163</v>
      </c>
      <c r="B385" s="2">
        <v>4.65116E-2</v>
      </c>
      <c r="C385" s="2">
        <v>1.27551E-2</v>
      </c>
      <c r="D385" s="2">
        <v>-11.19</v>
      </c>
      <c r="E385" s="2">
        <v>0</v>
      </c>
      <c r="F385" s="2">
        <f>B385-0.0271727</f>
        <v>1.9338899999999999E-2</v>
      </c>
      <c r="G385" s="2">
        <f>0.0796143-B385</f>
        <v>3.3102699999999999E-2</v>
      </c>
    </row>
    <row r="386" spans="1:7" x14ac:dyDescent="0.25">
      <c r="A386" s="36" t="s">
        <v>164</v>
      </c>
      <c r="B386" s="2">
        <v>7.3941400000000004E-2</v>
      </c>
      <c r="C386" s="2">
        <v>3.0449199999999999E-2</v>
      </c>
      <c r="D386" s="2">
        <v>-6.32</v>
      </c>
      <c r="E386" s="2">
        <v>0</v>
      </c>
      <c r="F386" s="2">
        <f>B386-0.0329884</f>
        <v>4.0953000000000003E-2</v>
      </c>
      <c r="G386" s="2">
        <f>0.1657348-B386</f>
        <v>9.1793399999999983E-2</v>
      </c>
    </row>
    <row r="387" spans="1:7" x14ac:dyDescent="0.25">
      <c r="A387" s="36" t="s">
        <v>165</v>
      </c>
      <c r="B387" s="2">
        <v>7.9734200000000005E-2</v>
      </c>
      <c r="C387" s="2">
        <v>1.75839E-2</v>
      </c>
      <c r="D387" s="2">
        <v>-11.47</v>
      </c>
      <c r="E387" s="2">
        <v>0</v>
      </c>
      <c r="F387" s="2">
        <f>B387-0.0517522</f>
        <v>2.7982000000000007E-2</v>
      </c>
      <c r="G387" s="2">
        <f>0.122846-B387</f>
        <v>4.3111799999999992E-2</v>
      </c>
    </row>
    <row r="388" spans="1:7" x14ac:dyDescent="0.25">
      <c r="A388" s="36" t="s">
        <v>166</v>
      </c>
      <c r="B388" s="2">
        <v>9.8588499999999996E-2</v>
      </c>
      <c r="C388" s="2">
        <v>3.5262300000000003E-2</v>
      </c>
      <c r="D388" s="2">
        <v>-6.48</v>
      </c>
      <c r="E388" s="2">
        <v>0</v>
      </c>
      <c r="F388" s="2">
        <f>B388-0.0489076</f>
        <v>4.9680899999999993E-2</v>
      </c>
      <c r="G388" s="2">
        <f>0.198736-B388</f>
        <v>0.1001475</v>
      </c>
    </row>
    <row r="389" spans="1:7" x14ac:dyDescent="0.25">
      <c r="A389" s="36" t="s">
        <v>167</v>
      </c>
      <c r="B389" s="2">
        <v>1.3322259999999999</v>
      </c>
      <c r="C389" s="2">
        <v>0.1076752</v>
      </c>
      <c r="D389" s="2">
        <v>3.55</v>
      </c>
      <c r="E389" s="2">
        <v>0</v>
      </c>
      <c r="F389" s="2">
        <f>B389-1.137053</f>
        <v>0.19517299999999982</v>
      </c>
      <c r="G389" s="2">
        <f>1.5609-B389</f>
        <v>0.22867400000000004</v>
      </c>
    </row>
    <row r="390" spans="1:7" x14ac:dyDescent="0.25">
      <c r="A390" s="36" t="s">
        <v>168</v>
      </c>
      <c r="B390" s="2">
        <v>2.3538009999999998</v>
      </c>
      <c r="C390" s="2">
        <v>0.2301937</v>
      </c>
      <c r="D390" s="2">
        <v>8.75</v>
      </c>
      <c r="E390" s="2">
        <v>0</v>
      </c>
      <c r="F390" s="2">
        <f>B390-1.943235</f>
        <v>0.41056599999999976</v>
      </c>
      <c r="G390" s="2">
        <f>2.851113-B390</f>
        <v>0.49731199999999998</v>
      </c>
    </row>
    <row r="391" spans="1:7" x14ac:dyDescent="0.25">
      <c r="A391" s="36" t="s">
        <v>169</v>
      </c>
      <c r="B391" s="2">
        <v>0.55149499999999996</v>
      </c>
      <c r="C391" s="2">
        <v>5.4795999999999997E-2</v>
      </c>
      <c r="D391" s="2">
        <v>-5.99</v>
      </c>
      <c r="E391" s="2">
        <v>0</v>
      </c>
      <c r="F391" s="2">
        <f>B391-0.4539072</f>
        <v>9.7587799999999947E-2</v>
      </c>
      <c r="G391" s="2">
        <f>0.6700637-B391</f>
        <v>0.11856870000000008</v>
      </c>
    </row>
    <row r="392" spans="1:7" x14ac:dyDescent="0.25">
      <c r="A392" s="36" t="s">
        <v>170</v>
      </c>
      <c r="B392" s="2">
        <v>1.0844739999999999</v>
      </c>
      <c r="C392" s="2">
        <v>0.1355316</v>
      </c>
      <c r="D392" s="2">
        <v>0.65</v>
      </c>
      <c r="E392" s="2">
        <v>0.51600000000000001</v>
      </c>
      <c r="F392" s="2">
        <f>B392-0.8488689</f>
        <v>0.2356050999999999</v>
      </c>
      <c r="G392" s="2">
        <f>1.385472-B392</f>
        <v>0.3009980000000001</v>
      </c>
    </row>
    <row r="393" spans="1:7" x14ac:dyDescent="0.25">
      <c r="A393" s="36" t="s">
        <v>171</v>
      </c>
      <c r="B393" s="2">
        <v>0.19410230000000001</v>
      </c>
      <c r="C393" s="2">
        <v>2.3954900000000001E-2</v>
      </c>
      <c r="D393" s="2">
        <v>-13.28</v>
      </c>
      <c r="E393" s="2">
        <v>0</v>
      </c>
      <c r="F393" s="2">
        <f>B393-0.1523985</f>
        <v>4.1703800000000013E-2</v>
      </c>
      <c r="G393" s="2">
        <f>0.2472184-B393</f>
        <v>5.3116099999999999E-2</v>
      </c>
    </row>
    <row r="394" spans="1:7" x14ac:dyDescent="0.25">
      <c r="A394" s="36" t="s">
        <v>172</v>
      </c>
      <c r="B394" s="2">
        <v>0.42243910000000001</v>
      </c>
      <c r="C394" s="2">
        <v>5.00665E-2</v>
      </c>
      <c r="D394" s="2">
        <v>-7.27</v>
      </c>
      <c r="E394" s="2">
        <v>0</v>
      </c>
      <c r="F394" s="2">
        <f>B394-0.3348742</f>
        <v>8.7564900000000001E-2</v>
      </c>
      <c r="G394" s="2">
        <f>0.5329008-B394</f>
        <v>0.11046169999999994</v>
      </c>
    </row>
    <row r="395" spans="1:7" x14ac:dyDescent="0.25">
      <c r="A395" s="36" t="s">
        <v>173</v>
      </c>
      <c r="B395" s="2">
        <v>0.34676709999999999</v>
      </c>
      <c r="C395" s="2">
        <v>3.4530999999999999E-2</v>
      </c>
      <c r="D395" s="2">
        <v>-10.64</v>
      </c>
      <c r="E395" s="2">
        <v>0</v>
      </c>
      <c r="F395" s="2">
        <f>B395-0.2852827</f>
        <v>6.1484399999999995E-2</v>
      </c>
      <c r="G395" s="2">
        <f>0.4215026-B395</f>
        <v>7.473550000000001E-2</v>
      </c>
    </row>
    <row r="396" spans="1:7" x14ac:dyDescent="0.25">
      <c r="A396" s="36" t="s">
        <v>174</v>
      </c>
      <c r="B396" s="2">
        <v>0.67021580000000003</v>
      </c>
      <c r="C396" s="2">
        <v>6.7798700000000003E-2</v>
      </c>
      <c r="D396" s="2">
        <v>-3.96</v>
      </c>
      <c r="E396" s="2">
        <v>0</v>
      </c>
      <c r="F396" s="2">
        <f>B396-0.549677</f>
        <v>0.12053880000000006</v>
      </c>
      <c r="G396" s="2">
        <f>0.8171875-B396</f>
        <v>0.14697169999999993</v>
      </c>
    </row>
    <row r="397" spans="1:7" x14ac:dyDescent="0.25">
      <c r="A397" s="36" t="s">
        <v>175</v>
      </c>
      <c r="B397" s="2">
        <v>0.56049780000000005</v>
      </c>
      <c r="C397" s="2">
        <v>4.8979099999999998E-2</v>
      </c>
      <c r="D397" s="2">
        <v>-6.63</v>
      </c>
      <c r="E397" s="2">
        <v>0</v>
      </c>
      <c r="F397" s="2">
        <f>B397-0.4722714</f>
        <v>8.8226400000000038E-2</v>
      </c>
      <c r="G397" s="2">
        <f>0.665206-B397</f>
        <v>0.10470819999999992</v>
      </c>
    </row>
    <row r="398" spans="1:7" x14ac:dyDescent="0.25">
      <c r="A398" s="36" t="s">
        <v>176</v>
      </c>
      <c r="B398" s="2">
        <v>1.011417</v>
      </c>
      <c r="C398" s="2">
        <v>9.1441499999999995E-2</v>
      </c>
      <c r="D398" s="2">
        <v>0.13</v>
      </c>
      <c r="E398" s="2">
        <v>0.9</v>
      </c>
      <c r="F398" s="2">
        <f>B398-0.8471758</f>
        <v>0.16424119999999998</v>
      </c>
      <c r="G398" s="2">
        <f>1.207498-B398</f>
        <v>0.19608099999999995</v>
      </c>
    </row>
    <row r="399" spans="1:7" x14ac:dyDescent="0.25">
      <c r="A399" s="36" t="s">
        <v>177</v>
      </c>
      <c r="B399" s="2">
        <v>1.528829</v>
      </c>
      <c r="C399" s="2">
        <v>0.11194999999999999</v>
      </c>
      <c r="D399" s="2">
        <v>5.8</v>
      </c>
      <c r="E399" s="2">
        <v>0</v>
      </c>
      <c r="F399" s="2">
        <f>B399-1.324429</f>
        <v>0.20439999999999992</v>
      </c>
      <c r="G399" s="2">
        <f>1.764773-B399</f>
        <v>0.23594399999999993</v>
      </c>
    </row>
    <row r="400" spans="1:7" x14ac:dyDescent="0.25">
      <c r="A400" s="36" t="s">
        <v>178</v>
      </c>
      <c r="B400" s="2">
        <v>2.3518479999999999</v>
      </c>
      <c r="C400" s="2">
        <v>0.18206749999999999</v>
      </c>
      <c r="D400" s="2">
        <v>11.05</v>
      </c>
      <c r="E400" s="2">
        <v>0</v>
      </c>
      <c r="F400" s="2">
        <f>B400-2.020756</f>
        <v>0.33109199999999994</v>
      </c>
      <c r="G400" s="2">
        <f>2.737189-B400</f>
        <v>0.38534099999999993</v>
      </c>
    </row>
    <row r="401" spans="1:7" x14ac:dyDescent="0.25">
      <c r="A401" s="36" t="s">
        <v>179</v>
      </c>
      <c r="B401" s="2">
        <v>0.74369549999999995</v>
      </c>
      <c r="C401" s="2">
        <v>6.2943600000000002E-2</v>
      </c>
      <c r="D401" s="2">
        <v>-3.5</v>
      </c>
      <c r="E401" s="2">
        <v>0</v>
      </c>
      <c r="F401" s="2">
        <f>B401-0.6300175</f>
        <v>0.11367799999999995</v>
      </c>
      <c r="G401" s="2">
        <f>0.877885-B401</f>
        <v>0.13418950000000007</v>
      </c>
    </row>
    <row r="402" spans="1:7" x14ac:dyDescent="0.25">
      <c r="A402" s="36" t="s">
        <v>180</v>
      </c>
      <c r="B402" s="2">
        <v>0.83675429999999995</v>
      </c>
      <c r="C402" s="2">
        <v>8.0411399999999994E-2</v>
      </c>
      <c r="D402" s="2">
        <v>-1.85</v>
      </c>
      <c r="E402" s="2">
        <v>6.4000000000000001E-2</v>
      </c>
      <c r="F402" s="2">
        <f>B402-0.6931036</f>
        <v>0.14365069999999991</v>
      </c>
      <c r="G402" s="2">
        <f>1.010178-B402</f>
        <v>0.17342370000000007</v>
      </c>
    </row>
    <row r="403" spans="1:7" x14ac:dyDescent="0.25">
      <c r="A403" s="36" t="s">
        <v>181</v>
      </c>
      <c r="B403" s="2">
        <v>8.9417899999999995E-2</v>
      </c>
      <c r="C403" s="2">
        <v>1.49278E-2</v>
      </c>
      <c r="D403" s="2">
        <v>-14.46</v>
      </c>
      <c r="E403" s="2">
        <v>0</v>
      </c>
      <c r="F403" s="2">
        <f>B403-0.0644646</f>
        <v>2.4953299999999998E-2</v>
      </c>
      <c r="G403" s="2">
        <f>0.1240303-B403</f>
        <v>3.4612400000000001E-2</v>
      </c>
    </row>
    <row r="404" spans="1:7" x14ac:dyDescent="0.25">
      <c r="A404" s="36" t="s">
        <v>182</v>
      </c>
      <c r="B404" s="2">
        <v>0.1624766</v>
      </c>
      <c r="C404" s="2">
        <v>2.8152900000000002E-2</v>
      </c>
      <c r="D404" s="2">
        <v>-10.49</v>
      </c>
      <c r="E404" s="2">
        <v>0</v>
      </c>
      <c r="F404" s="2">
        <f>B404-0.115691</f>
        <v>4.6785599999999997E-2</v>
      </c>
      <c r="G404" s="2">
        <f>0.2281822-B404</f>
        <v>6.5705600000000003E-2</v>
      </c>
    </row>
    <row r="405" spans="1:7" x14ac:dyDescent="0.25">
      <c r="A405" s="36" t="s">
        <v>183</v>
      </c>
      <c r="B405" s="2">
        <v>0.1003226</v>
      </c>
      <c r="C405" s="2">
        <v>1.6250799999999999E-2</v>
      </c>
      <c r="D405" s="2">
        <v>-14.19</v>
      </c>
      <c r="E405" s="2">
        <v>0</v>
      </c>
      <c r="F405" s="2">
        <f>B405-0.0730326</f>
        <v>2.7289999999999995E-2</v>
      </c>
      <c r="G405" s="2">
        <f>0.13781-B405</f>
        <v>3.748739999999999E-2</v>
      </c>
    </row>
    <row r="406" spans="1:7" x14ac:dyDescent="0.25">
      <c r="A406" s="36" t="s">
        <v>184</v>
      </c>
      <c r="B406" s="2">
        <v>0.15435270000000001</v>
      </c>
      <c r="C406" s="2">
        <v>2.6859600000000001E-2</v>
      </c>
      <c r="D406" s="2">
        <v>-10.74</v>
      </c>
      <c r="E406" s="2">
        <v>0</v>
      </c>
      <c r="F406" s="2">
        <f>B406-0.1097471</f>
        <v>4.4605600000000009E-2</v>
      </c>
      <c r="G406" s="2">
        <f>0.2170879-B406</f>
        <v>6.2735199999999991E-2</v>
      </c>
    </row>
    <row r="407" spans="1:7" x14ac:dyDescent="0.25">
      <c r="A407" s="36" t="s">
        <v>185</v>
      </c>
      <c r="B407" s="2">
        <v>1.097005</v>
      </c>
      <c r="C407" s="2">
        <v>8.2344299999999995E-2</v>
      </c>
      <c r="D407" s="2">
        <v>1.23</v>
      </c>
      <c r="E407" s="2">
        <v>0.217</v>
      </c>
      <c r="F407" s="2">
        <f>B407-0.9469241</f>
        <v>0.15008089999999996</v>
      </c>
      <c r="G407" s="2">
        <f>1.270873-B407</f>
        <v>0.17386799999999991</v>
      </c>
    </row>
    <row r="408" spans="1:7" x14ac:dyDescent="0.25">
      <c r="A408" s="36" t="s">
        <v>186</v>
      </c>
      <c r="B408" s="2">
        <v>1.385113</v>
      </c>
      <c r="C408" s="2">
        <v>0.11647449999999999</v>
      </c>
      <c r="D408" s="2">
        <v>3.87</v>
      </c>
      <c r="E408" s="2">
        <v>0</v>
      </c>
      <c r="F408" s="2">
        <f>B408-1.174647</f>
        <v>0.21046600000000004</v>
      </c>
      <c r="G408" s="2">
        <f>1.633288-B408</f>
        <v>0.24817500000000003</v>
      </c>
    </row>
    <row r="409" spans="1:7" x14ac:dyDescent="0.25">
      <c r="A409" s="36" t="s">
        <v>187</v>
      </c>
      <c r="B409" s="2">
        <v>0.35112890000000002</v>
      </c>
      <c r="C409" s="2">
        <v>3.5180200000000002E-2</v>
      </c>
      <c r="D409" s="2">
        <v>-10.45</v>
      </c>
      <c r="E409" s="2">
        <v>0</v>
      </c>
      <c r="F409" s="2">
        <f>B409-0.2885249</f>
        <v>6.2604000000000048E-2</v>
      </c>
      <c r="G409" s="2">
        <f>0.4273168-B409</f>
        <v>7.6187899999999975E-2</v>
      </c>
    </row>
    <row r="410" spans="1:7" x14ac:dyDescent="0.25">
      <c r="A410" s="36" t="s">
        <v>188</v>
      </c>
      <c r="B410" s="2">
        <v>0.60928709999999997</v>
      </c>
      <c r="C410" s="2">
        <v>6.2954599999999999E-2</v>
      </c>
      <c r="D410" s="2">
        <v>-4.8</v>
      </c>
      <c r="E410" s="2">
        <v>0</v>
      </c>
      <c r="F410" s="2">
        <f>B410-0.4975899</f>
        <v>0.1116972</v>
      </c>
      <c r="G410" s="2">
        <f>0.7460576-B410</f>
        <v>0.13677050000000002</v>
      </c>
    </row>
    <row r="411" spans="1:7" x14ac:dyDescent="0.25">
      <c r="A411" s="36" t="s">
        <v>273</v>
      </c>
      <c r="B411" s="2">
        <v>0.5721733</v>
      </c>
      <c r="C411" s="2">
        <v>0.20104649999999999</v>
      </c>
      <c r="D411" s="2">
        <v>-1.59</v>
      </c>
      <c r="E411" s="2">
        <v>0.112</v>
      </c>
      <c r="F411" s="2">
        <f>B411-0.2873677</f>
        <v>0.28480559999999999</v>
      </c>
      <c r="G411" s="2">
        <f>1.139245-B411</f>
        <v>0.56707170000000007</v>
      </c>
    </row>
    <row r="412" spans="1:7" x14ac:dyDescent="0.25">
      <c r="A412" s="36" t="s">
        <v>274</v>
      </c>
      <c r="B412" s="2">
        <v>2.0000879999999999</v>
      </c>
      <c r="C412" s="2">
        <v>0.39624369999999998</v>
      </c>
      <c r="D412" s="2">
        <v>3.5</v>
      </c>
      <c r="E412" s="2">
        <v>0</v>
      </c>
      <c r="F412" s="2">
        <f>B412-1.356485</f>
        <v>0.64360299999999993</v>
      </c>
      <c r="G412" s="2">
        <f>2.949058-B412</f>
        <v>0.94897000000000009</v>
      </c>
    </row>
    <row r="413" spans="1:7" x14ac:dyDescent="0.25">
      <c r="A413" s="36" t="s">
        <v>275</v>
      </c>
      <c r="B413" s="2">
        <v>0.78673820000000005</v>
      </c>
      <c r="C413" s="2">
        <v>0.24435000000000001</v>
      </c>
      <c r="D413" s="2">
        <v>-0.77</v>
      </c>
      <c r="E413" s="2">
        <v>0.44</v>
      </c>
      <c r="F413" s="2">
        <f>B413-0.4280148</f>
        <v>0.35872340000000008</v>
      </c>
      <c r="G413" s="2">
        <f>1.446111-B413</f>
        <v>0.65937279999999987</v>
      </c>
    </row>
    <row r="414" spans="1:7" x14ac:dyDescent="0.25">
      <c r="A414" s="36" t="s">
        <v>276</v>
      </c>
      <c r="B414" s="2">
        <v>0.62502749999999996</v>
      </c>
      <c r="C414" s="2">
        <v>0.20382690000000001</v>
      </c>
      <c r="D414" s="2">
        <v>-1.44</v>
      </c>
      <c r="E414" s="2">
        <v>0.15</v>
      </c>
      <c r="F414" s="2">
        <f>B414-0.3298488</f>
        <v>0.29517869999999996</v>
      </c>
      <c r="G414" s="2">
        <f>1.184359-B414</f>
        <v>0.55933149999999998</v>
      </c>
    </row>
    <row r="415" spans="1:7" x14ac:dyDescent="0.25">
      <c r="A415" s="36" t="s">
        <v>277</v>
      </c>
      <c r="B415" s="2">
        <v>0.42912990000000001</v>
      </c>
      <c r="C415" s="2">
        <v>0.17043549999999999</v>
      </c>
      <c r="D415" s="2">
        <v>-2.13</v>
      </c>
      <c r="E415" s="2">
        <v>3.3000000000000002E-2</v>
      </c>
      <c r="F415" s="2">
        <f>B415-0.1970249</f>
        <v>0.23210500000000001</v>
      </c>
      <c r="G415" s="2">
        <f>0.934666-B415</f>
        <v>0.50553610000000004</v>
      </c>
    </row>
    <row r="416" spans="1:7" x14ac:dyDescent="0.25">
      <c r="A416" s="36" t="s">
        <v>278</v>
      </c>
      <c r="B416" s="2">
        <v>0.81253580000000003</v>
      </c>
      <c r="C416" s="2">
        <v>0.22754269999999999</v>
      </c>
      <c r="D416" s="2">
        <v>-0.74</v>
      </c>
      <c r="E416" s="2">
        <v>0.45900000000000002</v>
      </c>
      <c r="F416" s="2">
        <f>B416-0.469323</f>
        <v>0.34321280000000004</v>
      </c>
      <c r="G416" s="2">
        <f>1.406738-B416</f>
        <v>0.59420220000000001</v>
      </c>
    </row>
    <row r="417" spans="1:7" x14ac:dyDescent="0.25">
      <c r="A417" s="36" t="s">
        <v>279</v>
      </c>
      <c r="B417" s="2">
        <v>0.71521659999999998</v>
      </c>
      <c r="C417" s="2">
        <v>0.21209430000000001</v>
      </c>
      <c r="D417" s="2">
        <v>-1.1299999999999999</v>
      </c>
      <c r="E417" s="2">
        <v>0.25800000000000001</v>
      </c>
      <c r="F417" s="2">
        <f>B417-0.3999608</f>
        <v>0.31525579999999997</v>
      </c>
      <c r="G417" s="2">
        <f>1.278962-B417</f>
        <v>0.56374539999999995</v>
      </c>
    </row>
    <row r="418" spans="1:7" x14ac:dyDescent="0.25">
      <c r="A418" s="36" t="s">
        <v>280</v>
      </c>
      <c r="B418" s="2">
        <v>2.4376069999999999</v>
      </c>
      <c r="C418" s="2">
        <v>0.4554068</v>
      </c>
      <c r="D418" s="2">
        <v>4.7699999999999996</v>
      </c>
      <c r="E418" s="2">
        <v>0</v>
      </c>
      <c r="F418" s="2">
        <f>B418-1.690199</f>
        <v>0.74740799999999985</v>
      </c>
      <c r="G418" s="2">
        <f>3.515522-B418</f>
        <v>1.077915</v>
      </c>
    </row>
    <row r="419" spans="1:7" x14ac:dyDescent="0.25">
      <c r="A419" s="36" t="s">
        <v>281</v>
      </c>
      <c r="B419" s="2">
        <v>1.8595630000000001</v>
      </c>
      <c r="C419" s="2">
        <v>0.4449939</v>
      </c>
      <c r="D419" s="2">
        <v>2.59</v>
      </c>
      <c r="E419" s="2">
        <v>0.01</v>
      </c>
      <c r="F419" s="2">
        <f>B419-1.163371</f>
        <v>0.69619200000000014</v>
      </c>
      <c r="G419" s="2">
        <f>2.972375-B419</f>
        <v>1.1128119999999999</v>
      </c>
    </row>
    <row r="420" spans="1:7" x14ac:dyDescent="0.25">
      <c r="A420" s="36" t="s">
        <v>282</v>
      </c>
      <c r="B420" s="2">
        <v>1.0000439999999999</v>
      </c>
      <c r="C420" s="2">
        <v>0.26699929999999999</v>
      </c>
      <c r="D420" s="2">
        <v>0</v>
      </c>
      <c r="E420" s="2">
        <v>1</v>
      </c>
      <c r="F420" s="2">
        <f>B420-0.5925963</f>
        <v>0.40744769999999997</v>
      </c>
      <c r="G420" s="2">
        <f>1.687638-B420</f>
        <v>0.68759400000000004</v>
      </c>
    </row>
    <row r="421" spans="1:7" x14ac:dyDescent="0.25">
      <c r="A421" s="36" t="s">
        <v>283</v>
      </c>
      <c r="B421" s="2">
        <v>0.21456500000000001</v>
      </c>
      <c r="C421" s="2">
        <v>0.1249725</v>
      </c>
      <c r="D421" s="2">
        <v>-2.64</v>
      </c>
      <c r="E421" s="2">
        <v>8.0000000000000002E-3</v>
      </c>
      <c r="F421" s="2">
        <f>B421-0.0685141</f>
        <v>0.14605090000000001</v>
      </c>
      <c r="G421" s="2">
        <f>0.6719509-B421</f>
        <v>0.45738590000000001</v>
      </c>
    </row>
    <row r="422" spans="1:7" x14ac:dyDescent="0.25">
      <c r="A422" s="36" t="s">
        <v>284</v>
      </c>
      <c r="B422" s="2">
        <v>0.4375193</v>
      </c>
      <c r="C422" s="2">
        <v>0.1678665</v>
      </c>
      <c r="D422" s="2">
        <v>-2.15</v>
      </c>
      <c r="E422" s="2">
        <v>3.1E-2</v>
      </c>
      <c r="F422" s="2">
        <f>B422-0.2062576</f>
        <v>0.23126169999999999</v>
      </c>
      <c r="G422" s="2">
        <f>0.9280779-B422</f>
        <v>0.49055860000000001</v>
      </c>
    </row>
    <row r="423" spans="1:7" x14ac:dyDescent="0.25">
      <c r="A423" s="36" t="s">
        <v>285</v>
      </c>
      <c r="B423" s="2">
        <v>0.21456500000000001</v>
      </c>
      <c r="C423" s="2">
        <v>0.12515770000000001</v>
      </c>
      <c r="D423" s="2">
        <v>-2.64</v>
      </c>
      <c r="E423" s="2">
        <v>8.0000000000000002E-3</v>
      </c>
      <c r="F423" s="2">
        <f>B423-0.0683983</f>
        <v>0.14616670000000001</v>
      </c>
      <c r="G423" s="2">
        <f>0.6730889-B423</f>
        <v>0.45852389999999998</v>
      </c>
    </row>
    <row r="424" spans="1:7" x14ac:dyDescent="0.25">
      <c r="A424" s="36" t="s">
        <v>286</v>
      </c>
      <c r="B424" s="2">
        <v>0.37501649999999997</v>
      </c>
      <c r="C424" s="2">
        <v>0.15541530000000001</v>
      </c>
      <c r="D424" s="2">
        <v>-2.37</v>
      </c>
      <c r="E424" s="2">
        <v>1.7999999999999999E-2</v>
      </c>
      <c r="F424" s="2">
        <f>B424-0.1664536</f>
        <v>0.20856289999999997</v>
      </c>
      <c r="G424" s="2">
        <f>0.8449045-B424</f>
        <v>0.46988799999999997</v>
      </c>
    </row>
    <row r="425" spans="1:7" x14ac:dyDescent="0.25">
      <c r="A425" s="36" t="s">
        <v>287</v>
      </c>
      <c r="B425" s="2">
        <v>1.358911</v>
      </c>
      <c r="C425" s="2">
        <v>0.34661429999999999</v>
      </c>
      <c r="D425" s="2">
        <v>1.2</v>
      </c>
      <c r="E425" s="2">
        <v>0.22900000000000001</v>
      </c>
      <c r="F425" s="2">
        <f>B425-0.8242847</f>
        <v>0.5346263</v>
      </c>
      <c r="G425" s="2">
        <f>2.240295-B425</f>
        <v>0.88138400000000017</v>
      </c>
    </row>
    <row r="426" spans="1:7" x14ac:dyDescent="0.25">
      <c r="A426" s="36" t="s">
        <v>288</v>
      </c>
      <c r="B426" s="2">
        <v>0.75003299999999995</v>
      </c>
      <c r="C426" s="2">
        <v>0.2208021</v>
      </c>
      <c r="D426" s="2">
        <v>-0.98</v>
      </c>
      <c r="E426" s="2">
        <v>0.32900000000000001</v>
      </c>
      <c r="F426" s="2">
        <f>B426-0.4212067</f>
        <v>0.32882629999999996</v>
      </c>
      <c r="G426" s="2">
        <f>1.335566-B426</f>
        <v>0.58553300000000008</v>
      </c>
    </row>
    <row r="427" spans="1:7" x14ac:dyDescent="0.25">
      <c r="A427" s="36" t="s">
        <v>289</v>
      </c>
      <c r="B427" s="2">
        <v>0.21456500000000001</v>
      </c>
      <c r="C427" s="2">
        <v>0.1212389</v>
      </c>
      <c r="D427" s="2">
        <v>-2.72</v>
      </c>
      <c r="E427" s="2">
        <v>6.0000000000000001E-3</v>
      </c>
      <c r="F427" s="2">
        <f>B427-0.070891</f>
        <v>0.14367400000000002</v>
      </c>
      <c r="G427" s="2">
        <f>0.649421-B427</f>
        <v>0.43485600000000002</v>
      </c>
    </row>
    <row r="428" spans="1:7" x14ac:dyDescent="0.25">
      <c r="A428" s="36" t="s">
        <v>290</v>
      </c>
      <c r="B428" s="2">
        <v>0.50002199999999997</v>
      </c>
      <c r="C428" s="2">
        <v>0.1829866</v>
      </c>
      <c r="D428" s="2">
        <v>-1.89</v>
      </c>
      <c r="E428" s="2">
        <v>5.8000000000000003E-2</v>
      </c>
      <c r="F428" s="2">
        <f>B428-0.244054</f>
        <v>0.25596799999999997</v>
      </c>
      <c r="G428" s="2">
        <f>1.024454-B428</f>
        <v>0.52443200000000001</v>
      </c>
    </row>
    <row r="429" spans="1:7" x14ac:dyDescent="0.25">
      <c r="A429" s="36"/>
      <c r="B429" s="3"/>
      <c r="C429" s="3"/>
      <c r="D429" s="3"/>
      <c r="E429" s="3"/>
      <c r="F429" s="3"/>
      <c r="G429" s="3"/>
    </row>
    <row r="430" spans="1:7" x14ac:dyDescent="0.25">
      <c r="A430" s="5" t="s">
        <v>6</v>
      </c>
      <c r="B430" s="6">
        <v>2.1399000000000001E-3</v>
      </c>
      <c r="C430" s="6">
        <v>1.5009999999999999E-4</v>
      </c>
      <c r="D430" s="6">
        <v>-87.64</v>
      </c>
      <c r="E430" s="6">
        <v>0</v>
      </c>
      <c r="F430" s="6">
        <v>1.8649999999999999E-3</v>
      </c>
      <c r="G430" s="6">
        <v>2.4551999999999998E-3</v>
      </c>
    </row>
    <row r="431" spans="1:7" x14ac:dyDescent="0.25">
      <c r="A431" s="7"/>
      <c r="B431" s="7"/>
      <c r="C431" s="7"/>
    </row>
    <row r="433" spans="1:21" ht="15.75" thickBot="1" x14ac:dyDescent="0.3">
      <c r="T433" s="2"/>
      <c r="U433" s="2"/>
    </row>
    <row r="434" spans="1:21" x14ac:dyDescent="0.25">
      <c r="A434" s="10"/>
      <c r="B434" s="11"/>
      <c r="C434" s="11" t="s">
        <v>9</v>
      </c>
      <c r="D434" s="11" t="s">
        <v>10</v>
      </c>
      <c r="E434" s="11" t="s">
        <v>11</v>
      </c>
      <c r="F434" s="11" t="s">
        <v>7</v>
      </c>
      <c r="G434" s="11" t="s">
        <v>8</v>
      </c>
      <c r="H434" s="11" t="s">
        <v>62</v>
      </c>
      <c r="I434" s="11" t="s">
        <v>63</v>
      </c>
      <c r="J434" s="11" t="s">
        <v>64</v>
      </c>
      <c r="K434" s="12" t="s">
        <v>65</v>
      </c>
      <c r="M434" s="2">
        <v>1.9199600000000001E-2</v>
      </c>
      <c r="N434" s="2">
        <v>3.2696600000000006E-2</v>
      </c>
      <c r="O434" s="2">
        <v>0.23686099999999999</v>
      </c>
      <c r="P434" s="2">
        <v>0.27690599999999987</v>
      </c>
      <c r="Q434" s="2">
        <v>2.7982000000000007E-2</v>
      </c>
      <c r="R434" s="2">
        <v>4.3111799999999992E-2</v>
      </c>
      <c r="T434" s="2"/>
      <c r="U434" s="2"/>
    </row>
    <row r="435" spans="1:21" x14ac:dyDescent="0.25">
      <c r="A435" s="24" t="s">
        <v>105</v>
      </c>
      <c r="B435" s="7" t="s">
        <v>152</v>
      </c>
      <c r="C435" s="14">
        <f>B375</f>
        <v>4.65116E-2</v>
      </c>
      <c r="D435" s="15">
        <f>B377</f>
        <v>0.1162791</v>
      </c>
      <c r="E435" s="15">
        <f>B379</f>
        <v>0.75415279999999996</v>
      </c>
      <c r="F435" s="15">
        <f>B381</f>
        <v>1.6378740000000001</v>
      </c>
      <c r="G435" s="15">
        <f>B383</f>
        <v>1</v>
      </c>
      <c r="H435" s="15">
        <f>B385</f>
        <v>4.65116E-2</v>
      </c>
      <c r="I435" s="4">
        <f>B387</f>
        <v>7.9734200000000005E-2</v>
      </c>
      <c r="J435" s="25">
        <f>B389</f>
        <v>1.3322259999999999</v>
      </c>
      <c r="K435" s="17">
        <f>B391</f>
        <v>0.55149499999999996</v>
      </c>
      <c r="M435" s="2">
        <v>2.51218E-2</v>
      </c>
      <c r="N435" s="2">
        <v>7.8384800000000004E-2</v>
      </c>
      <c r="O435" s="2">
        <v>0.49348900000000029</v>
      </c>
      <c r="P435" s="2">
        <v>0.59643599999999974</v>
      </c>
      <c r="Q435" s="2">
        <v>4.9680899999999993E-2</v>
      </c>
      <c r="R435" s="2">
        <v>0.1001475</v>
      </c>
      <c r="T435" s="2"/>
      <c r="U435" s="2"/>
    </row>
    <row r="436" spans="1:21" x14ac:dyDescent="0.25">
      <c r="A436" s="24"/>
      <c r="B436" s="7" t="s">
        <v>372</v>
      </c>
      <c r="C436" s="15">
        <f>B376</f>
        <v>3.6970700000000002E-2</v>
      </c>
      <c r="D436" s="15">
        <f>B378</f>
        <v>0.14788280000000001</v>
      </c>
      <c r="E436" s="15">
        <f>B380</f>
        <v>1.8731819999999999</v>
      </c>
      <c r="F436" s="15">
        <f>B382</f>
        <v>2.8590680000000002</v>
      </c>
      <c r="G436" s="15">
        <f>B384</f>
        <v>0.81335539999999995</v>
      </c>
      <c r="H436" s="15">
        <f>B386</f>
        <v>7.3941400000000004E-2</v>
      </c>
      <c r="I436" s="4">
        <f>B388</f>
        <v>9.8588499999999996E-2</v>
      </c>
      <c r="J436" s="25">
        <f>B390</f>
        <v>2.3538009999999998</v>
      </c>
      <c r="K436" s="18">
        <f>B392</f>
        <v>1.0844739999999999</v>
      </c>
      <c r="M436" s="2">
        <v>0.28480559999999999</v>
      </c>
      <c r="N436" s="2">
        <v>0.56707170000000007</v>
      </c>
      <c r="O436" s="2">
        <v>0.31525579999999997</v>
      </c>
      <c r="P436" s="2">
        <v>0.56374539999999995</v>
      </c>
      <c r="Q436" s="2">
        <v>0.14616670000000001</v>
      </c>
      <c r="R436" s="2">
        <v>0.45852389999999998</v>
      </c>
      <c r="T436" s="2"/>
      <c r="U436" s="2"/>
    </row>
    <row r="437" spans="1:21" x14ac:dyDescent="0.25">
      <c r="A437" s="24" t="s">
        <v>106</v>
      </c>
      <c r="B437" s="7" t="s">
        <v>152</v>
      </c>
      <c r="C437" s="9">
        <f>B411</f>
        <v>0.5721733</v>
      </c>
      <c r="D437" s="7">
        <f>B413</f>
        <v>0.78673820000000005</v>
      </c>
      <c r="E437" s="7">
        <f>B415</f>
        <v>0.42912990000000001</v>
      </c>
      <c r="F437" s="7">
        <f>B417</f>
        <v>0.71521659999999998</v>
      </c>
      <c r="G437" s="9">
        <f>B419</f>
        <v>1.8595630000000001</v>
      </c>
      <c r="H437" s="7">
        <f>B421</f>
        <v>0.21456500000000001</v>
      </c>
      <c r="I437" s="4">
        <f>B423</f>
        <v>0.21456500000000001</v>
      </c>
      <c r="J437" s="25">
        <f>B425</f>
        <v>1.358911</v>
      </c>
      <c r="K437" s="39">
        <f>B427</f>
        <v>0.21456500000000001</v>
      </c>
      <c r="M437" s="2">
        <v>0.64360299999999993</v>
      </c>
      <c r="N437" s="2">
        <v>0.94897000000000009</v>
      </c>
      <c r="O437" s="2">
        <v>0.74740799999999985</v>
      </c>
      <c r="P437" s="2">
        <v>1.077915</v>
      </c>
      <c r="Q437" s="2">
        <v>0.20856289999999997</v>
      </c>
      <c r="R437" s="2">
        <v>0.46988799999999997</v>
      </c>
      <c r="T437" s="2"/>
      <c r="U437" s="2"/>
    </row>
    <row r="438" spans="1:21" ht="15.75" thickBot="1" x14ac:dyDescent="0.3">
      <c r="A438" s="26"/>
      <c r="B438" s="27" t="s">
        <v>372</v>
      </c>
      <c r="C438" s="28">
        <f>B412</f>
        <v>2.0000879999999999</v>
      </c>
      <c r="D438" s="28">
        <f>B414</f>
        <v>0.62502749999999996</v>
      </c>
      <c r="E438" s="29">
        <f>B416</f>
        <v>0.81253580000000003</v>
      </c>
      <c r="F438" s="28">
        <f>B418</f>
        <v>2.4376069999999999</v>
      </c>
      <c r="G438" s="28">
        <f>B420</f>
        <v>1.0000439999999999</v>
      </c>
      <c r="H438" s="29">
        <f>B422</f>
        <v>0.4375193</v>
      </c>
      <c r="I438" s="28">
        <f>B424</f>
        <v>0.37501649999999997</v>
      </c>
      <c r="J438" s="28">
        <f>B426</f>
        <v>0.75003299999999995</v>
      </c>
      <c r="K438" s="31">
        <f>B428</f>
        <v>0.50002199999999997</v>
      </c>
      <c r="M438" s="2">
        <v>3.4540699999999994E-2</v>
      </c>
      <c r="N438" s="2">
        <v>4.9136800000000008E-2</v>
      </c>
      <c r="O438" s="2">
        <v>0</v>
      </c>
      <c r="P438" s="2">
        <v>0</v>
      </c>
      <c r="Q438" s="2">
        <v>0.19517299999999982</v>
      </c>
      <c r="R438" s="2">
        <v>0.22867400000000004</v>
      </c>
      <c r="T438" s="2"/>
      <c r="U438" s="2"/>
    </row>
    <row r="439" spans="1:21" x14ac:dyDescent="0.25">
      <c r="M439" s="2">
        <v>6.4790500000000015E-2</v>
      </c>
      <c r="N439" s="2">
        <v>0.1153102</v>
      </c>
      <c r="O439" s="2">
        <v>0.1976966</v>
      </c>
      <c r="P439" s="2">
        <v>0.26117960000000007</v>
      </c>
      <c r="Q439" s="2">
        <v>0.41056599999999976</v>
      </c>
      <c r="R439" s="2">
        <v>0.49731199999999998</v>
      </c>
      <c r="T439" s="2"/>
      <c r="U439" s="2"/>
    </row>
    <row r="440" spans="1:21" x14ac:dyDescent="0.25">
      <c r="M440" s="2">
        <v>0.35872340000000008</v>
      </c>
      <c r="N440" s="2">
        <v>0.65937279999999987</v>
      </c>
      <c r="O440" s="2">
        <v>0.69619200000000014</v>
      </c>
      <c r="P440" s="2">
        <v>1.1128119999999999</v>
      </c>
      <c r="Q440" s="2">
        <v>0.5346263</v>
      </c>
      <c r="R440" s="2">
        <v>0.88138400000000017</v>
      </c>
      <c r="T440" s="2"/>
      <c r="U440" s="2"/>
    </row>
    <row r="441" spans="1:21" x14ac:dyDescent="0.25">
      <c r="M441" s="2">
        <v>0.29517869999999996</v>
      </c>
      <c r="N441" s="2">
        <v>0.55933149999999998</v>
      </c>
      <c r="O441" s="2">
        <v>0.40744769999999997</v>
      </c>
      <c r="P441" s="2">
        <v>0.68759400000000004</v>
      </c>
      <c r="Q441" s="2">
        <v>0.32882629999999996</v>
      </c>
      <c r="R441" s="2">
        <v>0.58553300000000008</v>
      </c>
      <c r="T441" s="2"/>
      <c r="U441" s="2"/>
    </row>
    <row r="442" spans="1:21" x14ac:dyDescent="0.25">
      <c r="M442" s="2">
        <v>0.12203469999999994</v>
      </c>
      <c r="N442" s="2">
        <v>0.14559430000000007</v>
      </c>
      <c r="O442" s="2">
        <v>1.9338899999999999E-2</v>
      </c>
      <c r="P442" s="2">
        <v>3.3102699999999999E-2</v>
      </c>
      <c r="Q442" s="2">
        <v>9.7587799999999947E-2</v>
      </c>
      <c r="R442" s="2">
        <v>0.11856870000000008</v>
      </c>
      <c r="T442" s="2"/>
      <c r="U442" s="2"/>
    </row>
    <row r="443" spans="1:21" x14ac:dyDescent="0.25">
      <c r="M443" s="2">
        <v>0.35054299999999983</v>
      </c>
      <c r="N443" s="2">
        <v>0.43124600000000024</v>
      </c>
      <c r="O443" s="2">
        <v>4.0953000000000003E-2</v>
      </c>
      <c r="P443" s="2">
        <v>9.1793399999999983E-2</v>
      </c>
      <c r="Q443" s="2">
        <v>0.2356050999999999</v>
      </c>
      <c r="R443" s="2">
        <v>0.3009980000000001</v>
      </c>
      <c r="T443" s="2"/>
      <c r="U443" s="2"/>
    </row>
    <row r="444" spans="1:21" x14ac:dyDescent="0.25">
      <c r="M444" s="2">
        <v>0.23210500000000001</v>
      </c>
      <c r="N444" s="2">
        <v>0.50553610000000004</v>
      </c>
      <c r="O444" s="2">
        <v>0.14605090000000001</v>
      </c>
      <c r="P444" s="2">
        <v>0.45738590000000001</v>
      </c>
      <c r="Q444" s="2">
        <v>0.14367400000000002</v>
      </c>
      <c r="R444" s="2">
        <v>0.43485600000000002</v>
      </c>
      <c r="T444" s="2"/>
      <c r="U444" s="2"/>
    </row>
    <row r="445" spans="1:21" x14ac:dyDescent="0.25">
      <c r="M445" s="2">
        <v>0.34321280000000004</v>
      </c>
      <c r="N445" s="2">
        <v>0.59420220000000001</v>
      </c>
      <c r="O445" s="2">
        <v>0.23126169999999999</v>
      </c>
      <c r="P445" s="2">
        <v>0.49055860000000001</v>
      </c>
      <c r="Q445" s="2">
        <v>0.25596799999999997</v>
      </c>
      <c r="R445" s="2">
        <v>0.52443200000000001</v>
      </c>
      <c r="T445" s="2"/>
      <c r="U445" s="2"/>
    </row>
    <row r="446" spans="1:21" x14ac:dyDescent="0.25">
      <c r="M446" s="9"/>
      <c r="N446" s="9"/>
      <c r="O446" s="9"/>
      <c r="P446" s="9"/>
      <c r="Q446" s="7"/>
      <c r="R446" s="7"/>
      <c r="T446" s="2"/>
      <c r="U446" s="2"/>
    </row>
    <row r="447" spans="1:21" x14ac:dyDescent="0.25">
      <c r="M447" s="7"/>
      <c r="N447" s="9"/>
      <c r="O447" s="9"/>
      <c r="P447" s="9"/>
      <c r="Q447" s="7"/>
      <c r="R447" s="7"/>
      <c r="T447" s="2"/>
      <c r="U447" s="2"/>
    </row>
    <row r="448" spans="1:21" x14ac:dyDescent="0.25">
      <c r="M448" s="7"/>
      <c r="N448" s="7"/>
      <c r="O448" s="7"/>
      <c r="P448" s="7"/>
      <c r="Q448" s="9"/>
      <c r="R448" s="9"/>
      <c r="T448" s="2"/>
      <c r="U448" s="2"/>
    </row>
    <row r="449" spans="13:21" x14ac:dyDescent="0.25">
      <c r="M449" s="7"/>
      <c r="N449" s="7"/>
      <c r="O449" s="9"/>
      <c r="P449" s="9"/>
      <c r="Q449" s="7"/>
      <c r="R449" s="9"/>
      <c r="T449" s="2"/>
      <c r="U449" s="2"/>
    </row>
    <row r="450" spans="13:21" x14ac:dyDescent="0.25">
      <c r="M450" s="7"/>
      <c r="N450" s="7"/>
      <c r="O450" s="7"/>
      <c r="P450" s="7"/>
      <c r="Q450" s="23"/>
      <c r="R450" s="23"/>
      <c r="T450" s="2"/>
      <c r="U450" s="2"/>
    </row>
    <row r="451" spans="13:21" x14ac:dyDescent="0.25">
      <c r="M451" s="7"/>
      <c r="N451" s="7"/>
      <c r="O451" s="7"/>
      <c r="P451" s="9"/>
      <c r="Q451" s="23"/>
      <c r="R451" s="23"/>
      <c r="T451" s="2"/>
      <c r="U451" s="2"/>
    </row>
    <row r="452" spans="13:21" x14ac:dyDescent="0.25">
      <c r="M452" s="9"/>
      <c r="N452" s="9"/>
      <c r="O452" s="7"/>
      <c r="P452" s="9"/>
      <c r="Q452" s="7"/>
      <c r="R452" s="7"/>
      <c r="T452" s="7"/>
      <c r="U452" s="9"/>
    </row>
    <row r="453" spans="13:21" x14ac:dyDescent="0.25">
      <c r="M453" s="9"/>
      <c r="N453" s="9"/>
      <c r="O453" s="7"/>
      <c r="P453" s="9"/>
      <c r="Q453" s="7"/>
      <c r="R453" s="9"/>
      <c r="T453" s="7"/>
      <c r="U453" s="9"/>
    </row>
    <row r="454" spans="13:21" x14ac:dyDescent="0.25">
      <c r="M454" s="7"/>
      <c r="N454" s="7"/>
      <c r="O454" s="9"/>
      <c r="P454" s="9"/>
      <c r="T454" s="7"/>
      <c r="U454" s="9"/>
    </row>
    <row r="455" spans="13:21" x14ac:dyDescent="0.25">
      <c r="M455" s="9"/>
      <c r="N455" s="9"/>
      <c r="O455" s="9"/>
      <c r="P455" s="9"/>
      <c r="T455" s="7"/>
      <c r="U455" s="9"/>
    </row>
    <row r="456" spans="13:21" x14ac:dyDescent="0.25">
      <c r="M456" s="9"/>
      <c r="N456" s="9"/>
      <c r="O456" s="9"/>
      <c r="P456" s="9"/>
      <c r="T456" s="7"/>
      <c r="U456" s="7"/>
    </row>
    <row r="457" spans="13:21" x14ac:dyDescent="0.25">
      <c r="M457" s="9"/>
      <c r="N457" s="9"/>
      <c r="O457" s="9"/>
      <c r="P457" s="9"/>
      <c r="T457" s="9"/>
      <c r="U457" s="9"/>
    </row>
    <row r="458" spans="13:21" x14ac:dyDescent="0.25">
      <c r="M458" s="7"/>
      <c r="N458" s="7"/>
      <c r="O458" s="7"/>
      <c r="P458" s="7"/>
      <c r="T458" s="9"/>
      <c r="U458" s="9"/>
    </row>
    <row r="459" spans="13:21" x14ac:dyDescent="0.25">
      <c r="M459" s="7"/>
      <c r="N459" s="7"/>
      <c r="O459" s="7"/>
      <c r="P459" s="7"/>
      <c r="T459" s="9"/>
      <c r="U459" s="9"/>
    </row>
    <row r="460" spans="13:21" x14ac:dyDescent="0.25">
      <c r="M460" s="7"/>
      <c r="N460" s="7"/>
      <c r="O460" s="9"/>
      <c r="P460" s="9"/>
      <c r="T460" s="7"/>
      <c r="U460" s="9"/>
    </row>
    <row r="461" spans="13:21" x14ac:dyDescent="0.25">
      <c r="M461" s="7"/>
      <c r="N461" s="9"/>
      <c r="O461" s="7"/>
      <c r="P461" s="9"/>
      <c r="T461" s="9"/>
      <c r="U461" s="9"/>
    </row>
    <row r="462" spans="13:21" x14ac:dyDescent="0.25">
      <c r="M462" s="7"/>
      <c r="N462" s="7"/>
      <c r="T462" s="23"/>
      <c r="U462" s="23"/>
    </row>
    <row r="463" spans="13:21" x14ac:dyDescent="0.25">
      <c r="M463" s="7"/>
      <c r="N463" s="7"/>
      <c r="T463" s="23"/>
      <c r="U463" s="23"/>
    </row>
    <row r="464" spans="13:21" x14ac:dyDescent="0.25">
      <c r="M464" s="7"/>
      <c r="N464" s="7"/>
      <c r="T464" s="7"/>
      <c r="U464" s="7"/>
    </row>
    <row r="465" spans="13:21" x14ac:dyDescent="0.25">
      <c r="M465" s="7"/>
      <c r="N465" s="9"/>
      <c r="T465" s="7"/>
      <c r="U465" s="9"/>
    </row>
    <row r="466" spans="13:21" x14ac:dyDescent="0.25">
      <c r="M466" s="9"/>
      <c r="N466" s="9"/>
    </row>
    <row r="467" spans="13:21" x14ac:dyDescent="0.25">
      <c r="M467" s="9"/>
      <c r="N467" s="9"/>
    </row>
    <row r="468" spans="13:21" x14ac:dyDescent="0.25">
      <c r="M468" s="9"/>
      <c r="N468" s="9"/>
    </row>
    <row r="469" spans="13:21" x14ac:dyDescent="0.25">
      <c r="M469" s="9"/>
      <c r="N469" s="9"/>
    </row>
    <row r="470" spans="13:21" x14ac:dyDescent="0.25">
      <c r="M470" s="7"/>
      <c r="N470" s="7"/>
    </row>
    <row r="471" spans="13:21" x14ac:dyDescent="0.25">
      <c r="M471" s="7"/>
      <c r="N471" s="7"/>
    </row>
    <row r="472" spans="13:21" x14ac:dyDescent="0.25">
      <c r="M472" s="9"/>
      <c r="N472" s="9"/>
    </row>
    <row r="473" spans="13:21" x14ac:dyDescent="0.25">
      <c r="M473" s="7"/>
      <c r="N473" s="9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DD73E-8A97-436F-AB11-5E24CB51DD71}">
  <dimension ref="A1:V470"/>
  <sheetViews>
    <sheetView topLeftCell="A423" workbookViewId="0">
      <selection activeCell="N448" sqref="N448"/>
    </sheetView>
  </sheetViews>
  <sheetFormatPr defaultColWidth="8.7109375" defaultRowHeight="15" x14ac:dyDescent="0.25"/>
  <cols>
    <col min="1" max="1" width="8.7109375" style="4"/>
    <col min="2" max="2" width="9.42578125" style="4" bestFit="1" customWidth="1"/>
    <col min="3" max="5" width="8.7109375" style="4"/>
    <col min="6" max="7" width="10.42578125" style="4" bestFit="1" customWidth="1"/>
    <col min="8" max="16384" width="8.7109375" style="4"/>
  </cols>
  <sheetData>
    <row r="1" spans="1:7" s="1" customFormat="1" x14ac:dyDescent="0.25">
      <c r="A1" s="1" t="s">
        <v>43</v>
      </c>
    </row>
    <row r="2" spans="1:7" s="1" customFormat="1" x14ac:dyDescent="0.25">
      <c r="A2" s="1" t="s">
        <v>321</v>
      </c>
    </row>
    <row r="4" spans="1:7" x14ac:dyDescent="0.25">
      <c r="A4" s="36"/>
      <c r="B4" s="2" t="s">
        <v>1</v>
      </c>
      <c r="C4" s="3"/>
      <c r="D4" s="3"/>
      <c r="E4" s="3"/>
      <c r="F4" s="3"/>
      <c r="G4" s="3"/>
    </row>
    <row r="5" spans="1:7" x14ac:dyDescent="0.25">
      <c r="A5" s="5" t="s">
        <v>2</v>
      </c>
      <c r="B5" s="6" t="s">
        <v>269</v>
      </c>
      <c r="C5" s="6" t="s">
        <v>270</v>
      </c>
      <c r="D5" s="6" t="s">
        <v>3</v>
      </c>
      <c r="E5" s="6" t="s">
        <v>4</v>
      </c>
      <c r="F5" s="6" t="s">
        <v>271</v>
      </c>
      <c r="G5" s="6" t="s">
        <v>272</v>
      </c>
    </row>
    <row r="6" spans="1:7" x14ac:dyDescent="0.25">
      <c r="A6" s="36"/>
      <c r="B6" s="2"/>
      <c r="C6" s="2"/>
      <c r="D6" s="3"/>
      <c r="E6" s="3"/>
      <c r="F6" s="3"/>
      <c r="G6" s="3"/>
    </row>
    <row r="7" spans="1:7" x14ac:dyDescent="0.25">
      <c r="A7" s="36" t="s">
        <v>45</v>
      </c>
      <c r="B7" s="3"/>
      <c r="C7" s="3"/>
      <c r="D7" s="3"/>
      <c r="E7" s="3"/>
      <c r="F7" s="3"/>
      <c r="G7" s="3"/>
    </row>
    <row r="8" spans="1:7" x14ac:dyDescent="0.25">
      <c r="A8" s="36" t="s">
        <v>46</v>
      </c>
      <c r="B8" s="2">
        <v>0.1244378</v>
      </c>
      <c r="C8" s="2">
        <v>1.4597199999999999E-2</v>
      </c>
      <c r="D8" s="2">
        <v>-17.77</v>
      </c>
      <c r="E8" s="2">
        <v>0</v>
      </c>
      <c r="F8" s="2">
        <v>9.8878499999999994E-2</v>
      </c>
      <c r="G8" s="2">
        <v>0.15660389999999999</v>
      </c>
    </row>
    <row r="9" spans="1:7" x14ac:dyDescent="0.25">
      <c r="A9" s="36" t="s">
        <v>16</v>
      </c>
      <c r="B9" s="2">
        <v>0.28592400000000001</v>
      </c>
      <c r="C9" s="2">
        <v>3.4604299999999998E-2</v>
      </c>
      <c r="D9" s="2">
        <v>-10.35</v>
      </c>
      <c r="E9" s="2">
        <v>0</v>
      </c>
      <c r="F9" s="2">
        <v>0.22554489999999999</v>
      </c>
      <c r="G9" s="2">
        <v>0.36246679999999998</v>
      </c>
    </row>
    <row r="10" spans="1:7" x14ac:dyDescent="0.25">
      <c r="A10" s="36" t="s">
        <v>17</v>
      </c>
      <c r="B10" s="2">
        <v>0.61357600000000001</v>
      </c>
      <c r="C10" s="2">
        <v>5.1706200000000001E-2</v>
      </c>
      <c r="D10" s="2">
        <v>-5.8</v>
      </c>
      <c r="E10" s="2">
        <v>0</v>
      </c>
      <c r="F10" s="2">
        <v>0.52016070000000003</v>
      </c>
      <c r="G10" s="2">
        <v>0.72376790000000002</v>
      </c>
    </row>
    <row r="11" spans="1:7" x14ac:dyDescent="0.25">
      <c r="A11" s="36" t="s">
        <v>18</v>
      </c>
      <c r="B11" s="2">
        <v>0.41058519999999998</v>
      </c>
      <c r="C11" s="2">
        <v>8.2229999999999998E-2</v>
      </c>
      <c r="D11" s="2">
        <v>-4.4400000000000004</v>
      </c>
      <c r="E11" s="2">
        <v>0</v>
      </c>
      <c r="F11" s="2">
        <v>0.27728659999999999</v>
      </c>
      <c r="G11" s="2">
        <v>0.6079639</v>
      </c>
    </row>
    <row r="12" spans="1:7" x14ac:dyDescent="0.25">
      <c r="A12" s="36" t="s">
        <v>19</v>
      </c>
      <c r="B12" s="2">
        <v>0.20839579999999999</v>
      </c>
      <c r="C12" s="2">
        <v>1.9666599999999999E-2</v>
      </c>
      <c r="D12" s="2">
        <v>-16.62</v>
      </c>
      <c r="E12" s="2">
        <v>0</v>
      </c>
      <c r="F12" s="2">
        <v>0.17320479999999999</v>
      </c>
      <c r="G12" s="2">
        <v>0.25073669999999998</v>
      </c>
    </row>
    <row r="13" spans="1:7" x14ac:dyDescent="0.25">
      <c r="A13" s="36" t="s">
        <v>20</v>
      </c>
      <c r="B13" s="2">
        <v>0.81583649999999996</v>
      </c>
      <c r="C13" s="2">
        <v>6.5717999999999999E-2</v>
      </c>
      <c r="D13" s="2">
        <v>-2.5299999999999998</v>
      </c>
      <c r="E13" s="2">
        <v>1.2E-2</v>
      </c>
      <c r="F13" s="2">
        <v>0.69668490000000005</v>
      </c>
      <c r="G13" s="2">
        <v>0.95536620000000005</v>
      </c>
    </row>
    <row r="14" spans="1:7" x14ac:dyDescent="0.25">
      <c r="A14" s="36" t="s">
        <v>21</v>
      </c>
      <c r="B14" s="2">
        <v>0.81595980000000001</v>
      </c>
      <c r="C14" s="2">
        <v>6.1752799999999997E-2</v>
      </c>
      <c r="D14" s="2">
        <v>-2.69</v>
      </c>
      <c r="E14" s="2">
        <v>7.0000000000000001E-3</v>
      </c>
      <c r="F14" s="2">
        <v>0.70347519999999997</v>
      </c>
      <c r="G14" s="2">
        <v>0.94643049999999995</v>
      </c>
    </row>
    <row r="15" spans="1:7" x14ac:dyDescent="0.25">
      <c r="A15" s="36" t="s">
        <v>22</v>
      </c>
      <c r="B15" s="2">
        <v>1.058047</v>
      </c>
      <c r="C15" s="2">
        <v>0.13831750000000001</v>
      </c>
      <c r="D15" s="2">
        <v>0.43</v>
      </c>
      <c r="E15" s="2">
        <v>0.66600000000000004</v>
      </c>
      <c r="F15" s="2">
        <v>0.81889460000000003</v>
      </c>
      <c r="G15" s="2">
        <v>1.367041</v>
      </c>
    </row>
    <row r="16" spans="1:7" x14ac:dyDescent="0.25">
      <c r="A16" s="36" t="s">
        <v>23</v>
      </c>
      <c r="B16" s="2">
        <v>0.3703148</v>
      </c>
      <c r="C16" s="2">
        <v>2.8045299999999999E-2</v>
      </c>
      <c r="D16" s="2">
        <v>-13.12</v>
      </c>
      <c r="E16" s="2">
        <v>0</v>
      </c>
      <c r="F16" s="2">
        <v>0.31923210000000002</v>
      </c>
      <c r="G16" s="2">
        <v>0.4295717</v>
      </c>
    </row>
    <row r="17" spans="1:7" x14ac:dyDescent="0.25">
      <c r="A17" s="36" t="s">
        <v>24</v>
      </c>
      <c r="B17" s="2">
        <v>0.77771330000000005</v>
      </c>
      <c r="C17" s="2">
        <v>6.3564999999999997E-2</v>
      </c>
      <c r="D17" s="2">
        <v>-3.08</v>
      </c>
      <c r="E17" s="2">
        <v>2E-3</v>
      </c>
      <c r="F17" s="2">
        <v>0.66259480000000004</v>
      </c>
      <c r="G17" s="2">
        <v>0.91283219999999998</v>
      </c>
    </row>
    <row r="18" spans="1:7" x14ac:dyDescent="0.25">
      <c r="A18" s="36" t="s">
        <v>25</v>
      </c>
      <c r="B18" s="2">
        <v>1.06653</v>
      </c>
      <c r="C18" s="2">
        <v>7.3383000000000004E-2</v>
      </c>
      <c r="D18" s="2">
        <v>0.94</v>
      </c>
      <c r="E18" s="2">
        <v>0.34899999999999998</v>
      </c>
      <c r="F18" s="2">
        <v>0.93197850000000004</v>
      </c>
      <c r="G18" s="2">
        <v>1.220507</v>
      </c>
    </row>
    <row r="19" spans="1:7" x14ac:dyDescent="0.25">
      <c r="A19" s="36" t="s">
        <v>26</v>
      </c>
      <c r="B19" s="2">
        <v>0.99487959999999998</v>
      </c>
      <c r="C19" s="2">
        <v>0.13109499999999999</v>
      </c>
      <c r="D19" s="2">
        <v>-0.04</v>
      </c>
      <c r="E19" s="2">
        <v>0.96899999999999997</v>
      </c>
      <c r="F19" s="2">
        <v>0.76843640000000002</v>
      </c>
      <c r="G19" s="2">
        <v>1.2880510000000001</v>
      </c>
    </row>
    <row r="20" spans="1:7" x14ac:dyDescent="0.25">
      <c r="A20" s="36" t="s">
        <v>27</v>
      </c>
      <c r="B20" s="2">
        <v>0.97151419999999999</v>
      </c>
      <c r="C20" s="2">
        <v>5.6656999999999999E-2</v>
      </c>
      <c r="D20" s="2">
        <v>-0.5</v>
      </c>
      <c r="E20" s="2">
        <v>0.62</v>
      </c>
      <c r="F20" s="2">
        <v>0.86657989999999996</v>
      </c>
      <c r="G20" s="2">
        <v>1.0891550000000001</v>
      </c>
    </row>
    <row r="21" spans="1:7" x14ac:dyDescent="0.25">
      <c r="A21" s="36" t="s">
        <v>28</v>
      </c>
      <c r="B21" s="2">
        <v>2.5771280000000001</v>
      </c>
      <c r="C21" s="2">
        <v>0.15106939999999999</v>
      </c>
      <c r="D21" s="2">
        <v>16.149999999999999</v>
      </c>
      <c r="E21" s="2">
        <v>0</v>
      </c>
      <c r="F21" s="2">
        <v>2.2974139999999998</v>
      </c>
      <c r="G21" s="2">
        <v>2.8908990000000001</v>
      </c>
    </row>
    <row r="22" spans="1:7" x14ac:dyDescent="0.25">
      <c r="A22" s="36" t="s">
        <v>29</v>
      </c>
      <c r="B22" s="2">
        <v>2.9907819999999998</v>
      </c>
      <c r="C22" s="2">
        <v>0.15995760000000001</v>
      </c>
      <c r="D22" s="2">
        <v>20.48</v>
      </c>
      <c r="E22" s="2">
        <v>0</v>
      </c>
      <c r="F22" s="2">
        <v>2.6931430000000001</v>
      </c>
      <c r="G22" s="2">
        <v>3.3213140000000001</v>
      </c>
    </row>
    <row r="23" spans="1:7" x14ac:dyDescent="0.25">
      <c r="A23" s="36" t="s">
        <v>30</v>
      </c>
      <c r="B23" s="2">
        <v>3.805809</v>
      </c>
      <c r="C23" s="2">
        <v>0.31403550000000002</v>
      </c>
      <c r="D23" s="2">
        <v>16.2</v>
      </c>
      <c r="E23" s="2">
        <v>0</v>
      </c>
      <c r="F23" s="2">
        <v>3.2375039999999999</v>
      </c>
      <c r="G23" s="2">
        <v>4.4738740000000004</v>
      </c>
    </row>
    <row r="24" spans="1:7" x14ac:dyDescent="0.25">
      <c r="A24" s="36" t="s">
        <v>67</v>
      </c>
      <c r="B24" s="2">
        <v>1</v>
      </c>
      <c r="C24" s="2"/>
      <c r="D24" s="2"/>
      <c r="E24" s="2"/>
      <c r="F24" s="2"/>
      <c r="G24" s="2"/>
    </row>
    <row r="25" spans="1:7" x14ac:dyDescent="0.25">
      <c r="A25" s="36" t="s">
        <v>31</v>
      </c>
      <c r="B25" s="2">
        <v>1.799415</v>
      </c>
      <c r="C25" s="2">
        <v>0.1114068</v>
      </c>
      <c r="D25" s="2">
        <v>9.49</v>
      </c>
      <c r="E25" s="2">
        <v>0</v>
      </c>
      <c r="F25" s="2">
        <v>1.59379</v>
      </c>
      <c r="G25" s="2">
        <v>2.0315690000000002</v>
      </c>
    </row>
    <row r="26" spans="1:7" x14ac:dyDescent="0.25">
      <c r="A26" s="36" t="s">
        <v>32</v>
      </c>
      <c r="B26" s="2">
        <v>1.4455979999999999</v>
      </c>
      <c r="C26" s="2">
        <v>9.0488399999999997E-2</v>
      </c>
      <c r="D26" s="2">
        <v>5.89</v>
      </c>
      <c r="E26" s="2">
        <v>0</v>
      </c>
      <c r="F26" s="2">
        <v>1.2786919999999999</v>
      </c>
      <c r="G26" s="2">
        <v>1.63429</v>
      </c>
    </row>
    <row r="27" spans="1:7" x14ac:dyDescent="0.25">
      <c r="A27" s="36" t="s">
        <v>33</v>
      </c>
      <c r="B27" s="2">
        <v>3.1583480000000002</v>
      </c>
      <c r="C27" s="2">
        <v>0.27067980000000003</v>
      </c>
      <c r="D27" s="2">
        <v>13.42</v>
      </c>
      <c r="E27" s="2">
        <v>0</v>
      </c>
      <c r="F27" s="2">
        <v>2.6699890000000002</v>
      </c>
      <c r="G27" s="2">
        <v>3.7360310000000001</v>
      </c>
    </row>
    <row r="28" spans="1:7" x14ac:dyDescent="0.25">
      <c r="A28" s="36" t="s">
        <v>34</v>
      </c>
      <c r="B28" s="2">
        <v>4.0479800000000003E-2</v>
      </c>
      <c r="C28" s="2">
        <v>7.9687000000000004E-3</v>
      </c>
      <c r="D28" s="2">
        <v>-16.29</v>
      </c>
      <c r="E28" s="2">
        <v>0</v>
      </c>
      <c r="F28" s="2">
        <v>2.75216E-2</v>
      </c>
      <c r="G28" s="2">
        <v>5.95392E-2</v>
      </c>
    </row>
    <row r="29" spans="1:7" x14ac:dyDescent="0.25">
      <c r="A29" s="36" t="s">
        <v>35</v>
      </c>
      <c r="B29" s="2">
        <v>0.10674500000000001</v>
      </c>
      <c r="C29" s="2">
        <v>2.0612800000000001E-2</v>
      </c>
      <c r="D29" s="2">
        <v>-11.59</v>
      </c>
      <c r="E29" s="2">
        <v>0</v>
      </c>
      <c r="F29" s="2">
        <v>7.3110099999999997E-2</v>
      </c>
      <c r="G29" s="2">
        <v>0.15585370000000001</v>
      </c>
    </row>
    <row r="30" spans="1:7" x14ac:dyDescent="0.25">
      <c r="A30" s="36" t="s">
        <v>36</v>
      </c>
      <c r="B30" s="2">
        <v>9.3160800000000002E-2</v>
      </c>
      <c r="C30" s="2">
        <v>1.82831E-2</v>
      </c>
      <c r="D30" s="2">
        <v>-12.09</v>
      </c>
      <c r="E30" s="2">
        <v>0</v>
      </c>
      <c r="F30" s="2">
        <v>6.3413600000000001E-2</v>
      </c>
      <c r="G30" s="2">
        <v>0.13686229999999999</v>
      </c>
    </row>
    <row r="31" spans="1:7" x14ac:dyDescent="0.25">
      <c r="A31" s="36" t="s">
        <v>37</v>
      </c>
      <c r="B31" s="2">
        <v>0.20529259999999999</v>
      </c>
      <c r="C31" s="2">
        <v>5.7453299999999999E-2</v>
      </c>
      <c r="D31" s="2">
        <v>-5.66</v>
      </c>
      <c r="E31" s="2">
        <v>0</v>
      </c>
      <c r="F31" s="2">
        <v>0.1186194</v>
      </c>
      <c r="G31" s="2">
        <v>0.35529650000000002</v>
      </c>
    </row>
    <row r="32" spans="1:7" x14ac:dyDescent="0.25">
      <c r="A32" s="36" t="s">
        <v>50</v>
      </c>
      <c r="B32" s="2">
        <v>6.5966999999999998E-2</v>
      </c>
      <c r="C32" s="2">
        <v>1.02842E-2</v>
      </c>
      <c r="D32" s="2">
        <v>-17.440000000000001</v>
      </c>
      <c r="E32" s="2">
        <v>0</v>
      </c>
      <c r="F32" s="2">
        <v>4.8598700000000002E-2</v>
      </c>
      <c r="G32" s="2">
        <v>8.9542399999999994E-2</v>
      </c>
    </row>
    <row r="33" spans="1:10" x14ac:dyDescent="0.25">
      <c r="A33" s="36" t="s">
        <v>51</v>
      </c>
      <c r="B33" s="2">
        <v>0.1944283</v>
      </c>
      <c r="C33" s="2">
        <v>2.8976999999999999E-2</v>
      </c>
      <c r="D33" s="2">
        <v>-10.99</v>
      </c>
      <c r="E33" s="2">
        <v>0</v>
      </c>
      <c r="F33" s="2">
        <v>0.14517740000000001</v>
      </c>
      <c r="G33" s="2">
        <v>0.26038739999999999</v>
      </c>
    </row>
    <row r="34" spans="1:10" x14ac:dyDescent="0.25">
      <c r="A34" s="36" t="s">
        <v>52</v>
      </c>
      <c r="B34" s="2">
        <v>0.2023837</v>
      </c>
      <c r="C34" s="2">
        <v>2.68182E-2</v>
      </c>
      <c r="D34" s="2">
        <v>-12.06</v>
      </c>
      <c r="E34" s="2">
        <v>0</v>
      </c>
      <c r="F34" s="2">
        <v>0.15609239999999999</v>
      </c>
      <c r="G34" s="2">
        <v>0.26240340000000001</v>
      </c>
    </row>
    <row r="35" spans="1:10" x14ac:dyDescent="0.25">
      <c r="A35" s="36" t="s">
        <v>53</v>
      </c>
      <c r="B35" s="2">
        <v>0.50533570000000005</v>
      </c>
      <c r="C35" s="2">
        <v>9.4525799999999993E-2</v>
      </c>
      <c r="D35" s="2">
        <v>-3.65</v>
      </c>
      <c r="E35" s="2">
        <v>0</v>
      </c>
      <c r="F35" s="2">
        <v>0.35023379999999998</v>
      </c>
      <c r="G35" s="2">
        <v>0.72912469999999996</v>
      </c>
    </row>
    <row r="36" spans="1:10" x14ac:dyDescent="0.25">
      <c r="A36" s="36" t="s">
        <v>54</v>
      </c>
      <c r="B36" s="2">
        <v>0.2038981</v>
      </c>
      <c r="C36" s="2">
        <v>1.9365500000000001E-2</v>
      </c>
      <c r="D36" s="2">
        <v>-16.739999999999998</v>
      </c>
      <c r="E36" s="2">
        <v>0</v>
      </c>
      <c r="F36" s="2">
        <v>0.16926569999999999</v>
      </c>
      <c r="G36" s="2">
        <v>0.24561640000000001</v>
      </c>
    </row>
    <row r="37" spans="1:10" x14ac:dyDescent="0.25">
      <c r="A37" s="36" t="s">
        <v>55</v>
      </c>
      <c r="B37" s="2">
        <v>0.46510299999999999</v>
      </c>
      <c r="C37" s="2">
        <v>4.7083600000000003E-2</v>
      </c>
      <c r="D37" s="2">
        <v>-7.56</v>
      </c>
      <c r="E37" s="2">
        <v>0</v>
      </c>
      <c r="F37" s="2">
        <v>0.38139919999999999</v>
      </c>
      <c r="G37" s="2">
        <v>0.56717700000000004</v>
      </c>
    </row>
    <row r="38" spans="1:10" x14ac:dyDescent="0.25">
      <c r="A38" s="36" t="s">
        <v>56</v>
      </c>
      <c r="B38" s="2">
        <v>0.63285069999999999</v>
      </c>
      <c r="C38" s="2">
        <v>5.2552099999999997E-2</v>
      </c>
      <c r="D38" s="2">
        <v>-5.51</v>
      </c>
      <c r="E38" s="2">
        <v>0</v>
      </c>
      <c r="F38" s="2">
        <v>0.53779560000000004</v>
      </c>
      <c r="G38" s="2">
        <v>0.7447068</v>
      </c>
    </row>
    <row r="39" spans="1:10" x14ac:dyDescent="0.25">
      <c r="A39" s="36" t="s">
        <v>57</v>
      </c>
      <c r="B39" s="2">
        <v>0.42637700000000001</v>
      </c>
      <c r="C39" s="2">
        <v>8.3371100000000004E-2</v>
      </c>
      <c r="D39" s="2">
        <v>-4.3600000000000003</v>
      </c>
      <c r="E39" s="2">
        <v>0</v>
      </c>
      <c r="F39" s="2">
        <v>0.2906398</v>
      </c>
      <c r="G39" s="2">
        <v>0.62550740000000005</v>
      </c>
    </row>
    <row r="40" spans="1:10" x14ac:dyDescent="0.25">
      <c r="A40" s="36" t="s">
        <v>58</v>
      </c>
      <c r="B40" s="2">
        <v>0.64467770000000002</v>
      </c>
      <c r="C40" s="2">
        <v>4.1224200000000003E-2</v>
      </c>
      <c r="D40" s="2">
        <v>-6.87</v>
      </c>
      <c r="E40" s="2">
        <v>0</v>
      </c>
      <c r="F40" s="2">
        <v>0.56873779999999996</v>
      </c>
      <c r="G40" s="2">
        <v>0.73075730000000005</v>
      </c>
    </row>
    <row r="41" spans="1:10" x14ac:dyDescent="0.25">
      <c r="A41" s="36" t="s">
        <v>59</v>
      </c>
      <c r="B41" s="2">
        <v>1.566864</v>
      </c>
      <c r="C41" s="2">
        <v>9.9322400000000005E-2</v>
      </c>
      <c r="D41" s="2">
        <v>7.08</v>
      </c>
      <c r="E41" s="2">
        <v>0</v>
      </c>
      <c r="F41" s="2">
        <v>1.383802</v>
      </c>
      <c r="G41" s="2">
        <v>1.774141</v>
      </c>
    </row>
    <row r="42" spans="1:10" x14ac:dyDescent="0.25">
      <c r="A42" s="36" t="s">
        <v>60</v>
      </c>
      <c r="B42" s="2">
        <v>2.2294330000000002</v>
      </c>
      <c r="C42" s="2">
        <v>0.12514520000000001</v>
      </c>
      <c r="D42" s="2">
        <v>14.28</v>
      </c>
      <c r="E42" s="2">
        <v>0</v>
      </c>
      <c r="F42" s="2">
        <v>1.9971650000000001</v>
      </c>
      <c r="G42" s="2">
        <v>2.488715</v>
      </c>
    </row>
    <row r="43" spans="1:10" x14ac:dyDescent="0.25">
      <c r="A43" s="36" t="s">
        <v>61</v>
      </c>
      <c r="B43" s="2">
        <v>1.9581759999999999</v>
      </c>
      <c r="C43" s="2">
        <v>0.19576470000000001</v>
      </c>
      <c r="D43" s="2">
        <v>6.72</v>
      </c>
      <c r="E43" s="2">
        <v>0</v>
      </c>
      <c r="F43" s="2">
        <v>1.6097349999999999</v>
      </c>
      <c r="G43" s="2">
        <v>2.3820389999999998</v>
      </c>
    </row>
    <row r="44" spans="1:10" x14ac:dyDescent="0.25">
      <c r="A44" s="36"/>
      <c r="B44" s="3"/>
      <c r="C44" s="3"/>
      <c r="D44" s="3"/>
      <c r="E44" s="3"/>
      <c r="F44" s="3"/>
      <c r="G44" s="3"/>
    </row>
    <row r="45" spans="1:10" x14ac:dyDescent="0.25">
      <c r="A45" s="5" t="s">
        <v>6</v>
      </c>
      <c r="B45" s="6">
        <v>1.6723E-3</v>
      </c>
      <c r="C45" s="6">
        <v>6.7700000000000006E-5</v>
      </c>
      <c r="D45" s="6">
        <v>-157.83000000000001</v>
      </c>
      <c r="E45" s="6">
        <v>0</v>
      </c>
      <c r="F45" s="6">
        <v>1.5447E-3</v>
      </c>
      <c r="G45" s="6">
        <v>1.8105E-3</v>
      </c>
    </row>
    <row r="46" spans="1:10" x14ac:dyDescent="0.25">
      <c r="A46" s="7"/>
      <c r="B46" s="41"/>
      <c r="C46" s="9"/>
      <c r="D46" s="7"/>
      <c r="E46" s="7"/>
      <c r="F46" s="9"/>
      <c r="G46" s="9"/>
    </row>
    <row r="47" spans="1:10" ht="15.75" thickBot="1" x14ac:dyDescent="0.3"/>
    <row r="48" spans="1:10" x14ac:dyDescent="0.25">
      <c r="A48" s="10"/>
      <c r="B48" s="11" t="s">
        <v>9</v>
      </c>
      <c r="C48" s="11" t="s">
        <v>10</v>
      </c>
      <c r="D48" s="11" t="s">
        <v>40</v>
      </c>
      <c r="E48" s="11" t="s">
        <v>7</v>
      </c>
      <c r="F48" s="11" t="s">
        <v>8</v>
      </c>
      <c r="G48" s="11" t="s">
        <v>62</v>
      </c>
      <c r="H48" s="11" t="s">
        <v>63</v>
      </c>
      <c r="I48" s="11" t="s">
        <v>64</v>
      </c>
      <c r="J48" s="12" t="s">
        <v>65</v>
      </c>
    </row>
    <row r="49" spans="1:10" x14ac:dyDescent="0.25">
      <c r="A49" s="13" t="s">
        <v>12</v>
      </c>
      <c r="B49" s="14">
        <f>B8</f>
        <v>0.1244378</v>
      </c>
      <c r="C49" s="15">
        <f>B12</f>
        <v>0.20839579999999999</v>
      </c>
      <c r="D49" s="15">
        <f>B16</f>
        <v>0.3703148</v>
      </c>
      <c r="E49" s="15">
        <f>B20</f>
        <v>0.97151419999999999</v>
      </c>
      <c r="F49" s="15">
        <f>B24</f>
        <v>1</v>
      </c>
      <c r="G49" s="15">
        <f>B28</f>
        <v>4.0479800000000003E-2</v>
      </c>
      <c r="H49" s="16">
        <f>B32</f>
        <v>6.5966999999999998E-2</v>
      </c>
      <c r="I49" s="16">
        <f>B36</f>
        <v>0.2038981</v>
      </c>
      <c r="J49" s="18">
        <f>B40</f>
        <v>0.64467770000000002</v>
      </c>
    </row>
    <row r="50" spans="1:10" x14ac:dyDescent="0.25">
      <c r="A50" s="13" t="s">
        <v>13</v>
      </c>
      <c r="B50" s="15">
        <f>B9</f>
        <v>0.28592400000000001</v>
      </c>
      <c r="C50" s="15">
        <f>B13</f>
        <v>0.81583649999999996</v>
      </c>
      <c r="D50" s="15">
        <f>B17</f>
        <v>0.77771330000000005</v>
      </c>
      <c r="E50" s="15">
        <f>B21</f>
        <v>2.5771280000000001</v>
      </c>
      <c r="F50" s="15">
        <f>B25</f>
        <v>1.799415</v>
      </c>
      <c r="G50" s="15">
        <f>B29</f>
        <v>0.10674500000000001</v>
      </c>
      <c r="H50" s="16">
        <f>B33</f>
        <v>0.1944283</v>
      </c>
      <c r="I50" s="16">
        <f>B37</f>
        <v>0.46510299999999999</v>
      </c>
      <c r="J50" s="18">
        <f>B41</f>
        <v>1.566864</v>
      </c>
    </row>
    <row r="51" spans="1:10" x14ac:dyDescent="0.25">
      <c r="A51" s="13" t="s">
        <v>14</v>
      </c>
      <c r="B51" s="15">
        <f>B10</f>
        <v>0.61357600000000001</v>
      </c>
      <c r="C51" s="15">
        <f>B14</f>
        <v>0.81595980000000001</v>
      </c>
      <c r="D51" s="15">
        <f>B18</f>
        <v>1.06653</v>
      </c>
      <c r="E51" s="15">
        <f>B22</f>
        <v>2.9907819999999998</v>
      </c>
      <c r="F51" s="15">
        <f>B26</f>
        <v>1.4455979999999999</v>
      </c>
      <c r="G51" s="15">
        <f>B30</f>
        <v>9.3160800000000002E-2</v>
      </c>
      <c r="H51" s="16">
        <f>B34</f>
        <v>0.2023837</v>
      </c>
      <c r="I51" s="16">
        <f>B38</f>
        <v>0.63285069999999999</v>
      </c>
      <c r="J51" s="18">
        <f>B42</f>
        <v>2.2294330000000002</v>
      </c>
    </row>
    <row r="52" spans="1:10" ht="15.75" thickBot="1" x14ac:dyDescent="0.3">
      <c r="A52" s="19" t="s">
        <v>15</v>
      </c>
      <c r="B52" s="20">
        <f>B11</f>
        <v>0.41058519999999998</v>
      </c>
      <c r="C52" s="20">
        <f>B15</f>
        <v>1.058047</v>
      </c>
      <c r="D52" s="20">
        <f>B19</f>
        <v>0.99487959999999998</v>
      </c>
      <c r="E52" s="20">
        <f>B23</f>
        <v>3.805809</v>
      </c>
      <c r="F52" s="20">
        <f>B27</f>
        <v>3.1583480000000002</v>
      </c>
      <c r="G52" s="20">
        <f>B31</f>
        <v>0.20529259999999999</v>
      </c>
      <c r="H52" s="21">
        <f>B35</f>
        <v>0.50533570000000005</v>
      </c>
      <c r="I52" s="21">
        <f>B39</f>
        <v>0.42637700000000001</v>
      </c>
      <c r="J52" s="22">
        <f>B43</f>
        <v>1.9581759999999999</v>
      </c>
    </row>
    <row r="69" spans="1:22" x14ac:dyDescent="0.25">
      <c r="N69" s="7"/>
      <c r="O69" s="7"/>
      <c r="U69" s="7"/>
      <c r="V69" s="7"/>
    </row>
    <row r="70" spans="1:22" x14ac:dyDescent="0.25">
      <c r="A70" s="36"/>
      <c r="B70" s="2" t="s">
        <v>1</v>
      </c>
      <c r="C70" s="3"/>
      <c r="D70" s="3"/>
      <c r="E70" s="3"/>
      <c r="F70" s="3"/>
      <c r="G70" s="3"/>
      <c r="N70" s="9"/>
      <c r="O70" s="9"/>
      <c r="U70" s="7"/>
      <c r="V70" s="7"/>
    </row>
    <row r="71" spans="1:22" x14ac:dyDescent="0.25">
      <c r="A71" s="5" t="s">
        <v>2</v>
      </c>
      <c r="B71" s="6" t="s">
        <v>269</v>
      </c>
      <c r="C71" s="6" t="s">
        <v>270</v>
      </c>
      <c r="D71" s="6" t="s">
        <v>3</v>
      </c>
      <c r="E71" s="6" t="s">
        <v>4</v>
      </c>
      <c r="F71" s="6" t="s">
        <v>271</v>
      </c>
      <c r="G71" s="6" t="s">
        <v>272</v>
      </c>
      <c r="N71" s="7"/>
      <c r="O71" s="7"/>
    </row>
    <row r="72" spans="1:22" x14ac:dyDescent="0.25">
      <c r="A72" s="36"/>
      <c r="B72" s="2"/>
      <c r="C72" s="2"/>
      <c r="D72" s="3"/>
      <c r="E72" s="3"/>
      <c r="F72" s="3"/>
      <c r="G72" s="3"/>
      <c r="N72" s="7"/>
      <c r="O72" s="7"/>
    </row>
    <row r="73" spans="1:22" x14ac:dyDescent="0.25">
      <c r="A73" s="36" t="s">
        <v>72</v>
      </c>
      <c r="B73" s="3"/>
      <c r="C73" s="3"/>
      <c r="D73" s="3"/>
      <c r="E73" s="3"/>
      <c r="F73" s="3"/>
      <c r="G73" s="3"/>
      <c r="N73" s="7"/>
      <c r="O73" s="7"/>
    </row>
    <row r="74" spans="1:22" x14ac:dyDescent="0.25">
      <c r="A74" s="36" t="s">
        <v>73</v>
      </c>
      <c r="B74" s="2">
        <v>1.1003229999999999</v>
      </c>
      <c r="C74" s="2">
        <v>2.4790099999999999E-2</v>
      </c>
      <c r="D74" s="2">
        <v>4.24</v>
      </c>
      <c r="E74" s="2">
        <v>0</v>
      </c>
      <c r="F74" s="2">
        <v>1.052792</v>
      </c>
      <c r="G74" s="2">
        <v>1.149999</v>
      </c>
      <c r="N74" s="23"/>
      <c r="O74" s="23"/>
    </row>
    <row r="75" spans="1:22" x14ac:dyDescent="0.25">
      <c r="A75" s="36"/>
      <c r="B75" s="3"/>
      <c r="C75" s="3"/>
      <c r="D75" s="3"/>
      <c r="E75" s="3"/>
      <c r="F75" s="3"/>
      <c r="G75" s="3"/>
      <c r="N75" s="7"/>
      <c r="O75" s="7"/>
    </row>
    <row r="76" spans="1:22" x14ac:dyDescent="0.25">
      <c r="A76" s="36" t="s">
        <v>74</v>
      </c>
      <c r="B76" s="3"/>
      <c r="C76" s="3"/>
      <c r="D76" s="3"/>
      <c r="E76" s="3"/>
      <c r="F76" s="3"/>
      <c r="G76" s="3"/>
      <c r="N76" s="7"/>
      <c r="O76" s="7"/>
    </row>
    <row r="77" spans="1:22" x14ac:dyDescent="0.25">
      <c r="A77" s="36" t="s">
        <v>75</v>
      </c>
      <c r="B77" s="2">
        <v>0.79409909999999995</v>
      </c>
      <c r="C77" s="2">
        <v>2.50412E-2</v>
      </c>
      <c r="D77" s="2">
        <v>-7.31</v>
      </c>
      <c r="E77" s="2">
        <v>0</v>
      </c>
      <c r="F77" s="2">
        <v>0.74650519999999998</v>
      </c>
      <c r="G77" s="2">
        <v>0.84472729999999996</v>
      </c>
      <c r="N77" s="7"/>
      <c r="O77" s="7"/>
    </row>
    <row r="78" spans="1:22" x14ac:dyDescent="0.25">
      <c r="A78" s="36" t="s">
        <v>76</v>
      </c>
      <c r="B78" s="2">
        <v>0.68305159999999998</v>
      </c>
      <c r="C78" s="2">
        <v>2.7083400000000001E-2</v>
      </c>
      <c r="D78" s="2">
        <v>-9.61</v>
      </c>
      <c r="E78" s="2">
        <v>0</v>
      </c>
      <c r="F78" s="2">
        <v>0.63197930000000002</v>
      </c>
      <c r="G78" s="2">
        <v>0.73825130000000005</v>
      </c>
      <c r="N78" s="7"/>
      <c r="O78" s="7"/>
    </row>
    <row r="79" spans="1:22" x14ac:dyDescent="0.25">
      <c r="A79" s="36" t="s">
        <v>77</v>
      </c>
      <c r="B79" s="2">
        <v>0.55623650000000002</v>
      </c>
      <c r="C79" s="2">
        <v>2.4416899999999998E-2</v>
      </c>
      <c r="D79" s="2">
        <v>-13.36</v>
      </c>
      <c r="E79" s="2">
        <v>0</v>
      </c>
      <c r="F79" s="2">
        <v>0.51038099999999997</v>
      </c>
      <c r="G79" s="2">
        <v>0.60621179999999997</v>
      </c>
      <c r="N79" s="7"/>
      <c r="O79" s="7"/>
    </row>
    <row r="80" spans="1:22" x14ac:dyDescent="0.25">
      <c r="A80" s="36" t="s">
        <v>78</v>
      </c>
      <c r="B80" s="2">
        <v>0.46625309999999998</v>
      </c>
      <c r="C80" s="2">
        <v>2.2559599999999999E-2</v>
      </c>
      <c r="D80" s="2">
        <v>-15.77</v>
      </c>
      <c r="E80" s="2">
        <v>0</v>
      </c>
      <c r="F80" s="2">
        <v>0.42406890000000003</v>
      </c>
      <c r="G80" s="2">
        <v>0.51263349999999996</v>
      </c>
      <c r="N80" s="7"/>
      <c r="O80" s="7"/>
    </row>
    <row r="81" spans="1:15" x14ac:dyDescent="0.25">
      <c r="A81" s="36" t="s">
        <v>79</v>
      </c>
      <c r="B81" s="2">
        <v>0.43534050000000002</v>
      </c>
      <c r="C81" s="2">
        <v>2.4502699999999999E-2</v>
      </c>
      <c r="D81" s="2">
        <v>-14.78</v>
      </c>
      <c r="E81" s="2">
        <v>0</v>
      </c>
      <c r="F81" s="2">
        <v>0.3898702</v>
      </c>
      <c r="G81" s="2">
        <v>0.48611399999999999</v>
      </c>
      <c r="N81" s="7"/>
      <c r="O81" s="7"/>
    </row>
    <row r="82" spans="1:15" x14ac:dyDescent="0.25">
      <c r="A82" s="36" t="s">
        <v>80</v>
      </c>
      <c r="B82" s="2">
        <v>0.41442570000000001</v>
      </c>
      <c r="C82" s="2">
        <v>2.61967E-2</v>
      </c>
      <c r="D82" s="2">
        <v>-13.94</v>
      </c>
      <c r="E82" s="2">
        <v>0</v>
      </c>
      <c r="F82" s="2">
        <v>0.36613440000000003</v>
      </c>
      <c r="G82" s="2">
        <v>0.46908640000000001</v>
      </c>
      <c r="N82" s="7"/>
      <c r="O82" s="7"/>
    </row>
    <row r="83" spans="1:15" x14ac:dyDescent="0.25">
      <c r="A83" s="36" t="s">
        <v>86</v>
      </c>
      <c r="B83" s="2">
        <v>0.34033679999999999</v>
      </c>
      <c r="C83" s="2">
        <v>2.7765399999999999E-2</v>
      </c>
      <c r="D83" s="2">
        <v>-13.21</v>
      </c>
      <c r="E83" s="2">
        <v>0</v>
      </c>
      <c r="F83" s="2">
        <v>0.29004550000000001</v>
      </c>
      <c r="G83" s="2">
        <v>0.39934829999999999</v>
      </c>
    </row>
    <row r="84" spans="1:15" x14ac:dyDescent="0.25">
      <c r="A84" s="36" t="s">
        <v>87</v>
      </c>
      <c r="B84" s="2">
        <v>0.2116258</v>
      </c>
      <c r="C84" s="2">
        <v>2.2754099999999999E-2</v>
      </c>
      <c r="D84" s="2">
        <v>-14.44</v>
      </c>
      <c r="E84" s="2">
        <v>0</v>
      </c>
      <c r="F84" s="2">
        <v>0.17141419999999999</v>
      </c>
      <c r="G84" s="2">
        <v>0.26127040000000001</v>
      </c>
    </row>
    <row r="85" spans="1:15" x14ac:dyDescent="0.25">
      <c r="A85" s="36" t="s">
        <v>88</v>
      </c>
      <c r="B85" s="2">
        <v>7.1682399999999993E-2</v>
      </c>
      <c r="C85" s="2">
        <v>1.8019E-2</v>
      </c>
      <c r="D85" s="2">
        <v>-10.48</v>
      </c>
      <c r="E85" s="2">
        <v>0</v>
      </c>
      <c r="F85" s="2">
        <v>4.37969E-2</v>
      </c>
      <c r="G85" s="2">
        <v>0.1173226</v>
      </c>
    </row>
    <row r="86" spans="1:15" x14ac:dyDescent="0.25">
      <c r="A86" s="36"/>
      <c r="B86" s="3"/>
      <c r="C86" s="3"/>
      <c r="D86" s="3"/>
      <c r="E86" s="3"/>
      <c r="F86" s="3"/>
      <c r="G86" s="3"/>
    </row>
    <row r="87" spans="1:15" x14ac:dyDescent="0.25">
      <c r="A87" s="36" t="s">
        <v>113</v>
      </c>
      <c r="B87" s="3"/>
      <c r="C87" s="3"/>
      <c r="D87" s="3"/>
      <c r="E87" s="3"/>
      <c r="F87" s="3"/>
      <c r="G87" s="3"/>
    </row>
    <row r="88" spans="1:15" x14ac:dyDescent="0.25">
      <c r="A88" s="36">
        <v>2</v>
      </c>
      <c r="B88" s="2">
        <v>0.94835959999999997</v>
      </c>
      <c r="C88" s="2">
        <v>2.3072800000000001E-2</v>
      </c>
      <c r="D88" s="2">
        <v>-2.1800000000000002</v>
      </c>
      <c r="E88" s="2">
        <v>2.9000000000000001E-2</v>
      </c>
      <c r="F88" s="2">
        <v>0.90419899999999997</v>
      </c>
      <c r="G88" s="2">
        <v>0.99467689999999997</v>
      </c>
    </row>
    <row r="89" spans="1:15" x14ac:dyDescent="0.25">
      <c r="A89" s="36">
        <v>3</v>
      </c>
      <c r="B89" s="2">
        <v>1.3222290000000001</v>
      </c>
      <c r="C89" s="2">
        <v>8.0483399999999997E-2</v>
      </c>
      <c r="D89" s="2">
        <v>4.59</v>
      </c>
      <c r="E89" s="2">
        <v>0</v>
      </c>
      <c r="F89" s="2">
        <v>1.1735310000000001</v>
      </c>
      <c r="G89" s="2">
        <v>1.4897689999999999</v>
      </c>
    </row>
    <row r="90" spans="1:15" x14ac:dyDescent="0.25">
      <c r="A90" s="36"/>
      <c r="B90" s="3"/>
      <c r="C90" s="3"/>
      <c r="D90" s="3"/>
      <c r="E90" s="3"/>
      <c r="F90" s="3"/>
      <c r="G90" s="3"/>
    </row>
    <row r="91" spans="1:15" x14ac:dyDescent="0.25">
      <c r="A91" s="36" t="s">
        <v>108</v>
      </c>
      <c r="B91" s="3"/>
      <c r="C91" s="3"/>
      <c r="D91" s="3"/>
      <c r="E91" s="3"/>
      <c r="F91" s="3"/>
      <c r="G91" s="3"/>
    </row>
    <row r="92" spans="1:15" x14ac:dyDescent="0.25">
      <c r="A92" s="36">
        <v>2</v>
      </c>
      <c r="B92" s="2">
        <v>1.0322309999999999</v>
      </c>
      <c r="C92" s="2">
        <v>2.9182099999999999E-2</v>
      </c>
      <c r="D92" s="2">
        <v>1.1200000000000001</v>
      </c>
      <c r="E92" s="2">
        <v>0.26200000000000001</v>
      </c>
      <c r="F92" s="2">
        <v>0.97659059999999998</v>
      </c>
      <c r="G92" s="2">
        <v>1.0910409999999999</v>
      </c>
    </row>
    <row r="93" spans="1:15" x14ac:dyDescent="0.25">
      <c r="A93" s="36" t="s">
        <v>109</v>
      </c>
      <c r="B93" s="2">
        <v>1.0011049999999999</v>
      </c>
      <c r="C93" s="2">
        <v>4.5171999999999997E-2</v>
      </c>
      <c r="D93" s="2">
        <v>0.02</v>
      </c>
      <c r="E93" s="2">
        <v>0.98</v>
      </c>
      <c r="F93" s="2">
        <v>0.91637150000000001</v>
      </c>
      <c r="G93" s="2">
        <v>1.0936729999999999</v>
      </c>
    </row>
    <row r="94" spans="1:15" x14ac:dyDescent="0.25">
      <c r="A94" s="36"/>
      <c r="B94" s="3"/>
      <c r="C94" s="3"/>
      <c r="D94" s="3"/>
      <c r="E94" s="3"/>
      <c r="F94" s="3"/>
      <c r="G94" s="3"/>
    </row>
    <row r="95" spans="1:15" x14ac:dyDescent="0.25">
      <c r="A95" s="36" t="s">
        <v>84</v>
      </c>
      <c r="B95" s="3"/>
      <c r="C95" s="3"/>
      <c r="D95" s="3"/>
      <c r="E95" s="3"/>
      <c r="F95" s="3"/>
      <c r="G95" s="3"/>
    </row>
    <row r="96" spans="1:15" x14ac:dyDescent="0.25">
      <c r="A96" s="38" t="s">
        <v>315</v>
      </c>
      <c r="B96" s="2">
        <v>1.1889909999999999</v>
      </c>
      <c r="C96" s="2">
        <v>3.6675800000000001E-2</v>
      </c>
      <c r="D96" s="2">
        <v>5.61</v>
      </c>
      <c r="E96" s="2">
        <v>0</v>
      </c>
      <c r="F96" s="2">
        <v>1.119238</v>
      </c>
      <c r="G96" s="2">
        <v>1.2630920000000001</v>
      </c>
    </row>
    <row r="97" spans="1:7" x14ac:dyDescent="0.25">
      <c r="A97" s="38" t="s">
        <v>316</v>
      </c>
      <c r="B97" s="2">
        <v>0.96624549999999998</v>
      </c>
      <c r="C97" s="2">
        <v>3.62899E-2</v>
      </c>
      <c r="D97" s="2">
        <v>-0.91</v>
      </c>
      <c r="E97" s="2">
        <v>0.36099999999999999</v>
      </c>
      <c r="F97" s="2">
        <v>0.89767350000000001</v>
      </c>
      <c r="G97" s="2">
        <v>1.0400560000000001</v>
      </c>
    </row>
    <row r="98" spans="1:7" x14ac:dyDescent="0.25">
      <c r="A98" s="38" t="s">
        <v>317</v>
      </c>
      <c r="B98" s="2">
        <v>0.88280239999999999</v>
      </c>
      <c r="C98" s="2">
        <v>3.4375700000000002E-2</v>
      </c>
      <c r="D98" s="2">
        <v>-3.2</v>
      </c>
      <c r="E98" s="2">
        <v>1E-3</v>
      </c>
      <c r="F98" s="2">
        <v>0.81793419999999994</v>
      </c>
      <c r="G98" s="2">
        <v>0.95281519999999997</v>
      </c>
    </row>
    <row r="99" spans="1:7" x14ac:dyDescent="0.25">
      <c r="A99" s="38" t="s">
        <v>82</v>
      </c>
      <c r="B99" s="2">
        <v>1.285258</v>
      </c>
      <c r="C99" s="2">
        <v>5.3584800000000002E-2</v>
      </c>
      <c r="D99" s="2">
        <v>6.02</v>
      </c>
      <c r="E99" s="2">
        <v>0</v>
      </c>
      <c r="F99" s="2">
        <v>1.18441</v>
      </c>
      <c r="G99" s="2">
        <v>1.394693</v>
      </c>
    </row>
    <row r="100" spans="1:7" x14ac:dyDescent="0.25">
      <c r="A100" s="36"/>
      <c r="B100" s="3"/>
      <c r="C100" s="3"/>
      <c r="D100" s="3"/>
      <c r="E100" s="3"/>
      <c r="F100" s="3"/>
      <c r="G100" s="3"/>
    </row>
    <row r="101" spans="1:7" x14ac:dyDescent="0.25">
      <c r="A101" s="36" t="s">
        <v>45</v>
      </c>
      <c r="B101" s="3"/>
      <c r="C101" s="3"/>
      <c r="D101" s="3"/>
      <c r="E101" s="3"/>
      <c r="F101" s="3"/>
      <c r="G101" s="3"/>
    </row>
    <row r="102" spans="1:7" x14ac:dyDescent="0.25">
      <c r="A102" s="36" t="s">
        <v>46</v>
      </c>
      <c r="B102" s="2">
        <v>0.1244378</v>
      </c>
      <c r="C102" s="2">
        <v>1.4597199999999999E-2</v>
      </c>
      <c r="D102" s="2">
        <v>-17.77</v>
      </c>
      <c r="E102" s="2">
        <v>0</v>
      </c>
      <c r="F102" s="2">
        <f>B102-0.0988785</f>
        <v>2.5559300000000007E-2</v>
      </c>
      <c r="G102" s="2">
        <f>0.1566039-B102</f>
        <v>3.2166099999999989E-2</v>
      </c>
    </row>
    <row r="103" spans="1:7" x14ac:dyDescent="0.25">
      <c r="A103" s="36" t="s">
        <v>16</v>
      </c>
      <c r="B103" s="2">
        <v>0.20863390000000001</v>
      </c>
      <c r="C103" s="2">
        <v>2.5566200000000001E-2</v>
      </c>
      <c r="D103" s="2">
        <v>-12.79</v>
      </c>
      <c r="E103" s="2">
        <v>0</v>
      </c>
      <c r="F103" s="2">
        <f>B103-0.1640884</f>
        <v>4.4545500000000016E-2</v>
      </c>
      <c r="G103" s="2">
        <f>0.2652724-B103</f>
        <v>5.6638500000000008E-2</v>
      </c>
    </row>
    <row r="104" spans="1:7" x14ac:dyDescent="0.25">
      <c r="A104" s="36" t="s">
        <v>17</v>
      </c>
      <c r="B104" s="2">
        <v>0.42748419999999998</v>
      </c>
      <c r="C104" s="2">
        <v>3.7509000000000001E-2</v>
      </c>
      <c r="D104" s="2">
        <v>-9.69</v>
      </c>
      <c r="E104" s="2">
        <v>0</v>
      </c>
      <c r="F104" s="2">
        <f>B104-0.3599421</f>
        <v>6.7542099999999994E-2</v>
      </c>
      <c r="G104" s="2">
        <f>0.5077005-B104</f>
        <v>8.0216300000000018E-2</v>
      </c>
    </row>
    <row r="105" spans="1:7" x14ac:dyDescent="0.25">
      <c r="A105" s="36" t="s">
        <v>18</v>
      </c>
      <c r="B105" s="2">
        <v>0.24193629999999999</v>
      </c>
      <c r="C105" s="2">
        <v>4.8750000000000002E-2</v>
      </c>
      <c r="D105" s="2">
        <v>-7.04</v>
      </c>
      <c r="E105" s="2">
        <v>0</v>
      </c>
      <c r="F105" s="2">
        <f>B105-0.1629988</f>
        <v>7.8937499999999994E-2</v>
      </c>
      <c r="G105" s="2">
        <f>0.3591019-B105</f>
        <v>0.11716559999999998</v>
      </c>
    </row>
    <row r="106" spans="1:7" x14ac:dyDescent="0.25">
      <c r="A106" s="36" t="s">
        <v>19</v>
      </c>
      <c r="B106" s="2">
        <v>0.20839579999999999</v>
      </c>
      <c r="C106" s="2">
        <v>1.9666599999999999E-2</v>
      </c>
      <c r="D106" s="2">
        <v>-16.62</v>
      </c>
      <c r="E106" s="2">
        <v>0</v>
      </c>
      <c r="F106" s="2">
        <f>B106-0.1732048</f>
        <v>3.5191E-2</v>
      </c>
      <c r="G106" s="2">
        <f>0.2507367-B106</f>
        <v>4.2340899999999987E-2</v>
      </c>
    </row>
    <row r="107" spans="1:7" x14ac:dyDescent="0.25">
      <c r="A107" s="36" t="s">
        <v>20</v>
      </c>
      <c r="B107" s="2">
        <v>0.5953022</v>
      </c>
      <c r="C107" s="2">
        <v>4.9057099999999999E-2</v>
      </c>
      <c r="D107" s="2">
        <v>-6.29</v>
      </c>
      <c r="E107" s="2">
        <v>0</v>
      </c>
      <c r="F107" s="2">
        <f>B107-0.5065153</f>
        <v>8.8786900000000002E-2</v>
      </c>
      <c r="G107" s="2">
        <f>0.6996526-B107</f>
        <v>0.10435039999999995</v>
      </c>
    </row>
    <row r="108" spans="1:7" x14ac:dyDescent="0.25">
      <c r="A108" s="36" t="s">
        <v>21</v>
      </c>
      <c r="B108" s="2">
        <v>0.56848690000000002</v>
      </c>
      <c r="C108" s="2">
        <v>4.48671E-2</v>
      </c>
      <c r="D108" s="2">
        <v>-7.16</v>
      </c>
      <c r="E108" s="2">
        <v>0</v>
      </c>
      <c r="F108" s="2">
        <f>B108-0.4870129</f>
        <v>8.1473999999999991E-2</v>
      </c>
      <c r="G108" s="2">
        <f>0.6635909-B108</f>
        <v>9.5103999999999966E-2</v>
      </c>
    </row>
    <row r="109" spans="1:7" x14ac:dyDescent="0.25">
      <c r="A109" s="36" t="s">
        <v>22</v>
      </c>
      <c r="B109" s="2">
        <v>0.62345130000000004</v>
      </c>
      <c r="C109" s="2">
        <v>8.3112699999999998E-2</v>
      </c>
      <c r="D109" s="2">
        <v>-3.54</v>
      </c>
      <c r="E109" s="2">
        <v>0</v>
      </c>
      <c r="F109" s="2">
        <f>B109-0.4800962</f>
        <v>0.14335510000000007</v>
      </c>
      <c r="G109" s="2">
        <f>0.8096117-B109</f>
        <v>0.1861604</v>
      </c>
    </row>
    <row r="110" spans="1:7" x14ac:dyDescent="0.25">
      <c r="A110" s="36" t="s">
        <v>23</v>
      </c>
      <c r="B110" s="2">
        <v>0.3703148</v>
      </c>
      <c r="C110" s="2">
        <v>2.8045299999999999E-2</v>
      </c>
      <c r="D110" s="2">
        <v>-13.12</v>
      </c>
      <c r="E110" s="2">
        <v>0</v>
      </c>
      <c r="F110" s="2">
        <f>B110-0.3192321</f>
        <v>5.1082699999999981E-2</v>
      </c>
      <c r="G110" s="2">
        <f>0.4295717-B110</f>
        <v>5.9256900000000001E-2</v>
      </c>
    </row>
    <row r="111" spans="1:7" x14ac:dyDescent="0.25">
      <c r="A111" s="36" t="s">
        <v>24</v>
      </c>
      <c r="B111" s="2">
        <v>0.56748430000000005</v>
      </c>
      <c r="C111" s="2">
        <v>4.7647099999999998E-2</v>
      </c>
      <c r="D111" s="2">
        <v>-6.75</v>
      </c>
      <c r="E111" s="2">
        <v>0</v>
      </c>
      <c r="F111" s="2">
        <f>B111-0.481377</f>
        <v>8.6107300000000053E-2</v>
      </c>
      <c r="G111" s="2">
        <f>0.6689943-B111</f>
        <v>0.10150999999999999</v>
      </c>
    </row>
    <row r="112" spans="1:7" x14ac:dyDescent="0.25">
      <c r="A112" s="36" t="s">
        <v>25</v>
      </c>
      <c r="B112" s="2">
        <v>0.74306159999999999</v>
      </c>
      <c r="C112" s="2">
        <v>5.4436999999999999E-2</v>
      </c>
      <c r="D112" s="2">
        <v>-4.05</v>
      </c>
      <c r="E112" s="2">
        <v>0</v>
      </c>
      <c r="F112" s="2">
        <f>B112-0.6436733</f>
        <v>9.9388299999999985E-2</v>
      </c>
      <c r="G112" s="2">
        <f>0.8577962-B112</f>
        <v>0.11473460000000002</v>
      </c>
    </row>
    <row r="113" spans="1:7" x14ac:dyDescent="0.25">
      <c r="A113" s="36" t="s">
        <v>26</v>
      </c>
      <c r="B113" s="2">
        <v>0.58623029999999998</v>
      </c>
      <c r="C113" s="2">
        <v>7.8922099999999995E-2</v>
      </c>
      <c r="D113" s="2">
        <v>-3.97</v>
      </c>
      <c r="E113" s="2">
        <v>0</v>
      </c>
      <c r="F113" s="2">
        <f>B113-0.4502711</f>
        <v>0.1359592</v>
      </c>
      <c r="G113" s="2">
        <f>0.7632424-B113</f>
        <v>0.17701210000000001</v>
      </c>
    </row>
    <row r="114" spans="1:7" x14ac:dyDescent="0.25">
      <c r="A114" s="36" t="s">
        <v>27</v>
      </c>
      <c r="B114" s="2">
        <v>0.97151419999999999</v>
      </c>
      <c r="C114" s="2">
        <v>5.6656999999999999E-2</v>
      </c>
      <c r="D114" s="2">
        <v>-0.5</v>
      </c>
      <c r="E114" s="2">
        <v>0.62</v>
      </c>
      <c r="F114" s="2">
        <f>B114-0.8665799</f>
        <v>0.10493430000000004</v>
      </c>
      <c r="G114" s="2">
        <f>1.089155-B114</f>
        <v>0.1176408000000001</v>
      </c>
    </row>
    <row r="115" spans="1:7" x14ac:dyDescent="0.25">
      <c r="A115" s="36" t="s">
        <v>28</v>
      </c>
      <c r="B115" s="2">
        <v>1.880487</v>
      </c>
      <c r="C115" s="2">
        <v>0.1135852</v>
      </c>
      <c r="D115" s="2">
        <v>10.46</v>
      </c>
      <c r="E115" s="2">
        <v>0</v>
      </c>
      <c r="F115" s="2">
        <f>B115-1.670537</f>
        <v>0.20995000000000008</v>
      </c>
      <c r="G115" s="2">
        <f>2.116824-B115</f>
        <v>0.2363369999999998</v>
      </c>
    </row>
    <row r="116" spans="1:7" x14ac:dyDescent="0.25">
      <c r="A116" s="36" t="s">
        <v>29</v>
      </c>
      <c r="B116" s="2">
        <v>2.0837059999999998</v>
      </c>
      <c r="C116" s="2">
        <v>0.1212193</v>
      </c>
      <c r="D116" s="2">
        <v>12.62</v>
      </c>
      <c r="E116" s="2">
        <v>0</v>
      </c>
      <c r="F116" s="2">
        <f>B116-1.859165</f>
        <v>0.22454099999999988</v>
      </c>
      <c r="G116" s="2">
        <f>2.335366-B116</f>
        <v>0.25166000000000022</v>
      </c>
    </row>
    <row r="117" spans="1:7" x14ac:dyDescent="0.25">
      <c r="A117" s="36" t="s">
        <v>30</v>
      </c>
      <c r="B117" s="2">
        <v>2.2425639999999998</v>
      </c>
      <c r="C117" s="2">
        <v>0.1935567</v>
      </c>
      <c r="D117" s="2">
        <v>9.36</v>
      </c>
      <c r="E117" s="2">
        <v>0</v>
      </c>
      <c r="F117" s="2">
        <f>B117-1.893552</f>
        <v>0.34901199999999988</v>
      </c>
      <c r="G117" s="2">
        <f>2.655904-B117</f>
        <v>0.41334000000000026</v>
      </c>
    </row>
    <row r="118" spans="1:7" x14ac:dyDescent="0.25">
      <c r="A118" s="36" t="s">
        <v>67</v>
      </c>
      <c r="B118" s="2">
        <v>1</v>
      </c>
      <c r="C118" s="2"/>
      <c r="D118" s="2"/>
      <c r="E118" s="2"/>
      <c r="F118" s="2">
        <v>0</v>
      </c>
      <c r="G118" s="2">
        <v>0</v>
      </c>
    </row>
    <row r="119" spans="1:7" x14ac:dyDescent="0.25">
      <c r="A119" s="36" t="s">
        <v>31</v>
      </c>
      <c r="B119" s="2">
        <v>1.3130029999999999</v>
      </c>
      <c r="C119" s="2">
        <v>8.3903500000000006E-2</v>
      </c>
      <c r="D119" s="2">
        <v>4.26</v>
      </c>
      <c r="E119" s="2">
        <v>0</v>
      </c>
      <c r="F119" s="2">
        <f>B119-1.158437</f>
        <v>0.15456599999999998</v>
      </c>
      <c r="G119" s="2">
        <f>1.488193-B119</f>
        <v>0.17519000000000018</v>
      </c>
    </row>
    <row r="120" spans="1:7" x14ac:dyDescent="0.25">
      <c r="A120" s="36" t="s">
        <v>32</v>
      </c>
      <c r="B120" s="2">
        <v>1.0071619999999999</v>
      </c>
      <c r="C120" s="2">
        <v>6.7935099999999998E-2</v>
      </c>
      <c r="D120" s="2">
        <v>0.11</v>
      </c>
      <c r="E120" s="2">
        <v>0.91600000000000004</v>
      </c>
      <c r="F120" s="2">
        <f>B120-0.8824376</f>
        <v>0.12472439999999985</v>
      </c>
      <c r="G120" s="2">
        <f>1.149515-B120</f>
        <v>0.14235300000000017</v>
      </c>
    </row>
    <row r="121" spans="1:7" x14ac:dyDescent="0.25">
      <c r="A121" s="36" t="s">
        <v>33</v>
      </c>
      <c r="B121" s="2">
        <v>1.861049</v>
      </c>
      <c r="C121" s="2">
        <v>0.16668240000000001</v>
      </c>
      <c r="D121" s="2">
        <v>6.94</v>
      </c>
      <c r="E121" s="2">
        <v>0</v>
      </c>
      <c r="F121" s="2">
        <f>B121-1.561424</f>
        <v>0.29962500000000003</v>
      </c>
      <c r="G121" s="2">
        <f>2.218168-B121</f>
        <v>0.35711899999999996</v>
      </c>
    </row>
    <row r="122" spans="1:7" x14ac:dyDescent="0.25">
      <c r="A122" s="36" t="s">
        <v>34</v>
      </c>
      <c r="B122" s="2">
        <v>4.0479800000000003E-2</v>
      </c>
      <c r="C122" s="2">
        <v>7.9687000000000004E-3</v>
      </c>
      <c r="D122" s="2">
        <v>-16.29</v>
      </c>
      <c r="E122" s="2">
        <v>0</v>
      </c>
      <c r="F122" s="2">
        <f>B122-0.0275216</f>
        <v>1.2958200000000003E-2</v>
      </c>
      <c r="G122" s="2">
        <f>0.0595392-B122</f>
        <v>1.9059399999999997E-2</v>
      </c>
    </row>
    <row r="123" spans="1:7" x14ac:dyDescent="0.25">
      <c r="A123" s="36" t="s">
        <v>35</v>
      </c>
      <c r="B123" s="2">
        <v>7.7890000000000001E-2</v>
      </c>
      <c r="C123" s="2">
        <v>1.5088000000000001E-2</v>
      </c>
      <c r="D123" s="2">
        <v>-13.18</v>
      </c>
      <c r="E123" s="2">
        <v>0</v>
      </c>
      <c r="F123" s="2">
        <f>B123-0.0532839</f>
        <v>2.4606099999999999E-2</v>
      </c>
      <c r="G123" s="2">
        <f>0.1138591-B123</f>
        <v>3.5969100000000004E-2</v>
      </c>
    </row>
    <row r="124" spans="1:7" x14ac:dyDescent="0.25">
      <c r="A124" s="36" t="s">
        <v>36</v>
      </c>
      <c r="B124" s="2">
        <v>6.4906000000000005E-2</v>
      </c>
      <c r="C124" s="2">
        <v>1.2818599999999999E-2</v>
      </c>
      <c r="D124" s="2">
        <v>-13.85</v>
      </c>
      <c r="E124" s="2">
        <v>0</v>
      </c>
      <c r="F124" s="2">
        <f>B124-0.0440735</f>
        <v>2.0832500000000004E-2</v>
      </c>
      <c r="G124" s="2">
        <f>0.0955856-B124</f>
        <v>3.0679600000000001E-2</v>
      </c>
    </row>
    <row r="125" spans="1:7" x14ac:dyDescent="0.25">
      <c r="A125" s="36" t="s">
        <v>37</v>
      </c>
      <c r="B125" s="2">
        <v>0.1209682</v>
      </c>
      <c r="C125" s="2">
        <v>3.4003800000000001E-2</v>
      </c>
      <c r="D125" s="2">
        <v>-7.51</v>
      </c>
      <c r="E125" s="2">
        <v>0</v>
      </c>
      <c r="F125" s="2">
        <f>B125-0.069727</f>
        <v>5.1241200000000001E-2</v>
      </c>
      <c r="G125" s="2">
        <f>0.2098657-B125</f>
        <v>8.889749999999999E-2</v>
      </c>
    </row>
    <row r="126" spans="1:7" x14ac:dyDescent="0.25">
      <c r="A126" s="36" t="s">
        <v>50</v>
      </c>
      <c r="B126" s="2">
        <v>6.5966999999999998E-2</v>
      </c>
      <c r="C126" s="2">
        <v>1.02842E-2</v>
      </c>
      <c r="D126" s="2">
        <v>-17.440000000000001</v>
      </c>
      <c r="E126" s="2">
        <v>0</v>
      </c>
      <c r="F126" s="2">
        <f>B126-0.0485987</f>
        <v>1.7368299999999996E-2</v>
      </c>
      <c r="G126" s="2">
        <f>0.0895424-B126</f>
        <v>2.3575399999999996E-2</v>
      </c>
    </row>
    <row r="127" spans="1:7" x14ac:dyDescent="0.25">
      <c r="A127" s="36" t="s">
        <v>51</v>
      </c>
      <c r="B127" s="2">
        <v>0.1418711</v>
      </c>
      <c r="C127" s="2">
        <v>2.1212999999999999E-2</v>
      </c>
      <c r="D127" s="2">
        <v>-13.06</v>
      </c>
      <c r="E127" s="2">
        <v>0</v>
      </c>
      <c r="F127" s="2">
        <f>B127-0.1058327</f>
        <v>3.6038399999999998E-2</v>
      </c>
      <c r="G127" s="2">
        <f>0.1901813-B127</f>
        <v>4.8310199999999998E-2</v>
      </c>
    </row>
    <row r="128" spans="1:7" x14ac:dyDescent="0.25">
      <c r="A128" s="36" t="s">
        <v>52</v>
      </c>
      <c r="B128" s="2">
        <v>0.14100270000000001</v>
      </c>
      <c r="C128" s="2">
        <v>1.89421E-2</v>
      </c>
      <c r="D128" s="2">
        <v>-14.58</v>
      </c>
      <c r="E128" s="2">
        <v>0</v>
      </c>
      <c r="F128" s="2">
        <f>B128-0.1083623</f>
        <v>3.2640400000000014E-2</v>
      </c>
      <c r="G128" s="2">
        <f>0.1834748-B128</f>
        <v>4.2472099999999985E-2</v>
      </c>
    </row>
    <row r="129" spans="1:10" x14ac:dyDescent="0.25">
      <c r="A129" s="36" t="s">
        <v>53</v>
      </c>
      <c r="B129" s="2">
        <v>0.29776780000000003</v>
      </c>
      <c r="C129" s="2">
        <v>5.60673E-2</v>
      </c>
      <c r="D129" s="2">
        <v>-6.43</v>
      </c>
      <c r="E129" s="2">
        <v>0</v>
      </c>
      <c r="F129" s="2">
        <f>B129-0.2058748</f>
        <v>9.189300000000003E-2</v>
      </c>
      <c r="G129" s="2">
        <f>0.4306775-B129</f>
        <v>0.13290969999999996</v>
      </c>
    </row>
    <row r="130" spans="1:10" x14ac:dyDescent="0.25">
      <c r="A130" s="36" t="s">
        <v>54</v>
      </c>
      <c r="B130" s="2">
        <v>0.2038981</v>
      </c>
      <c r="C130" s="2">
        <v>1.9365500000000001E-2</v>
      </c>
      <c r="D130" s="2">
        <v>-16.739999999999998</v>
      </c>
      <c r="E130" s="2">
        <v>0</v>
      </c>
      <c r="F130" s="2">
        <f>B130-0.1692657</f>
        <v>3.4632400000000008E-2</v>
      </c>
      <c r="G130" s="2">
        <f>0.2456164-B130</f>
        <v>4.1718300000000014E-2</v>
      </c>
    </row>
    <row r="131" spans="1:10" x14ac:dyDescent="0.25">
      <c r="A131" s="36" t="s">
        <v>55</v>
      </c>
      <c r="B131" s="2">
        <v>0.33937790000000001</v>
      </c>
      <c r="C131" s="2">
        <v>3.4901000000000001E-2</v>
      </c>
      <c r="D131" s="2">
        <v>-10.51</v>
      </c>
      <c r="E131" s="2">
        <v>0</v>
      </c>
      <c r="F131" s="2">
        <f>B131-0.2774262</f>
        <v>6.1951699999999998E-2</v>
      </c>
      <c r="G131" s="2">
        <f>0.415164-B131</f>
        <v>7.5786099999999967E-2</v>
      </c>
    </row>
    <row r="132" spans="1:10" x14ac:dyDescent="0.25">
      <c r="A132" s="36" t="s">
        <v>56</v>
      </c>
      <c r="B132" s="2">
        <v>0.4409131</v>
      </c>
      <c r="C132" s="2">
        <v>3.7934299999999997E-2</v>
      </c>
      <c r="D132" s="2">
        <v>-9.52</v>
      </c>
      <c r="E132" s="2">
        <v>0</v>
      </c>
      <c r="F132" s="2">
        <f>B132-0.372494</f>
        <v>6.841910000000001E-2</v>
      </c>
      <c r="G132" s="2">
        <f>0.5218992-B132</f>
        <v>8.0986100000000005E-2</v>
      </c>
    </row>
    <row r="133" spans="1:10" x14ac:dyDescent="0.25">
      <c r="A133" s="36" t="s">
        <v>57</v>
      </c>
      <c r="B133" s="2">
        <v>0.25124160000000001</v>
      </c>
      <c r="C133" s="2">
        <v>4.95991E-2</v>
      </c>
      <c r="D133" s="2">
        <v>-7</v>
      </c>
      <c r="E133" s="2">
        <v>0</v>
      </c>
      <c r="F133" s="2">
        <f>B133-0.1706281</f>
        <v>8.0613500000000005E-2</v>
      </c>
      <c r="G133" s="2">
        <f>0.369941-B133</f>
        <v>0.11869940000000001</v>
      </c>
    </row>
    <row r="134" spans="1:10" x14ac:dyDescent="0.25">
      <c r="A134" s="36" t="s">
        <v>58</v>
      </c>
      <c r="B134" s="2">
        <v>0.64467770000000002</v>
      </c>
      <c r="C134" s="2">
        <v>4.1224200000000003E-2</v>
      </c>
      <c r="D134" s="2">
        <v>-6.87</v>
      </c>
      <c r="E134" s="2">
        <v>0</v>
      </c>
      <c r="F134" s="2">
        <f>B134-0.5687378</f>
        <v>7.593990000000006E-2</v>
      </c>
      <c r="G134" s="2">
        <f>0.7307573-B134</f>
        <v>8.6079600000000034E-2</v>
      </c>
    </row>
    <row r="135" spans="1:10" x14ac:dyDescent="0.25">
      <c r="A135" s="36" t="s">
        <v>59</v>
      </c>
      <c r="B135" s="2">
        <v>1.1433139999999999</v>
      </c>
      <c r="C135" s="2">
        <v>7.5605500000000006E-2</v>
      </c>
      <c r="D135" s="2">
        <v>2.0299999999999998</v>
      </c>
      <c r="E135" s="2">
        <v>4.2999999999999997E-2</v>
      </c>
      <c r="F135" s="2">
        <f>B135-1.004331</f>
        <v>0.13898299999999986</v>
      </c>
      <c r="G135" s="2">
        <f>1.30153-B135</f>
        <v>0.15821600000000013</v>
      </c>
    </row>
    <row r="136" spans="1:10" x14ac:dyDescent="0.25">
      <c r="A136" s="36" t="s">
        <v>60</v>
      </c>
      <c r="B136" s="2">
        <v>1.553267</v>
      </c>
      <c r="C136" s="2">
        <v>9.5347500000000002E-2</v>
      </c>
      <c r="D136" s="2">
        <v>7.17</v>
      </c>
      <c r="E136" s="2">
        <v>0</v>
      </c>
      <c r="F136" s="2">
        <f>B136-1.377194</f>
        <v>0.17607299999999992</v>
      </c>
      <c r="G136" s="2">
        <f>1.751852-B136</f>
        <v>0.19858500000000001</v>
      </c>
    </row>
    <row r="137" spans="1:10" x14ac:dyDescent="0.25">
      <c r="A137" s="36" t="s">
        <v>61</v>
      </c>
      <c r="B137" s="2">
        <v>1.1445449999999999</v>
      </c>
      <c r="C137" s="2">
        <v>0.1186383</v>
      </c>
      <c r="D137" s="2">
        <v>1.3</v>
      </c>
      <c r="E137" s="2">
        <v>0.193</v>
      </c>
      <c r="F137" s="2">
        <f>B137-0.9341169</f>
        <v>0.2104280999999999</v>
      </c>
      <c r="G137" s="2">
        <f>1.402376-B137</f>
        <v>0.25783100000000014</v>
      </c>
    </row>
    <row r="138" spans="1:10" x14ac:dyDescent="0.25">
      <c r="A138" s="36"/>
      <c r="B138" s="3"/>
      <c r="C138" s="3"/>
      <c r="D138" s="3"/>
      <c r="E138" s="3"/>
      <c r="F138" s="3"/>
      <c r="G138" s="3"/>
    </row>
    <row r="139" spans="1:10" x14ac:dyDescent="0.25">
      <c r="A139" s="5" t="s">
        <v>6</v>
      </c>
      <c r="B139" s="6">
        <v>2.8547999999999998E-3</v>
      </c>
      <c r="C139" s="6">
        <v>1.6339999999999999E-4</v>
      </c>
      <c r="D139" s="6">
        <v>-102.34</v>
      </c>
      <c r="E139" s="6">
        <v>0</v>
      </c>
      <c r="F139" s="6">
        <v>2.5517999999999999E-3</v>
      </c>
      <c r="G139" s="6">
        <v>3.1938000000000001E-3</v>
      </c>
    </row>
    <row r="141" spans="1:10" ht="15.75" thickBot="1" x14ac:dyDescent="0.3"/>
    <row r="142" spans="1:10" x14ac:dyDescent="0.25">
      <c r="A142" s="10"/>
      <c r="B142" s="11" t="s">
        <v>9</v>
      </c>
      <c r="C142" s="11" t="s">
        <v>10</v>
      </c>
      <c r="D142" s="11" t="s">
        <v>40</v>
      </c>
      <c r="E142" s="11" t="s">
        <v>7</v>
      </c>
      <c r="F142" s="11" t="s">
        <v>8</v>
      </c>
      <c r="G142" s="11" t="s">
        <v>62</v>
      </c>
      <c r="H142" s="11" t="s">
        <v>63</v>
      </c>
      <c r="I142" s="11" t="s">
        <v>64</v>
      </c>
      <c r="J142" s="12" t="s">
        <v>65</v>
      </c>
    </row>
    <row r="143" spans="1:10" x14ac:dyDescent="0.25">
      <c r="A143" s="13" t="s">
        <v>12</v>
      </c>
      <c r="B143" s="14">
        <f>B102</f>
        <v>0.1244378</v>
      </c>
      <c r="C143" s="15">
        <f>B106</f>
        <v>0.20839579999999999</v>
      </c>
      <c r="D143" s="15">
        <f>B110</f>
        <v>0.3703148</v>
      </c>
      <c r="E143" s="15">
        <f>B114</f>
        <v>0.97151419999999999</v>
      </c>
      <c r="F143" s="15">
        <f>B118</f>
        <v>1</v>
      </c>
      <c r="G143" s="15">
        <f>B122</f>
        <v>4.0479800000000003E-2</v>
      </c>
      <c r="H143" s="16">
        <f>B126</f>
        <v>6.5966999999999998E-2</v>
      </c>
      <c r="I143" s="16">
        <f>B130</f>
        <v>0.2038981</v>
      </c>
      <c r="J143" s="17">
        <f>B134</f>
        <v>0.64467770000000002</v>
      </c>
    </row>
    <row r="144" spans="1:10" x14ac:dyDescent="0.25">
      <c r="A144" s="13" t="s">
        <v>13</v>
      </c>
      <c r="B144" s="15">
        <f>B103</f>
        <v>0.20863390000000001</v>
      </c>
      <c r="C144" s="15">
        <f>B107</f>
        <v>0.5953022</v>
      </c>
      <c r="D144" s="15">
        <f>B111</f>
        <v>0.56748430000000005</v>
      </c>
      <c r="E144" s="15">
        <f>B115</f>
        <v>1.880487</v>
      </c>
      <c r="F144" s="15">
        <f>B119</f>
        <v>1.3130029999999999</v>
      </c>
      <c r="G144" s="15">
        <f>B123</f>
        <v>7.7890000000000001E-2</v>
      </c>
      <c r="H144" s="16">
        <f>B127</f>
        <v>0.1418711</v>
      </c>
      <c r="I144" s="16">
        <f>B131</f>
        <v>0.33937790000000001</v>
      </c>
      <c r="J144" s="18">
        <f>B135</f>
        <v>1.1433139999999999</v>
      </c>
    </row>
    <row r="145" spans="1:10" x14ac:dyDescent="0.25">
      <c r="A145" s="13" t="s">
        <v>14</v>
      </c>
      <c r="B145" s="15">
        <f>B104</f>
        <v>0.42748419999999998</v>
      </c>
      <c r="C145" s="15">
        <f>B108</f>
        <v>0.56848690000000002</v>
      </c>
      <c r="D145" s="15">
        <f>B112</f>
        <v>0.74306159999999999</v>
      </c>
      <c r="E145" s="15">
        <f>B116</f>
        <v>2.0837059999999998</v>
      </c>
      <c r="F145" s="15">
        <f>B120</f>
        <v>1.0071619999999999</v>
      </c>
      <c r="G145" s="15">
        <f>B124</f>
        <v>6.4906000000000005E-2</v>
      </c>
      <c r="H145" s="16">
        <f>B128</f>
        <v>0.14100270000000001</v>
      </c>
      <c r="I145" s="16">
        <f>B132</f>
        <v>0.4409131</v>
      </c>
      <c r="J145" s="18">
        <f>B136</f>
        <v>1.553267</v>
      </c>
    </row>
    <row r="146" spans="1:10" ht="15.75" thickBot="1" x14ac:dyDescent="0.3">
      <c r="A146" s="19" t="s">
        <v>371</v>
      </c>
      <c r="B146" s="20">
        <f>B105</f>
        <v>0.24193629999999999</v>
      </c>
      <c r="C146" s="20">
        <f>B109</f>
        <v>0.62345130000000004</v>
      </c>
      <c r="D146" s="20">
        <f>B113</f>
        <v>0.58623029999999998</v>
      </c>
      <c r="E146" s="20">
        <f>B117</f>
        <v>2.2425639999999998</v>
      </c>
      <c r="F146" s="20">
        <f>B121</f>
        <v>1.861049</v>
      </c>
      <c r="G146" s="20">
        <f>B125</f>
        <v>0.1209682</v>
      </c>
      <c r="H146" s="21">
        <f>B129</f>
        <v>0.29776780000000003</v>
      </c>
      <c r="I146" s="21">
        <f>B133</f>
        <v>0.25124160000000001</v>
      </c>
      <c r="J146" s="22">
        <f>B137</f>
        <v>1.1445449999999999</v>
      </c>
    </row>
    <row r="164" spans="1:7" s="1" customFormat="1" x14ac:dyDescent="0.25">
      <c r="A164" s="1" t="s">
        <v>90</v>
      </c>
    </row>
    <row r="166" spans="1:7" x14ac:dyDescent="0.25">
      <c r="A166" s="36"/>
      <c r="B166" s="2" t="s">
        <v>1</v>
      </c>
      <c r="C166" s="3"/>
      <c r="D166" s="3"/>
      <c r="E166" s="3"/>
      <c r="F166" s="3"/>
      <c r="G166" s="3"/>
    </row>
    <row r="167" spans="1:7" x14ac:dyDescent="0.25">
      <c r="A167" s="5" t="s">
        <v>2</v>
      </c>
      <c r="B167" s="6" t="s">
        <v>269</v>
      </c>
      <c r="C167" s="6" t="s">
        <v>270</v>
      </c>
      <c r="D167" s="6" t="s">
        <v>3</v>
      </c>
      <c r="E167" s="6" t="s">
        <v>4</v>
      </c>
      <c r="F167" s="6" t="s">
        <v>271</v>
      </c>
      <c r="G167" s="6" t="s">
        <v>272</v>
      </c>
    </row>
    <row r="168" spans="1:7" x14ac:dyDescent="0.25">
      <c r="A168" s="36"/>
      <c r="B168" s="2"/>
      <c r="C168" s="2"/>
      <c r="D168" s="3"/>
      <c r="E168" s="3"/>
      <c r="F168" s="3"/>
      <c r="G168" s="3"/>
    </row>
    <row r="169" spans="1:7" x14ac:dyDescent="0.25">
      <c r="A169" s="36" t="s">
        <v>74</v>
      </c>
      <c r="B169" s="3"/>
      <c r="C169" s="3"/>
      <c r="D169" s="3"/>
      <c r="E169" s="3"/>
      <c r="F169" s="3"/>
      <c r="G169" s="3"/>
    </row>
    <row r="170" spans="1:7" x14ac:dyDescent="0.25">
      <c r="A170" s="36" t="s">
        <v>75</v>
      </c>
      <c r="B170" s="2">
        <v>0.76755890000000004</v>
      </c>
      <c r="C170" s="2">
        <v>2.4412400000000001E-2</v>
      </c>
      <c r="D170" s="2">
        <v>-8.32</v>
      </c>
      <c r="E170" s="2">
        <v>0</v>
      </c>
      <c r="F170" s="2">
        <v>0.72117229999999999</v>
      </c>
      <c r="G170" s="2">
        <v>0.81692909999999996</v>
      </c>
    </row>
    <row r="171" spans="1:7" x14ac:dyDescent="0.25">
      <c r="A171" s="36" t="s">
        <v>76</v>
      </c>
      <c r="B171" s="2">
        <v>0.65357050000000005</v>
      </c>
      <c r="C171" s="2">
        <v>2.5804400000000002E-2</v>
      </c>
      <c r="D171" s="2">
        <v>-10.77</v>
      </c>
      <c r="E171" s="2">
        <v>0</v>
      </c>
      <c r="F171" s="2">
        <v>0.6049021</v>
      </c>
      <c r="G171" s="2">
        <v>0.70615450000000002</v>
      </c>
    </row>
    <row r="172" spans="1:7" x14ac:dyDescent="0.25">
      <c r="A172" s="36" t="s">
        <v>77</v>
      </c>
      <c r="B172" s="2">
        <v>0.50482419999999995</v>
      </c>
      <c r="C172" s="2">
        <v>2.2420800000000001E-2</v>
      </c>
      <c r="D172" s="2">
        <v>-15.39</v>
      </c>
      <c r="E172" s="2">
        <v>0</v>
      </c>
      <c r="F172" s="2">
        <v>0.4627385</v>
      </c>
      <c r="G172" s="2">
        <v>0.55073760000000005</v>
      </c>
    </row>
    <row r="173" spans="1:7" x14ac:dyDescent="0.25">
      <c r="A173" s="36" t="s">
        <v>78</v>
      </c>
      <c r="B173" s="2">
        <v>0.41298649999999998</v>
      </c>
      <c r="C173" s="2">
        <v>1.9962899999999999E-2</v>
      </c>
      <c r="D173" s="2">
        <v>-18.29</v>
      </c>
      <c r="E173" s="2">
        <v>0</v>
      </c>
      <c r="F173" s="2">
        <v>0.3756562</v>
      </c>
      <c r="G173" s="2">
        <v>0.4540264</v>
      </c>
    </row>
    <row r="174" spans="1:7" x14ac:dyDescent="0.25">
      <c r="A174" s="36" t="s">
        <v>79</v>
      </c>
      <c r="B174" s="2">
        <v>0.37108930000000001</v>
      </c>
      <c r="C174" s="2">
        <v>2.08746E-2</v>
      </c>
      <c r="D174" s="2">
        <v>-17.62</v>
      </c>
      <c r="E174" s="2">
        <v>0</v>
      </c>
      <c r="F174" s="2">
        <v>0.3323506</v>
      </c>
      <c r="G174" s="2">
        <v>0.41434330000000003</v>
      </c>
    </row>
    <row r="175" spans="1:7" x14ac:dyDescent="0.25">
      <c r="A175" s="36" t="s">
        <v>80</v>
      </c>
      <c r="B175" s="2">
        <v>0.3485741</v>
      </c>
      <c r="C175" s="2">
        <v>2.2231799999999999E-2</v>
      </c>
      <c r="D175" s="2">
        <v>-16.52</v>
      </c>
      <c r="E175" s="2">
        <v>0</v>
      </c>
      <c r="F175" s="2">
        <v>0.3076139</v>
      </c>
      <c r="G175" s="2">
        <v>0.39498820000000001</v>
      </c>
    </row>
    <row r="176" spans="1:7" x14ac:dyDescent="0.25">
      <c r="A176" s="36" t="s">
        <v>86</v>
      </c>
      <c r="B176" s="2">
        <v>0.2738949</v>
      </c>
      <c r="C176" s="2">
        <v>2.22481E-2</v>
      </c>
      <c r="D176" s="2">
        <v>-15.94</v>
      </c>
      <c r="E176" s="2">
        <v>0</v>
      </c>
      <c r="F176" s="2">
        <v>0.2335835</v>
      </c>
      <c r="G176" s="2">
        <v>0.32116329999999998</v>
      </c>
    </row>
    <row r="177" spans="1:7" x14ac:dyDescent="0.25">
      <c r="A177" s="36" t="s">
        <v>87</v>
      </c>
      <c r="B177" s="2">
        <v>0.16648160000000001</v>
      </c>
      <c r="C177" s="2">
        <v>1.7527899999999999E-2</v>
      </c>
      <c r="D177" s="2">
        <v>-17.03</v>
      </c>
      <c r="E177" s="2">
        <v>0</v>
      </c>
      <c r="F177" s="2">
        <v>0.13544030000000001</v>
      </c>
      <c r="G177" s="2">
        <v>0.20463709999999999</v>
      </c>
    </row>
    <row r="178" spans="1:7" x14ac:dyDescent="0.25">
      <c r="A178" s="36" t="s">
        <v>88</v>
      </c>
      <c r="B178" s="2">
        <v>5.6108699999999997E-2</v>
      </c>
      <c r="C178" s="2">
        <v>1.4071800000000001E-2</v>
      </c>
      <c r="D178" s="2">
        <v>-11.49</v>
      </c>
      <c r="E178" s="2">
        <v>0</v>
      </c>
      <c r="F178" s="2">
        <v>3.4320400000000001E-2</v>
      </c>
      <c r="G178" s="2">
        <v>9.17293E-2</v>
      </c>
    </row>
    <row r="179" spans="1:7" x14ac:dyDescent="0.25">
      <c r="A179" s="36"/>
      <c r="B179" s="3"/>
      <c r="C179" s="3"/>
      <c r="D179" s="3"/>
      <c r="E179" s="3"/>
      <c r="F179" s="3"/>
      <c r="G179" s="3"/>
    </row>
    <row r="180" spans="1:7" x14ac:dyDescent="0.25">
      <c r="A180" s="36" t="s">
        <v>113</v>
      </c>
      <c r="B180" s="3"/>
      <c r="C180" s="3"/>
      <c r="D180" s="3"/>
      <c r="E180" s="3"/>
      <c r="F180" s="3"/>
      <c r="G180" s="3"/>
    </row>
    <row r="181" spans="1:7" x14ac:dyDescent="0.25">
      <c r="A181" s="36">
        <v>2</v>
      </c>
      <c r="B181" s="2">
        <v>0.97395710000000002</v>
      </c>
      <c r="C181" s="2">
        <v>2.36203E-2</v>
      </c>
      <c r="D181" s="2">
        <v>-1.0900000000000001</v>
      </c>
      <c r="E181" s="2">
        <v>0.27700000000000002</v>
      </c>
      <c r="F181" s="2">
        <v>0.9287453</v>
      </c>
      <c r="G181" s="2">
        <v>1.0213699999999999</v>
      </c>
    </row>
    <row r="182" spans="1:7" x14ac:dyDescent="0.25">
      <c r="A182" s="36">
        <v>3</v>
      </c>
      <c r="B182" s="2">
        <v>1.390336</v>
      </c>
      <c r="C182" s="2">
        <v>8.5323200000000002E-2</v>
      </c>
      <c r="D182" s="2">
        <v>5.37</v>
      </c>
      <c r="E182" s="2">
        <v>0</v>
      </c>
      <c r="F182" s="2">
        <v>1.2327710000000001</v>
      </c>
      <c r="G182" s="2">
        <v>1.568039</v>
      </c>
    </row>
    <row r="183" spans="1:7" x14ac:dyDescent="0.25">
      <c r="A183" s="36"/>
      <c r="B183" s="3"/>
      <c r="C183" s="3"/>
      <c r="D183" s="3"/>
      <c r="E183" s="3"/>
      <c r="F183" s="3"/>
      <c r="G183" s="3"/>
    </row>
    <row r="184" spans="1:7" x14ac:dyDescent="0.25">
      <c r="A184" s="36" t="s">
        <v>108</v>
      </c>
      <c r="B184" s="3"/>
      <c r="C184" s="3"/>
      <c r="D184" s="3"/>
      <c r="E184" s="3"/>
      <c r="F184" s="3"/>
      <c r="G184" s="3"/>
    </row>
    <row r="185" spans="1:7" x14ac:dyDescent="0.25">
      <c r="A185" s="36">
        <v>2</v>
      </c>
      <c r="B185" s="2">
        <v>1.1116839999999999</v>
      </c>
      <c r="C185" s="2">
        <v>3.0712900000000001E-2</v>
      </c>
      <c r="D185" s="2">
        <v>3.83</v>
      </c>
      <c r="E185" s="2">
        <v>0</v>
      </c>
      <c r="F185" s="2">
        <v>1.0530889999999999</v>
      </c>
      <c r="G185" s="2">
        <v>1.17354</v>
      </c>
    </row>
    <row r="186" spans="1:7" x14ac:dyDescent="0.25">
      <c r="A186" s="36" t="s">
        <v>109</v>
      </c>
      <c r="B186" s="2">
        <v>1.074106</v>
      </c>
      <c r="C186" s="2">
        <v>4.8415800000000002E-2</v>
      </c>
      <c r="D186" s="2">
        <v>1.59</v>
      </c>
      <c r="E186" s="2">
        <v>0.113</v>
      </c>
      <c r="F186" s="2">
        <v>0.98328369999999998</v>
      </c>
      <c r="G186" s="2">
        <v>1.1733169999999999</v>
      </c>
    </row>
    <row r="187" spans="1:7" x14ac:dyDescent="0.25">
      <c r="A187" s="36"/>
      <c r="B187" s="3"/>
      <c r="C187" s="3"/>
      <c r="D187" s="3"/>
      <c r="E187" s="3"/>
      <c r="F187" s="3"/>
      <c r="G187" s="3"/>
    </row>
    <row r="188" spans="1:7" x14ac:dyDescent="0.25">
      <c r="A188" s="36" t="s">
        <v>84</v>
      </c>
      <c r="B188" s="3"/>
      <c r="C188" s="3"/>
      <c r="D188" s="3"/>
      <c r="E188" s="3"/>
      <c r="F188" s="3"/>
      <c r="G188" s="3"/>
    </row>
    <row r="189" spans="1:7" x14ac:dyDescent="0.25">
      <c r="A189" s="38" t="s">
        <v>315</v>
      </c>
      <c r="B189" s="2">
        <v>1.1872130000000001</v>
      </c>
      <c r="C189" s="2">
        <v>3.6678799999999998E-2</v>
      </c>
      <c r="D189" s="2">
        <v>5.55</v>
      </c>
      <c r="E189" s="2">
        <v>0</v>
      </c>
      <c r="F189" s="2">
        <v>1.1174569999999999</v>
      </c>
      <c r="G189" s="2">
        <v>1.261323</v>
      </c>
    </row>
    <row r="190" spans="1:7" x14ac:dyDescent="0.25">
      <c r="A190" s="38" t="s">
        <v>316</v>
      </c>
      <c r="B190" s="2">
        <v>0.96285600000000005</v>
      </c>
      <c r="C190" s="2">
        <v>3.62279E-2</v>
      </c>
      <c r="D190" s="2">
        <v>-1.01</v>
      </c>
      <c r="E190" s="2">
        <v>0.314</v>
      </c>
      <c r="F190" s="2">
        <v>0.89440560000000002</v>
      </c>
      <c r="G190" s="2">
        <v>1.036545</v>
      </c>
    </row>
    <row r="191" spans="1:7" x14ac:dyDescent="0.25">
      <c r="A191" s="38" t="s">
        <v>317</v>
      </c>
      <c r="B191" s="2">
        <v>0.86614910000000001</v>
      </c>
      <c r="C191" s="2">
        <v>3.3819599999999998E-2</v>
      </c>
      <c r="D191" s="2">
        <v>-3.68</v>
      </c>
      <c r="E191" s="2">
        <v>0</v>
      </c>
      <c r="F191" s="2">
        <v>0.80233690000000002</v>
      </c>
      <c r="G191" s="2">
        <v>0.9350366</v>
      </c>
    </row>
    <row r="192" spans="1:7" x14ac:dyDescent="0.25">
      <c r="A192" s="38" t="s">
        <v>82</v>
      </c>
      <c r="B192" s="2">
        <v>1.1419969999999999</v>
      </c>
      <c r="C192" s="2">
        <v>4.62382E-2</v>
      </c>
      <c r="D192" s="2">
        <v>3.28</v>
      </c>
      <c r="E192" s="2">
        <v>1E-3</v>
      </c>
      <c r="F192" s="2">
        <v>1.0548740000000001</v>
      </c>
      <c r="G192" s="2">
        <v>1.2363150000000001</v>
      </c>
    </row>
    <row r="193" spans="1:7" x14ac:dyDescent="0.25">
      <c r="A193" s="36"/>
      <c r="B193" s="3"/>
      <c r="C193" s="3"/>
      <c r="D193" s="3"/>
      <c r="E193" s="3"/>
      <c r="F193" s="3"/>
      <c r="G193" s="3"/>
    </row>
    <row r="194" spans="1:7" x14ac:dyDescent="0.25">
      <c r="A194" s="36" t="s">
        <v>98</v>
      </c>
      <c r="B194" s="3"/>
      <c r="C194" s="3"/>
      <c r="D194" s="3"/>
      <c r="E194" s="3"/>
      <c r="F194" s="3"/>
      <c r="G194" s="3"/>
    </row>
    <row r="195" spans="1:7" x14ac:dyDescent="0.25">
      <c r="A195" s="36" t="s">
        <v>117</v>
      </c>
      <c r="B195" s="2">
        <v>0.2412791</v>
      </c>
      <c r="C195" s="2">
        <v>3.0114100000000001E-2</v>
      </c>
      <c r="D195" s="2">
        <v>-11.39</v>
      </c>
      <c r="E195" s="2">
        <v>0</v>
      </c>
      <c r="F195" s="2">
        <f>B195-0.1889213</f>
        <v>5.235780000000001E-2</v>
      </c>
      <c r="G195" s="2">
        <f>0.3081474-B195</f>
        <v>6.6868300000000019E-2</v>
      </c>
    </row>
    <row r="196" spans="1:7" x14ac:dyDescent="0.25">
      <c r="A196" s="36" t="s">
        <v>118</v>
      </c>
      <c r="B196" s="2">
        <v>0.43093540000000002</v>
      </c>
      <c r="C196" s="2">
        <v>5.2307899999999997E-2</v>
      </c>
      <c r="D196" s="2">
        <v>-6.94</v>
      </c>
      <c r="E196" s="2">
        <v>0</v>
      </c>
      <c r="F196" s="2">
        <f>B196-0.3396967</f>
        <v>9.1238700000000006E-2</v>
      </c>
      <c r="G196" s="2">
        <f>0.5466797-B196</f>
        <v>0.11574429999999997</v>
      </c>
    </row>
    <row r="197" spans="1:7" x14ac:dyDescent="0.25">
      <c r="A197" s="36" t="s">
        <v>119</v>
      </c>
      <c r="B197" s="2">
        <v>0.65988369999999996</v>
      </c>
      <c r="C197" s="2">
        <v>5.9396299999999999E-2</v>
      </c>
      <c r="D197" s="2">
        <v>-4.62</v>
      </c>
      <c r="E197" s="2">
        <v>0</v>
      </c>
      <c r="F197" s="2">
        <f>B197-0.5531598</f>
        <v>0.10672389999999998</v>
      </c>
      <c r="G197" s="2">
        <f>0.7871985-B197</f>
        <v>0.12731480000000006</v>
      </c>
    </row>
    <row r="198" spans="1:7" x14ac:dyDescent="0.25">
      <c r="A198" s="36" t="s">
        <v>120</v>
      </c>
      <c r="B198" s="2">
        <v>0.86655490000000002</v>
      </c>
      <c r="C198" s="2">
        <v>8.4524100000000005E-2</v>
      </c>
      <c r="D198" s="2">
        <v>-1.47</v>
      </c>
      <c r="E198" s="2">
        <v>0.14199999999999999</v>
      </c>
      <c r="F198" s="2">
        <f>B198-0.7157634</f>
        <v>0.15079149999999997</v>
      </c>
      <c r="G198" s="2">
        <f>1.049114-B198</f>
        <v>0.18255910000000009</v>
      </c>
    </row>
    <row r="199" spans="1:7" x14ac:dyDescent="0.25">
      <c r="A199" s="36" t="s">
        <v>121</v>
      </c>
      <c r="B199" s="2">
        <v>1.145349</v>
      </c>
      <c r="C199" s="2">
        <v>9.0323299999999995E-2</v>
      </c>
      <c r="D199" s="2">
        <v>1.72</v>
      </c>
      <c r="E199" s="2">
        <v>8.5000000000000006E-2</v>
      </c>
      <c r="F199" s="2">
        <f>B199-0.9813212</f>
        <v>0.16402779999999995</v>
      </c>
      <c r="G199" s="2">
        <f>1.336794-B199</f>
        <v>0.19144500000000009</v>
      </c>
    </row>
    <row r="200" spans="1:7" x14ac:dyDescent="0.25">
      <c r="A200" s="36" t="s">
        <v>122</v>
      </c>
      <c r="B200" s="2">
        <v>1.6487959999999999</v>
      </c>
      <c r="C200" s="2">
        <v>0.13738700000000001</v>
      </c>
      <c r="D200" s="2">
        <v>6</v>
      </c>
      <c r="E200" s="2">
        <v>0</v>
      </c>
      <c r="F200" s="2">
        <f>B200-1.400361</f>
        <v>0.24843499999999996</v>
      </c>
      <c r="G200" s="2">
        <f>1.941306-B200</f>
        <v>0.29251000000000005</v>
      </c>
    </row>
    <row r="201" spans="1:7" x14ac:dyDescent="0.25">
      <c r="A201" s="36" t="s">
        <v>123</v>
      </c>
      <c r="B201" s="2">
        <v>2.372093</v>
      </c>
      <c r="C201" s="2">
        <v>0.16917289999999999</v>
      </c>
      <c r="D201" s="2">
        <v>12.11</v>
      </c>
      <c r="E201" s="2">
        <v>0</v>
      </c>
      <c r="F201" s="2">
        <f>B201-2.062651</f>
        <v>0.30944200000000022</v>
      </c>
      <c r="G201" s="2">
        <f>2.727958-B201</f>
        <v>0.3558650000000001</v>
      </c>
    </row>
    <row r="202" spans="1:7" x14ac:dyDescent="0.25">
      <c r="A202" s="36" t="s">
        <v>124</v>
      </c>
      <c r="B202" s="2">
        <v>3.3819059999999999</v>
      </c>
      <c r="C202" s="2">
        <v>0.25186029999999998</v>
      </c>
      <c r="D202" s="2">
        <v>16.36</v>
      </c>
      <c r="E202" s="2">
        <v>0</v>
      </c>
      <c r="F202" s="2">
        <f>B202-2.922605</f>
        <v>0.45930099999999996</v>
      </c>
      <c r="G202" s="2">
        <f>3.913389-B202</f>
        <v>0.53148300000000015</v>
      </c>
    </row>
    <row r="203" spans="1:7" x14ac:dyDescent="0.25">
      <c r="A203" s="36" t="s">
        <v>153</v>
      </c>
      <c r="B203" s="2">
        <v>1</v>
      </c>
      <c r="C203" s="2"/>
      <c r="D203" s="2"/>
      <c r="E203" s="2"/>
      <c r="F203" s="2">
        <v>0</v>
      </c>
      <c r="G203" s="2">
        <v>0</v>
      </c>
    </row>
    <row r="204" spans="1:7" x14ac:dyDescent="0.25">
      <c r="A204" s="36" t="s">
        <v>125</v>
      </c>
      <c r="B204" s="2">
        <v>0.99302500000000005</v>
      </c>
      <c r="C204" s="2">
        <v>9.5253400000000002E-2</v>
      </c>
      <c r="D204" s="2">
        <v>-7.0000000000000007E-2</v>
      </c>
      <c r="E204" s="2">
        <v>0.94199999999999995</v>
      </c>
      <c r="F204" s="2">
        <f>B204-0.8228313</f>
        <v>0.1701937</v>
      </c>
      <c r="G204" s="2">
        <f>1.198421-B204</f>
        <v>0.20539599999999991</v>
      </c>
    </row>
    <row r="205" spans="1:7" x14ac:dyDescent="0.25">
      <c r="A205" s="36" t="s">
        <v>126</v>
      </c>
      <c r="B205" s="2">
        <v>0.1104651</v>
      </c>
      <c r="C205" s="2">
        <v>1.89328E-2</v>
      </c>
      <c r="D205" s="2">
        <v>-12.85</v>
      </c>
      <c r="E205" s="2">
        <v>0</v>
      </c>
      <c r="F205" s="2">
        <f>B205-0.0789471</f>
        <v>3.151799999999999E-2</v>
      </c>
      <c r="G205" s="2">
        <f>0.154566-B205</f>
        <v>4.4100900000000012E-2</v>
      </c>
    </row>
    <row r="206" spans="1:7" x14ac:dyDescent="0.25">
      <c r="A206" s="36" t="s">
        <v>127</v>
      </c>
      <c r="B206" s="2">
        <v>0.1311543</v>
      </c>
      <c r="C206" s="2">
        <v>2.68252E-2</v>
      </c>
      <c r="D206" s="2">
        <v>-9.93</v>
      </c>
      <c r="E206" s="2">
        <v>0</v>
      </c>
      <c r="F206" s="2">
        <f>B206-0.0878384</f>
        <v>4.3315900000000004E-2</v>
      </c>
      <c r="G206" s="2">
        <f>0.1958304-B206</f>
        <v>6.4676099999999986E-2</v>
      </c>
    </row>
    <row r="207" spans="1:7" x14ac:dyDescent="0.25">
      <c r="A207" s="36" t="s">
        <v>128</v>
      </c>
      <c r="B207" s="2">
        <v>0.1656977</v>
      </c>
      <c r="C207" s="2">
        <v>2.4194E-2</v>
      </c>
      <c r="D207" s="2">
        <v>-12.31</v>
      </c>
      <c r="E207" s="2">
        <v>0</v>
      </c>
      <c r="F207" s="2">
        <f>B207-0.1244601</f>
        <v>4.1237599999999999E-2</v>
      </c>
      <c r="G207" s="2">
        <f>0.2205986-B207</f>
        <v>5.4900900000000002E-2</v>
      </c>
    </row>
    <row r="208" spans="1:7" x14ac:dyDescent="0.25">
      <c r="A208" s="36" t="s">
        <v>129</v>
      </c>
      <c r="B208" s="2">
        <v>0.27636070000000001</v>
      </c>
      <c r="C208" s="2">
        <v>4.1236799999999997E-2</v>
      </c>
      <c r="D208" s="2">
        <v>-8.6199999999999992</v>
      </c>
      <c r="E208" s="2">
        <v>0</v>
      </c>
      <c r="F208" s="2">
        <f>B208-0.2062839</f>
        <v>7.0076800000000022E-2</v>
      </c>
      <c r="G208" s="2">
        <f>0.3702434-B208</f>
        <v>9.3882699999999986E-2</v>
      </c>
    </row>
    <row r="209" spans="1:7" x14ac:dyDescent="0.25">
      <c r="A209" s="36" t="s">
        <v>130</v>
      </c>
      <c r="B209" s="2">
        <v>0.66279069999999995</v>
      </c>
      <c r="C209" s="2">
        <v>6.00966E-2</v>
      </c>
      <c r="D209" s="2">
        <v>-4.54</v>
      </c>
      <c r="E209" s="2">
        <v>0</v>
      </c>
      <c r="F209" s="2">
        <f>B209-0.5548764</f>
        <v>0.10791429999999991</v>
      </c>
      <c r="G209" s="2">
        <f>0.7916926-B209</f>
        <v>0.12890190000000001</v>
      </c>
    </row>
    <row r="210" spans="1:7" x14ac:dyDescent="0.25">
      <c r="A210" s="36" t="s">
        <v>131</v>
      </c>
      <c r="B210" s="2">
        <v>0.93213199999999996</v>
      </c>
      <c r="C210" s="2">
        <v>8.7722099999999997E-2</v>
      </c>
      <c r="D210" s="2">
        <v>-0.75</v>
      </c>
      <c r="E210" s="2">
        <v>0.45500000000000002</v>
      </c>
      <c r="F210" s="2">
        <f>B210-0.7751248</f>
        <v>0.15700720000000001</v>
      </c>
      <c r="G210" s="2">
        <f>1.120942-B210</f>
        <v>0.18881000000000014</v>
      </c>
    </row>
    <row r="211" spans="1:7" x14ac:dyDescent="0.25">
      <c r="A211" s="36" t="s">
        <v>132</v>
      </c>
      <c r="B211" s="2">
        <v>1.502907</v>
      </c>
      <c r="C211" s="2">
        <v>0.1124878</v>
      </c>
      <c r="D211" s="2">
        <v>5.44</v>
      </c>
      <c r="E211" s="2">
        <v>0</v>
      </c>
      <c r="F211" s="2">
        <f>B211-1.297844</f>
        <v>0.205063</v>
      </c>
      <c r="G211" s="2">
        <f>1.740371-B211</f>
        <v>0.2374639999999999</v>
      </c>
    </row>
    <row r="212" spans="1:7" x14ac:dyDescent="0.25">
      <c r="A212" s="36" t="s">
        <v>133</v>
      </c>
      <c r="B212" s="2">
        <v>2.534087</v>
      </c>
      <c r="C212" s="2">
        <v>0.1957342</v>
      </c>
      <c r="D212" s="2">
        <v>12.04</v>
      </c>
      <c r="E212" s="2">
        <v>0</v>
      </c>
      <c r="F212" s="2">
        <f>B212-2.178083</f>
        <v>0.35600399999999999</v>
      </c>
      <c r="G212" s="2">
        <f>2.948281-B212</f>
        <v>0.41419400000000017</v>
      </c>
    </row>
    <row r="213" spans="1:7" x14ac:dyDescent="0.25">
      <c r="A213" s="36" t="s">
        <v>134</v>
      </c>
      <c r="B213" s="2">
        <v>0.33779940000000003</v>
      </c>
      <c r="C213" s="2">
        <v>4.2854200000000002E-2</v>
      </c>
      <c r="D213" s="2">
        <v>-8.5500000000000007</v>
      </c>
      <c r="E213" s="2">
        <v>0</v>
      </c>
      <c r="F213" s="2">
        <f>B213-0.2634347</f>
        <v>7.4364700000000006E-2</v>
      </c>
      <c r="G213" s="2">
        <f>0.4331564-B213</f>
        <v>9.535699999999997E-2</v>
      </c>
    </row>
    <row r="214" spans="1:7" x14ac:dyDescent="0.25">
      <c r="A214" s="36" t="s">
        <v>135</v>
      </c>
      <c r="B214" s="2">
        <v>0.98609170000000002</v>
      </c>
      <c r="C214" s="2">
        <v>0.1097466</v>
      </c>
      <c r="D214" s="2">
        <v>-0.13</v>
      </c>
      <c r="E214" s="2">
        <v>0.9</v>
      </c>
      <c r="F214" s="2">
        <f>B214-0.7928359</f>
        <v>0.19325579999999998</v>
      </c>
      <c r="G214" s="2">
        <f>1.226454-B214</f>
        <v>0.24036229999999992</v>
      </c>
    </row>
    <row r="215" spans="1:7" x14ac:dyDescent="0.25">
      <c r="A215" s="36" t="s">
        <v>136</v>
      </c>
      <c r="B215" s="2">
        <v>0.56750299999999998</v>
      </c>
      <c r="C215" s="2">
        <v>6.1710099999999997E-2</v>
      </c>
      <c r="D215" s="2">
        <v>-5.21</v>
      </c>
      <c r="E215" s="2">
        <v>0</v>
      </c>
      <c r="F215" s="2">
        <f>B215-0.4585733</f>
        <v>0.10892969999999996</v>
      </c>
      <c r="G215" s="2">
        <f>0.702308-B215</f>
        <v>0.13480500000000006</v>
      </c>
    </row>
    <row r="216" spans="1:7" x14ac:dyDescent="0.25">
      <c r="A216" s="36" t="s">
        <v>137</v>
      </c>
      <c r="B216" s="2">
        <v>1.0728679999999999</v>
      </c>
      <c r="C216" s="2">
        <v>0.1130043</v>
      </c>
      <c r="D216" s="2">
        <v>0.67</v>
      </c>
      <c r="E216" s="2">
        <v>0.504</v>
      </c>
      <c r="F216" s="2">
        <f>B216-0.87275</f>
        <v>0.20011799999999991</v>
      </c>
      <c r="G216" s="2">
        <f>1.318872-B216</f>
        <v>0.24600400000000011</v>
      </c>
    </row>
    <row r="217" spans="1:7" x14ac:dyDescent="0.25">
      <c r="A217" s="36" t="s">
        <v>138</v>
      </c>
      <c r="B217" s="2">
        <v>0.2567276</v>
      </c>
      <c r="C217" s="2">
        <v>3.7279600000000003E-2</v>
      </c>
      <c r="D217" s="2">
        <v>-9.36</v>
      </c>
      <c r="E217" s="2">
        <v>0</v>
      </c>
      <c r="F217" s="2">
        <f>B217-0.1931385</f>
        <v>6.358910000000001E-2</v>
      </c>
      <c r="G217" s="2">
        <f>0.3412528-B217</f>
        <v>8.4525200000000023E-2</v>
      </c>
    </row>
    <row r="218" spans="1:7" x14ac:dyDescent="0.25">
      <c r="A218" s="36" t="s">
        <v>139</v>
      </c>
      <c r="B218" s="2">
        <v>0.33921560000000001</v>
      </c>
      <c r="C218" s="2">
        <v>5.5495200000000001E-2</v>
      </c>
      <c r="D218" s="2">
        <v>-6.61</v>
      </c>
      <c r="E218" s="2">
        <v>0</v>
      </c>
      <c r="F218" s="2">
        <f>B218-0.2461616</f>
        <v>9.3053999999999998E-2</v>
      </c>
      <c r="G218" s="2">
        <f>0.4674458-B218</f>
        <v>0.12823020000000002</v>
      </c>
    </row>
    <row r="219" spans="1:7" x14ac:dyDescent="0.25">
      <c r="A219" s="36" t="s">
        <v>140</v>
      </c>
      <c r="B219" s="2">
        <v>2.2880280000000002</v>
      </c>
      <c r="C219" s="2">
        <v>0.17535410000000001</v>
      </c>
      <c r="D219" s="2">
        <v>10.8</v>
      </c>
      <c r="E219" s="2">
        <v>0</v>
      </c>
      <c r="F219" s="2">
        <f>B219-1.968908</f>
        <v>0.31912000000000007</v>
      </c>
      <c r="G219" s="2">
        <f>2.658871-B219</f>
        <v>0.37084299999999981</v>
      </c>
    </row>
    <row r="220" spans="1:7" x14ac:dyDescent="0.25">
      <c r="A220" s="36" t="s">
        <v>141</v>
      </c>
      <c r="B220" s="2">
        <v>3.5499299999999998</v>
      </c>
      <c r="C220" s="2">
        <v>0.28627360000000002</v>
      </c>
      <c r="D220" s="2">
        <v>15.71</v>
      </c>
      <c r="E220" s="2">
        <v>0</v>
      </c>
      <c r="F220" s="2">
        <f>B220-3.030939</f>
        <v>0.51899099999999976</v>
      </c>
      <c r="G220" s="2">
        <f>4.157789-B220</f>
        <v>0.60785900000000037</v>
      </c>
    </row>
    <row r="221" spans="1:7" x14ac:dyDescent="0.25">
      <c r="A221" s="36" t="s">
        <v>142</v>
      </c>
      <c r="B221" s="2">
        <v>3.5806740000000001</v>
      </c>
      <c r="C221" s="2">
        <v>0.25121890000000002</v>
      </c>
      <c r="D221" s="2">
        <v>18.18</v>
      </c>
      <c r="E221" s="2">
        <v>0</v>
      </c>
      <c r="F221" s="2">
        <f>B221-3.120648</f>
        <v>0.46002600000000005</v>
      </c>
      <c r="G221" s="2">
        <f>4.108514-B221</f>
        <v>0.52784000000000031</v>
      </c>
    </row>
    <row r="222" spans="1:7" x14ac:dyDescent="0.25">
      <c r="A222" s="36" t="s">
        <v>143</v>
      </c>
      <c r="B222" s="2">
        <v>3.4552649999999998</v>
      </c>
      <c r="C222" s="2">
        <v>0.27754440000000002</v>
      </c>
      <c r="D222" s="2">
        <v>15.44</v>
      </c>
      <c r="E222" s="2">
        <v>0</v>
      </c>
      <c r="F222" s="2">
        <f>B222-2.951947</f>
        <v>0.50331799999999971</v>
      </c>
      <c r="G222" s="2">
        <f>4.044401-B222</f>
        <v>0.58913599999999988</v>
      </c>
    </row>
    <row r="223" spans="1:7" x14ac:dyDescent="0.25">
      <c r="A223" s="36" t="s">
        <v>144</v>
      </c>
      <c r="B223" s="2">
        <v>7.6567899999999994E-2</v>
      </c>
      <c r="C223" s="2">
        <v>1.90963E-2</v>
      </c>
      <c r="D223" s="2">
        <v>-10.3</v>
      </c>
      <c r="E223" s="2">
        <v>0</v>
      </c>
      <c r="F223" s="2">
        <f>B223-0.0469628</f>
        <v>2.9605099999999995E-2</v>
      </c>
      <c r="G223" s="2">
        <f>0.1248359-B223</f>
        <v>4.8268000000000005E-2</v>
      </c>
    </row>
    <row r="224" spans="1:7" x14ac:dyDescent="0.25">
      <c r="A224" s="36" t="s">
        <v>145</v>
      </c>
      <c r="B224" s="2">
        <v>0.11044229999999999</v>
      </c>
      <c r="C224" s="2">
        <v>3.02767E-2</v>
      </c>
      <c r="D224" s="2">
        <v>-8.0399999999999991</v>
      </c>
      <c r="E224" s="2">
        <v>0</v>
      </c>
      <c r="F224" s="2">
        <f>B224-0.0645336</f>
        <v>4.5908699999999997E-2</v>
      </c>
      <c r="G224" s="2">
        <f>0.1890099-B224</f>
        <v>7.8567600000000015E-2</v>
      </c>
    </row>
    <row r="225" spans="1:22" x14ac:dyDescent="0.25">
      <c r="A225" s="36" t="s">
        <v>146</v>
      </c>
      <c r="B225" s="2">
        <v>0.17115169999999999</v>
      </c>
      <c r="C225" s="2">
        <v>2.9578400000000001E-2</v>
      </c>
      <c r="D225" s="2">
        <v>-10.210000000000001</v>
      </c>
      <c r="E225" s="2">
        <v>0</v>
      </c>
      <c r="F225" s="2">
        <f>B225-0.1219766</f>
        <v>4.9175099999999985E-2</v>
      </c>
      <c r="G225" s="2">
        <f>0.2401518-B225</f>
        <v>6.9000100000000009E-2</v>
      </c>
    </row>
    <row r="226" spans="1:22" x14ac:dyDescent="0.25">
      <c r="A226" s="36" t="s">
        <v>147</v>
      </c>
      <c r="B226" s="2">
        <v>0.28399439999999998</v>
      </c>
      <c r="C226" s="2">
        <v>5.0579300000000001E-2</v>
      </c>
      <c r="D226" s="2">
        <v>-7.07</v>
      </c>
      <c r="E226" s="2">
        <v>0</v>
      </c>
      <c r="F226" s="2">
        <f>B226-0.2003139</f>
        <v>8.3680499999999991E-2</v>
      </c>
      <c r="G226" s="2">
        <f>0.4026322-B226</f>
        <v>0.11863780000000002</v>
      </c>
    </row>
    <row r="227" spans="1:22" x14ac:dyDescent="0.25">
      <c r="A227" s="36" t="s">
        <v>148</v>
      </c>
      <c r="B227" s="2">
        <v>0.13511980000000001</v>
      </c>
      <c r="C227" s="2">
        <v>2.5987400000000001E-2</v>
      </c>
      <c r="D227" s="2">
        <v>-10.41</v>
      </c>
      <c r="E227" s="2">
        <v>0</v>
      </c>
      <c r="F227" s="2">
        <f>B227-0.0926847</f>
        <v>4.2435100000000017E-2</v>
      </c>
      <c r="G227" s="2">
        <f>0.1969834-B227</f>
        <v>6.1863599999999991E-2</v>
      </c>
    </row>
    <row r="228" spans="1:22" x14ac:dyDescent="0.25">
      <c r="A228" s="36" t="s">
        <v>149</v>
      </c>
      <c r="B228" s="2">
        <v>0.19721830000000001</v>
      </c>
      <c r="C228" s="2">
        <v>4.1387399999999998E-2</v>
      </c>
      <c r="D228" s="2">
        <v>-7.74</v>
      </c>
      <c r="E228" s="2">
        <v>0</v>
      </c>
      <c r="F228" s="2">
        <f>B228-0.1307127</f>
        <v>6.6505600000000026E-2</v>
      </c>
      <c r="G228" s="2">
        <f>0.2975615-B228</f>
        <v>0.10034319999999997</v>
      </c>
    </row>
    <row r="229" spans="1:22" x14ac:dyDescent="0.25">
      <c r="A229" s="36" t="s">
        <v>150</v>
      </c>
      <c r="B229" s="2">
        <v>1.459293</v>
      </c>
      <c r="C229" s="2">
        <v>0.1200996</v>
      </c>
      <c r="D229" s="2">
        <v>4.59</v>
      </c>
      <c r="E229" s="2">
        <v>0</v>
      </c>
      <c r="F229" s="2">
        <f>B229-1.241907</f>
        <v>0.21738599999999986</v>
      </c>
      <c r="G229" s="2">
        <f>1.714732-B229</f>
        <v>0.25543899999999997</v>
      </c>
    </row>
    <row r="230" spans="1:22" x14ac:dyDescent="0.25">
      <c r="A230" s="36" t="s">
        <v>151</v>
      </c>
      <c r="B230" s="2">
        <v>2.1772909999999999</v>
      </c>
      <c r="C230" s="2">
        <v>0.1915954</v>
      </c>
      <c r="D230" s="2">
        <v>8.84</v>
      </c>
      <c r="E230" s="2">
        <v>0</v>
      </c>
      <c r="F230" s="2">
        <f>B230-1.83237</f>
        <v>0.34492099999999981</v>
      </c>
      <c r="G230" s="2">
        <f>2.587139-B230</f>
        <v>0.40984800000000021</v>
      </c>
    </row>
    <row r="231" spans="1:22" x14ac:dyDescent="0.25">
      <c r="A231" s="36"/>
      <c r="B231" s="3"/>
      <c r="C231" s="3"/>
      <c r="D231" s="3"/>
      <c r="E231" s="3"/>
      <c r="F231" s="3"/>
      <c r="G231" s="3"/>
    </row>
    <row r="232" spans="1:22" x14ac:dyDescent="0.25">
      <c r="A232" s="5" t="s">
        <v>6</v>
      </c>
      <c r="B232" s="6">
        <v>1.7806E-3</v>
      </c>
      <c r="C232" s="6">
        <v>1.2760000000000001E-4</v>
      </c>
      <c r="D232" s="6">
        <v>-88.35</v>
      </c>
      <c r="E232" s="6">
        <v>0</v>
      </c>
      <c r="F232" s="6">
        <v>1.5472999999999999E-3</v>
      </c>
      <c r="G232" s="6">
        <v>2.0490999999999999E-3</v>
      </c>
    </row>
    <row r="233" spans="1:22" x14ac:dyDescent="0.25">
      <c r="U233" s="2"/>
      <c r="V233" s="2"/>
    </row>
    <row r="234" spans="1:22" ht="15.75" thickBot="1" x14ac:dyDescent="0.3">
      <c r="N234" s="2">
        <v>5.235780000000001E-2</v>
      </c>
      <c r="O234" s="2">
        <v>6.6868300000000019E-2</v>
      </c>
      <c r="P234" s="2">
        <v>0.30944200000000022</v>
      </c>
      <c r="Q234" s="2">
        <v>0.3558650000000001</v>
      </c>
      <c r="R234" s="2">
        <v>4.1237599999999999E-2</v>
      </c>
      <c r="S234" s="2">
        <v>5.4900900000000002E-2</v>
      </c>
      <c r="U234" s="2"/>
      <c r="V234" s="2"/>
    </row>
    <row r="235" spans="1:22" x14ac:dyDescent="0.25">
      <c r="A235" s="10"/>
      <c r="B235" s="11"/>
      <c r="C235" s="11" t="s">
        <v>9</v>
      </c>
      <c r="D235" s="11" t="s">
        <v>10</v>
      </c>
      <c r="E235" s="11" t="s">
        <v>40</v>
      </c>
      <c r="F235" s="11" t="s">
        <v>7</v>
      </c>
      <c r="G235" s="11" t="s">
        <v>8</v>
      </c>
      <c r="H235" s="11" t="s">
        <v>62</v>
      </c>
      <c r="I235" s="11" t="s">
        <v>63</v>
      </c>
      <c r="J235" s="11" t="s">
        <v>64</v>
      </c>
      <c r="K235" s="12" t="s">
        <v>65</v>
      </c>
      <c r="M235" s="7"/>
      <c r="N235" s="2">
        <v>9.1238700000000006E-2</v>
      </c>
      <c r="O235" s="2">
        <v>0.11574429999999997</v>
      </c>
      <c r="P235" s="2">
        <v>0.45930099999999996</v>
      </c>
      <c r="Q235" s="2">
        <v>0.53148300000000015</v>
      </c>
      <c r="R235" s="2">
        <v>7.0076800000000022E-2</v>
      </c>
      <c r="S235" s="2">
        <v>9.3882699999999986E-2</v>
      </c>
      <c r="U235" s="2"/>
      <c r="V235" s="2"/>
    </row>
    <row r="236" spans="1:22" x14ac:dyDescent="0.25">
      <c r="A236" s="13" t="s">
        <v>91</v>
      </c>
      <c r="B236" s="7" t="s">
        <v>152</v>
      </c>
      <c r="C236" s="14">
        <f>B195</f>
        <v>0.2412791</v>
      </c>
      <c r="D236" s="15">
        <f>B197</f>
        <v>0.65988369999999996</v>
      </c>
      <c r="E236" s="15">
        <f>B199</f>
        <v>1.145349</v>
      </c>
      <c r="F236" s="15">
        <f>B201</f>
        <v>2.372093</v>
      </c>
      <c r="G236" s="15">
        <f>B203</f>
        <v>1</v>
      </c>
      <c r="H236" s="15">
        <f>B205</f>
        <v>0.1104651</v>
      </c>
      <c r="I236" s="16">
        <f>B207</f>
        <v>0.1656977</v>
      </c>
      <c r="J236" s="16">
        <f>B209</f>
        <v>0.66279069999999995</v>
      </c>
      <c r="K236" s="18">
        <f>B211</f>
        <v>1.502907</v>
      </c>
      <c r="M236" s="7"/>
      <c r="N236" s="2">
        <v>7.4364700000000006E-2</v>
      </c>
      <c r="O236" s="2">
        <v>9.535699999999997E-2</v>
      </c>
      <c r="P236" s="2">
        <v>0.31912000000000007</v>
      </c>
      <c r="Q236" s="2">
        <v>0.37084299999999981</v>
      </c>
      <c r="R236" s="2">
        <v>4.9175099999999985E-2</v>
      </c>
      <c r="S236" s="2">
        <v>6.9000100000000009E-2</v>
      </c>
      <c r="U236" s="2"/>
      <c r="V236" s="2"/>
    </row>
    <row r="237" spans="1:22" x14ac:dyDescent="0.25">
      <c r="A237" s="13"/>
      <c r="B237" s="7" t="s">
        <v>372</v>
      </c>
      <c r="C237" s="15">
        <f>B196</f>
        <v>0.43093540000000002</v>
      </c>
      <c r="D237" s="15">
        <f>B198</f>
        <v>0.86655490000000002</v>
      </c>
      <c r="E237" s="15">
        <f>B200</f>
        <v>1.6487959999999999</v>
      </c>
      <c r="F237" s="15">
        <f>B202</f>
        <v>3.3819059999999999</v>
      </c>
      <c r="G237" s="15">
        <f>B204</f>
        <v>0.99302500000000005</v>
      </c>
      <c r="H237" s="15">
        <f>B206</f>
        <v>0.1311543</v>
      </c>
      <c r="I237" s="16">
        <f>B208</f>
        <v>0.27636070000000001</v>
      </c>
      <c r="J237" s="16">
        <f>B210</f>
        <v>0.93213199999999996</v>
      </c>
      <c r="K237" s="18">
        <f>B212</f>
        <v>2.534087</v>
      </c>
      <c r="M237" s="7"/>
      <c r="N237" s="2">
        <v>0.19325579999999998</v>
      </c>
      <c r="O237" s="2">
        <v>0.24036229999999992</v>
      </c>
      <c r="P237" s="2">
        <v>0.51899099999999976</v>
      </c>
      <c r="Q237" s="2">
        <v>0.60785900000000037</v>
      </c>
      <c r="R237" s="2">
        <v>8.3680499999999991E-2</v>
      </c>
      <c r="S237" s="2">
        <v>0.11863780000000002</v>
      </c>
      <c r="U237" s="2"/>
      <c r="V237" s="2"/>
    </row>
    <row r="238" spans="1:22" x14ac:dyDescent="0.25">
      <c r="A238" s="24" t="s">
        <v>73</v>
      </c>
      <c r="B238" s="7" t="s">
        <v>152</v>
      </c>
      <c r="C238" s="15">
        <f>B213</f>
        <v>0.33779940000000003</v>
      </c>
      <c r="D238" s="15">
        <f>B215</f>
        <v>0.56750299999999998</v>
      </c>
      <c r="E238" s="15">
        <f>B217</f>
        <v>0.2567276</v>
      </c>
      <c r="F238" s="25">
        <f>B219</f>
        <v>2.2880280000000002</v>
      </c>
      <c r="G238" s="25">
        <f>B221</f>
        <v>3.5806740000000001</v>
      </c>
      <c r="H238" s="15">
        <f>B223</f>
        <v>7.6567899999999994E-2</v>
      </c>
      <c r="I238" s="16">
        <f>B225</f>
        <v>0.17115169999999999</v>
      </c>
      <c r="J238" s="16">
        <f>B227</f>
        <v>0.13511980000000001</v>
      </c>
      <c r="K238" s="18">
        <f>B229</f>
        <v>1.459293</v>
      </c>
      <c r="M238" s="7"/>
      <c r="N238" s="2">
        <v>0.10672389999999998</v>
      </c>
      <c r="O238" s="2">
        <v>0.12731480000000006</v>
      </c>
      <c r="P238" s="2">
        <v>0</v>
      </c>
      <c r="Q238" s="2">
        <v>0</v>
      </c>
      <c r="R238" s="2">
        <v>0.10791429999999991</v>
      </c>
      <c r="S238" s="2">
        <v>0.12890190000000001</v>
      </c>
      <c r="U238" s="2"/>
      <c r="V238" s="2"/>
    </row>
    <row r="239" spans="1:22" ht="15.75" thickBot="1" x14ac:dyDescent="0.3">
      <c r="A239" s="26"/>
      <c r="B239" s="27" t="s">
        <v>372</v>
      </c>
      <c r="C239" s="29">
        <f>B214</f>
        <v>0.98609170000000002</v>
      </c>
      <c r="D239" s="28">
        <f>B216</f>
        <v>1.0728679999999999</v>
      </c>
      <c r="E239" s="29">
        <f>B218</f>
        <v>0.33921560000000001</v>
      </c>
      <c r="F239" s="28">
        <f>B220</f>
        <v>3.5499299999999998</v>
      </c>
      <c r="G239" s="28">
        <f>B222</f>
        <v>3.4552649999999998</v>
      </c>
      <c r="H239" s="29">
        <f>B224</f>
        <v>0.11044229999999999</v>
      </c>
      <c r="I239" s="29">
        <f>B226</f>
        <v>0.28399439999999998</v>
      </c>
      <c r="J239" s="30">
        <f>B228</f>
        <v>0.19721830000000001</v>
      </c>
      <c r="K239" s="22">
        <f>B230</f>
        <v>2.1772909999999999</v>
      </c>
      <c r="M239" s="7"/>
      <c r="N239" s="2">
        <v>0.15079149999999997</v>
      </c>
      <c r="O239" s="2">
        <v>0.18255910000000009</v>
      </c>
      <c r="P239" s="2">
        <v>0.1701937</v>
      </c>
      <c r="Q239" s="2">
        <v>0.20539599999999991</v>
      </c>
      <c r="R239" s="2">
        <v>0.15700720000000001</v>
      </c>
      <c r="S239" s="2">
        <v>0.18881000000000014</v>
      </c>
      <c r="U239" s="2"/>
      <c r="V239" s="2"/>
    </row>
    <row r="240" spans="1:22" x14ac:dyDescent="0.25">
      <c r="M240" s="9"/>
      <c r="N240" s="2">
        <v>0.10892969999999996</v>
      </c>
      <c r="O240" s="2">
        <v>0.13480500000000006</v>
      </c>
      <c r="P240" s="2">
        <v>0.46002600000000005</v>
      </c>
      <c r="Q240" s="2">
        <v>0.52784000000000031</v>
      </c>
      <c r="R240" s="2">
        <v>4.2435100000000017E-2</v>
      </c>
      <c r="S240" s="2">
        <v>6.1863599999999991E-2</v>
      </c>
      <c r="U240" s="2"/>
      <c r="V240" s="2"/>
    </row>
    <row r="241" spans="13:22" x14ac:dyDescent="0.25">
      <c r="M241" s="9"/>
      <c r="N241" s="2">
        <v>0.20011799999999991</v>
      </c>
      <c r="O241" s="2">
        <v>0.24600400000000011</v>
      </c>
      <c r="P241" s="2">
        <v>0.50331799999999971</v>
      </c>
      <c r="Q241" s="2">
        <v>0.58913599999999988</v>
      </c>
      <c r="R241" s="2">
        <v>6.6505600000000026E-2</v>
      </c>
      <c r="S241" s="2">
        <v>0.10034319999999997</v>
      </c>
      <c r="U241" s="2"/>
      <c r="V241" s="2"/>
    </row>
    <row r="242" spans="13:22" x14ac:dyDescent="0.25">
      <c r="M242" s="9"/>
      <c r="N242" s="2">
        <v>0.16402779999999995</v>
      </c>
      <c r="O242" s="2">
        <v>0.19144500000000009</v>
      </c>
      <c r="P242" s="2">
        <v>3.151799999999999E-2</v>
      </c>
      <c r="Q242" s="2">
        <v>4.4100900000000012E-2</v>
      </c>
      <c r="R242" s="2">
        <v>0.205063</v>
      </c>
      <c r="S242" s="2">
        <v>0.2374639999999999</v>
      </c>
      <c r="U242" s="2"/>
      <c r="V242" s="2"/>
    </row>
    <row r="243" spans="13:22" x14ac:dyDescent="0.25">
      <c r="M243" s="7"/>
      <c r="N243" s="2">
        <v>0.24843499999999996</v>
      </c>
      <c r="O243" s="2">
        <v>0.29251000000000005</v>
      </c>
      <c r="P243" s="2">
        <v>4.3315900000000004E-2</v>
      </c>
      <c r="Q243" s="2">
        <v>6.4676099999999986E-2</v>
      </c>
      <c r="R243" s="2">
        <v>0.35600399999999999</v>
      </c>
      <c r="S243" s="2">
        <v>0.41419400000000017</v>
      </c>
      <c r="U243" s="2"/>
      <c r="V243" s="2"/>
    </row>
    <row r="244" spans="13:22" x14ac:dyDescent="0.25">
      <c r="M244" s="9"/>
      <c r="N244" s="2">
        <v>6.358910000000001E-2</v>
      </c>
      <c r="O244" s="2">
        <v>8.4525200000000023E-2</v>
      </c>
      <c r="P244" s="2">
        <v>2.9605099999999995E-2</v>
      </c>
      <c r="Q244" s="2">
        <v>4.8268000000000005E-2</v>
      </c>
      <c r="R244" s="2">
        <v>0.21738599999999986</v>
      </c>
      <c r="S244" s="2">
        <v>0.25543899999999997</v>
      </c>
      <c r="U244" s="2"/>
      <c r="V244" s="2"/>
    </row>
    <row r="245" spans="13:22" x14ac:dyDescent="0.25">
      <c r="M245" s="9"/>
      <c r="N245" s="2">
        <v>9.3053999999999998E-2</v>
      </c>
      <c r="O245" s="2">
        <v>0.12823020000000002</v>
      </c>
      <c r="P245" s="2">
        <v>4.5908699999999997E-2</v>
      </c>
      <c r="Q245" s="2">
        <v>7.8567600000000015E-2</v>
      </c>
      <c r="R245" s="2">
        <v>0.34492099999999981</v>
      </c>
      <c r="S245" s="2">
        <v>0.40984800000000021</v>
      </c>
      <c r="U245" s="2"/>
      <c r="V245" s="2"/>
    </row>
    <row r="246" spans="13:22" x14ac:dyDescent="0.25">
      <c r="M246" s="9"/>
      <c r="N246" s="7"/>
      <c r="O246" s="7"/>
      <c r="P246" s="7"/>
      <c r="Q246" s="7"/>
      <c r="R246" s="9"/>
      <c r="S246" s="9"/>
      <c r="U246" s="2"/>
      <c r="V246" s="2"/>
    </row>
    <row r="247" spans="13:22" x14ac:dyDescent="0.25">
      <c r="M247" s="9"/>
      <c r="N247" s="9"/>
      <c r="O247" s="9"/>
      <c r="P247" s="9"/>
      <c r="Q247" s="9"/>
      <c r="R247" s="9"/>
      <c r="U247" s="2"/>
      <c r="V247" s="2"/>
    </row>
    <row r="248" spans="13:22" x14ac:dyDescent="0.25">
      <c r="M248" s="9"/>
      <c r="N248" s="7"/>
      <c r="O248" s="9"/>
      <c r="P248" s="9"/>
      <c r="Q248" s="9"/>
      <c r="R248" s="9"/>
      <c r="U248" s="2"/>
      <c r="V248" s="2"/>
    </row>
    <row r="249" spans="13:22" x14ac:dyDescent="0.25">
      <c r="M249" s="9"/>
      <c r="N249" s="7"/>
      <c r="O249" s="7"/>
      <c r="P249" s="9"/>
      <c r="Q249" s="9"/>
      <c r="R249" s="9"/>
      <c r="U249" s="2"/>
      <c r="V249" s="2"/>
    </row>
    <row r="250" spans="13:22" x14ac:dyDescent="0.25">
      <c r="M250" s="9"/>
      <c r="N250" s="7"/>
      <c r="O250" s="7"/>
      <c r="P250" s="9"/>
      <c r="Q250" s="9"/>
      <c r="R250" s="9"/>
      <c r="U250" s="2"/>
      <c r="V250" s="2"/>
    </row>
    <row r="251" spans="13:22" x14ac:dyDescent="0.25">
      <c r="M251" s="7"/>
      <c r="N251" s="7"/>
      <c r="O251" s="7"/>
      <c r="P251" s="7"/>
      <c r="Q251" s="9"/>
      <c r="R251" s="9"/>
      <c r="U251" s="2"/>
      <c r="V251" s="2"/>
    </row>
    <row r="252" spans="13:22" x14ac:dyDescent="0.25">
      <c r="M252" s="7"/>
      <c r="N252" s="7"/>
      <c r="O252" s="7"/>
      <c r="P252" s="7"/>
      <c r="Q252" s="9"/>
      <c r="R252" s="9"/>
      <c r="U252" s="9"/>
      <c r="V252" s="9"/>
    </row>
    <row r="253" spans="13:22" x14ac:dyDescent="0.25">
      <c r="M253" s="7"/>
      <c r="N253" s="9"/>
      <c r="O253" s="9"/>
      <c r="P253" s="7"/>
      <c r="Q253" s="9"/>
      <c r="R253" s="9"/>
      <c r="U253" s="7"/>
      <c r="V253" s="7"/>
    </row>
    <row r="254" spans="13:22" x14ac:dyDescent="0.25">
      <c r="M254" s="7"/>
      <c r="N254" s="9"/>
      <c r="O254" s="9"/>
      <c r="P254" s="7"/>
      <c r="Q254" s="9"/>
      <c r="R254" s="9"/>
      <c r="U254" s="7"/>
      <c r="V254" s="7"/>
    </row>
    <row r="255" spans="13:22" x14ac:dyDescent="0.25">
      <c r="M255" s="9"/>
      <c r="N255" s="9"/>
      <c r="O255" s="9"/>
      <c r="P255" s="9"/>
      <c r="U255" s="7"/>
      <c r="V255" s="7"/>
    </row>
    <row r="256" spans="13:22" x14ac:dyDescent="0.25">
      <c r="M256" s="9"/>
      <c r="N256" s="9"/>
      <c r="O256" s="9"/>
      <c r="P256" s="9"/>
      <c r="U256" s="7"/>
      <c r="V256" s="7"/>
    </row>
    <row r="257" spans="1:22" x14ac:dyDescent="0.25">
      <c r="M257" s="7"/>
      <c r="N257" s="9"/>
      <c r="O257" s="9"/>
      <c r="P257" s="9"/>
      <c r="U257" s="7"/>
      <c r="V257" s="9"/>
    </row>
    <row r="258" spans="1:22" x14ac:dyDescent="0.25">
      <c r="M258" s="9"/>
      <c r="N258" s="9"/>
      <c r="O258" s="7"/>
      <c r="P258" s="9"/>
      <c r="U258" s="7"/>
      <c r="V258" s="9"/>
    </row>
    <row r="259" spans="1:22" s="1" customFormat="1" x14ac:dyDescent="0.25">
      <c r="A259" s="1" t="s">
        <v>99</v>
      </c>
      <c r="M259" s="33"/>
      <c r="N259" s="33"/>
      <c r="O259" s="33"/>
      <c r="P259" s="32"/>
      <c r="U259" s="33"/>
      <c r="V259" s="33"/>
    </row>
    <row r="260" spans="1:22" x14ac:dyDescent="0.25">
      <c r="M260" s="7"/>
      <c r="N260" s="7"/>
      <c r="O260" s="9"/>
      <c r="P260" s="9"/>
      <c r="U260" s="7"/>
      <c r="V260" s="7"/>
    </row>
    <row r="261" spans="1:22" x14ac:dyDescent="0.25">
      <c r="A261" s="49"/>
      <c r="B261" s="46" t="s">
        <v>1</v>
      </c>
      <c r="C261" s="47"/>
      <c r="D261" s="47"/>
      <c r="E261" s="47"/>
      <c r="F261" s="47"/>
      <c r="G261" s="47"/>
      <c r="M261" s="7"/>
      <c r="N261" s="7"/>
      <c r="O261" s="9"/>
      <c r="P261" s="9"/>
      <c r="U261" s="7"/>
      <c r="V261" s="7"/>
    </row>
    <row r="262" spans="1:22" x14ac:dyDescent="0.25">
      <c r="A262" s="50" t="s">
        <v>2</v>
      </c>
      <c r="B262" s="48" t="s">
        <v>269</v>
      </c>
      <c r="C262" s="48" t="s">
        <v>270</v>
      </c>
      <c r="D262" s="48" t="s">
        <v>3</v>
      </c>
      <c r="E262" s="48" t="s">
        <v>4</v>
      </c>
      <c r="F262" s="48" t="s">
        <v>271</v>
      </c>
      <c r="G262" s="48" t="s">
        <v>272</v>
      </c>
      <c r="M262" s="7"/>
      <c r="N262" s="7"/>
      <c r="O262" s="9"/>
      <c r="P262" s="9"/>
      <c r="U262" s="7"/>
      <c r="V262" s="7"/>
    </row>
    <row r="263" spans="1:22" x14ac:dyDescent="0.25">
      <c r="A263" s="49"/>
      <c r="B263" s="46"/>
      <c r="C263" s="46"/>
      <c r="D263" s="47"/>
      <c r="E263" s="47"/>
      <c r="F263" s="47"/>
      <c r="G263" s="47"/>
      <c r="M263" s="7"/>
      <c r="N263" s="7"/>
      <c r="O263" s="9"/>
      <c r="P263" s="9"/>
      <c r="U263" s="7"/>
      <c r="V263" s="7"/>
    </row>
    <row r="264" spans="1:22" x14ac:dyDescent="0.25">
      <c r="A264" s="49" t="s">
        <v>72</v>
      </c>
      <c r="B264" s="47"/>
      <c r="C264" s="47"/>
      <c r="D264" s="47"/>
      <c r="E264" s="47"/>
      <c r="F264" s="47"/>
      <c r="G264" s="47"/>
      <c r="M264" s="7"/>
      <c r="N264" s="7"/>
      <c r="O264" s="9"/>
      <c r="P264" s="9"/>
      <c r="U264" s="7"/>
      <c r="V264" s="7"/>
    </row>
    <row r="265" spans="1:22" x14ac:dyDescent="0.25">
      <c r="A265" s="49" t="s">
        <v>73</v>
      </c>
      <c r="B265" s="46">
        <v>1.0911200000000001</v>
      </c>
      <c r="C265" s="46">
        <v>2.4772099999999998E-2</v>
      </c>
      <c r="D265" s="46">
        <v>3.84</v>
      </c>
      <c r="E265" s="46">
        <v>0</v>
      </c>
      <c r="F265" s="46">
        <v>1.0436319999999999</v>
      </c>
      <c r="G265" s="46">
        <v>1.1407689999999999</v>
      </c>
      <c r="M265" s="7"/>
      <c r="N265" s="7"/>
      <c r="O265" s="9"/>
      <c r="P265" s="9"/>
      <c r="U265" s="7"/>
      <c r="V265" s="7"/>
    </row>
    <row r="266" spans="1:22" x14ac:dyDescent="0.25">
      <c r="A266" s="49"/>
      <c r="B266" s="47"/>
      <c r="C266" s="47"/>
      <c r="D266" s="47"/>
      <c r="E266" s="47"/>
      <c r="F266" s="47"/>
      <c r="G266" s="47"/>
      <c r="M266" s="7"/>
      <c r="N266" s="7"/>
      <c r="O266" s="9"/>
      <c r="P266" s="9"/>
      <c r="U266" s="7"/>
      <c r="V266" s="7"/>
    </row>
    <row r="267" spans="1:22" x14ac:dyDescent="0.25">
      <c r="A267" s="49" t="s">
        <v>113</v>
      </c>
      <c r="B267" s="47"/>
      <c r="C267" s="47"/>
      <c r="D267" s="47"/>
      <c r="E267" s="47"/>
      <c r="F267" s="47"/>
      <c r="G267" s="47"/>
      <c r="M267" s="7"/>
      <c r="N267" s="7"/>
      <c r="O267" s="9"/>
      <c r="P267" s="9"/>
      <c r="U267" s="7"/>
      <c r="V267" s="7"/>
    </row>
    <row r="268" spans="1:22" x14ac:dyDescent="0.25">
      <c r="A268" s="49">
        <v>2</v>
      </c>
      <c r="B268" s="46">
        <v>1.0342119999999999</v>
      </c>
      <c r="C268" s="46">
        <v>2.5152299999999999E-2</v>
      </c>
      <c r="D268" s="46">
        <v>1.38</v>
      </c>
      <c r="E268" s="46">
        <v>0.16700000000000001</v>
      </c>
      <c r="F268" s="46">
        <v>0.98607120000000004</v>
      </c>
      <c r="G268" s="46">
        <v>1.0847039999999999</v>
      </c>
      <c r="M268" s="7"/>
      <c r="N268" s="7"/>
      <c r="O268" s="9"/>
      <c r="P268" s="9"/>
      <c r="U268" s="7"/>
      <c r="V268" s="7"/>
    </row>
    <row r="269" spans="1:22" x14ac:dyDescent="0.25">
      <c r="A269" s="49">
        <v>3</v>
      </c>
      <c r="B269" s="46">
        <v>1.5154300000000001</v>
      </c>
      <c r="C269" s="46">
        <v>9.1929700000000003E-2</v>
      </c>
      <c r="D269" s="46">
        <v>6.85</v>
      </c>
      <c r="E269" s="46">
        <v>0</v>
      </c>
      <c r="F269" s="46">
        <v>1.34555</v>
      </c>
      <c r="G269" s="46">
        <v>1.7067570000000001</v>
      </c>
      <c r="M269" s="7"/>
      <c r="N269" s="7"/>
      <c r="O269" s="9"/>
      <c r="P269" s="9"/>
      <c r="U269" s="7"/>
      <c r="V269" s="7"/>
    </row>
    <row r="270" spans="1:22" x14ac:dyDescent="0.25">
      <c r="A270" s="49"/>
      <c r="B270" s="47"/>
      <c r="C270" s="47"/>
      <c r="D270" s="47"/>
      <c r="E270" s="47"/>
      <c r="F270" s="47"/>
      <c r="G270" s="47"/>
      <c r="M270" s="7"/>
      <c r="N270" s="7"/>
      <c r="O270" s="9"/>
      <c r="P270" s="9"/>
      <c r="U270" s="23"/>
      <c r="V270" s="23"/>
    </row>
    <row r="271" spans="1:22" x14ac:dyDescent="0.25">
      <c r="A271" s="49" t="s">
        <v>108</v>
      </c>
      <c r="B271" s="47"/>
      <c r="C271" s="47"/>
      <c r="D271" s="47"/>
      <c r="E271" s="47"/>
      <c r="F271" s="47"/>
      <c r="G271" s="47"/>
      <c r="M271" s="7"/>
      <c r="N271" s="7"/>
      <c r="U271" s="9"/>
      <c r="V271" s="9"/>
    </row>
    <row r="272" spans="1:22" x14ac:dyDescent="0.25">
      <c r="A272" s="49">
        <v>2</v>
      </c>
      <c r="B272" s="46">
        <v>1.0909880000000001</v>
      </c>
      <c r="C272" s="46">
        <v>3.0351699999999999E-2</v>
      </c>
      <c r="D272" s="46">
        <v>3.13</v>
      </c>
      <c r="E272" s="46">
        <v>2E-3</v>
      </c>
      <c r="F272" s="46">
        <v>1.0330919999999999</v>
      </c>
      <c r="G272" s="46">
        <v>1.152128</v>
      </c>
      <c r="M272" s="7"/>
      <c r="N272" s="7"/>
      <c r="U272" s="9"/>
      <c r="V272" s="9"/>
    </row>
    <row r="273" spans="1:22" x14ac:dyDescent="0.25">
      <c r="A273" s="49" t="s">
        <v>109</v>
      </c>
      <c r="B273" s="46">
        <v>1.0671139999999999</v>
      </c>
      <c r="C273" s="46">
        <v>4.7873800000000001E-2</v>
      </c>
      <c r="D273" s="46">
        <v>1.45</v>
      </c>
      <c r="E273" s="46">
        <v>0.14799999999999999</v>
      </c>
      <c r="F273" s="46">
        <v>0.97728959999999998</v>
      </c>
      <c r="G273" s="46">
        <v>1.1651929999999999</v>
      </c>
      <c r="M273" s="7"/>
      <c r="N273" s="7"/>
      <c r="U273" s="9"/>
      <c r="V273" s="9"/>
    </row>
    <row r="274" spans="1:22" x14ac:dyDescent="0.25">
      <c r="A274" s="49"/>
      <c r="B274" s="47"/>
      <c r="C274" s="47"/>
      <c r="D274" s="47"/>
      <c r="E274" s="47"/>
      <c r="F274" s="47"/>
      <c r="G274" s="47"/>
      <c r="M274" s="7"/>
      <c r="N274" s="9"/>
      <c r="U274" s="9"/>
      <c r="V274" s="9"/>
    </row>
    <row r="275" spans="1:22" x14ac:dyDescent="0.25">
      <c r="A275" s="49" t="s">
        <v>84</v>
      </c>
      <c r="B275" s="47"/>
      <c r="C275" s="47"/>
      <c r="D275" s="47"/>
      <c r="E275" s="47"/>
      <c r="F275" s="47"/>
      <c r="G275" s="47"/>
      <c r="M275" s="7"/>
      <c r="N275" s="9"/>
    </row>
    <row r="276" spans="1:22" x14ac:dyDescent="0.25">
      <c r="A276" s="38" t="s">
        <v>315</v>
      </c>
      <c r="B276" s="46">
        <v>1.1576630000000001</v>
      </c>
      <c r="C276" s="46">
        <v>3.5786900000000003E-2</v>
      </c>
      <c r="D276" s="46">
        <v>4.74</v>
      </c>
      <c r="E276" s="46">
        <v>0</v>
      </c>
      <c r="F276" s="46">
        <v>1.089604</v>
      </c>
      <c r="G276" s="46">
        <v>1.2299720000000001</v>
      </c>
      <c r="M276" s="9"/>
      <c r="N276" s="9"/>
    </row>
    <row r="277" spans="1:22" x14ac:dyDescent="0.25">
      <c r="A277" s="38" t="s">
        <v>316</v>
      </c>
      <c r="B277" s="46">
        <v>0.89805559999999995</v>
      </c>
      <c r="C277" s="46">
        <v>3.34273E-2</v>
      </c>
      <c r="D277" s="46">
        <v>-2.89</v>
      </c>
      <c r="E277" s="46">
        <v>4.0000000000000001E-3</v>
      </c>
      <c r="F277" s="46">
        <v>0.83487210000000001</v>
      </c>
      <c r="G277" s="46">
        <v>0.96602089999999996</v>
      </c>
      <c r="M277" s="9"/>
      <c r="N277" s="9"/>
    </row>
    <row r="278" spans="1:22" x14ac:dyDescent="0.25">
      <c r="A278" s="38" t="s">
        <v>317</v>
      </c>
      <c r="B278" s="46">
        <v>0.76984750000000002</v>
      </c>
      <c r="C278" s="46">
        <v>2.8952499999999999E-2</v>
      </c>
      <c r="D278" s="46">
        <v>-6.95</v>
      </c>
      <c r="E278" s="46">
        <v>0</v>
      </c>
      <c r="F278" s="46">
        <v>0.71514250000000001</v>
      </c>
      <c r="G278" s="46">
        <v>0.8287371</v>
      </c>
      <c r="M278" s="7"/>
      <c r="N278" s="9"/>
    </row>
    <row r="279" spans="1:22" x14ac:dyDescent="0.25">
      <c r="A279" s="38" t="s">
        <v>82</v>
      </c>
      <c r="B279" s="46">
        <v>1.036931</v>
      </c>
      <c r="C279" s="46">
        <v>4.1289300000000001E-2</v>
      </c>
      <c r="D279" s="46">
        <v>0.91</v>
      </c>
      <c r="E279" s="46">
        <v>0.36199999999999999</v>
      </c>
      <c r="F279" s="46">
        <v>0.95908280000000001</v>
      </c>
      <c r="G279" s="46">
        <v>1.1210979999999999</v>
      </c>
      <c r="M279" s="7"/>
      <c r="N279" s="9"/>
    </row>
    <row r="280" spans="1:22" x14ac:dyDescent="0.25">
      <c r="A280" s="49"/>
      <c r="B280" s="47"/>
      <c r="C280" s="47"/>
      <c r="D280" s="47"/>
      <c r="E280" s="47"/>
      <c r="F280" s="47"/>
      <c r="G280" s="47"/>
      <c r="M280" s="9"/>
      <c r="N280" s="9"/>
    </row>
    <row r="281" spans="1:22" x14ac:dyDescent="0.25">
      <c r="A281" s="49" t="s">
        <v>100</v>
      </c>
      <c r="B281" s="47"/>
      <c r="C281" s="47"/>
      <c r="D281" s="47"/>
      <c r="E281" s="47"/>
      <c r="F281" s="47"/>
      <c r="G281" s="47"/>
      <c r="M281" s="9"/>
      <c r="N281" s="9"/>
    </row>
    <row r="282" spans="1:22" x14ac:dyDescent="0.25">
      <c r="A282" s="49" t="s">
        <v>154</v>
      </c>
      <c r="B282" s="46">
        <v>0.13725490000000001</v>
      </c>
      <c r="C282" s="46">
        <v>1.5455E-2</v>
      </c>
      <c r="D282" s="46">
        <v>-17.64</v>
      </c>
      <c r="E282" s="46">
        <v>0</v>
      </c>
      <c r="F282" s="46">
        <f>B282-0.1100732</f>
        <v>2.7181700000000017E-2</v>
      </c>
      <c r="G282" s="46">
        <f>0.1711489-B282</f>
        <v>3.389399999999998E-2</v>
      </c>
      <c r="M282" s="9"/>
      <c r="N282" s="9"/>
    </row>
    <row r="283" spans="1:22" x14ac:dyDescent="0.25">
      <c r="A283" s="49" t="s">
        <v>155</v>
      </c>
      <c r="B283" s="46">
        <v>0.33413389999999998</v>
      </c>
      <c r="C283" s="46">
        <v>2.9006400000000002E-2</v>
      </c>
      <c r="D283" s="46">
        <v>-12.63</v>
      </c>
      <c r="E283" s="46">
        <v>0</v>
      </c>
      <c r="F283" s="46">
        <f>B283-0.281856</f>
        <v>5.2277899999999988E-2</v>
      </c>
      <c r="G283" s="46">
        <f>0.3961083-B283</f>
        <v>6.1974400000000041E-2</v>
      </c>
    </row>
    <row r="284" spans="1:22" x14ac:dyDescent="0.25">
      <c r="A284" s="49" t="s">
        <v>156</v>
      </c>
      <c r="B284" s="46">
        <v>0.37858219999999998</v>
      </c>
      <c r="C284" s="46">
        <v>2.91211E-2</v>
      </c>
      <c r="D284" s="46">
        <v>-12.63</v>
      </c>
      <c r="E284" s="46">
        <v>0</v>
      </c>
      <c r="F284" s="46">
        <f>B284-0.3256001</f>
        <v>5.2982099999999976E-2</v>
      </c>
      <c r="G284" s="46">
        <f>0.4401857-B284</f>
        <v>6.1603500000000033E-2</v>
      </c>
    </row>
    <row r="285" spans="1:22" x14ac:dyDescent="0.25">
      <c r="A285" s="49" t="s">
        <v>157</v>
      </c>
      <c r="B285" s="46">
        <v>0.51835909999999996</v>
      </c>
      <c r="C285" s="46">
        <v>3.8496299999999997E-2</v>
      </c>
      <c r="D285" s="46">
        <v>-8.85</v>
      </c>
      <c r="E285" s="46">
        <v>0</v>
      </c>
      <c r="F285" s="46">
        <f>B285-0.448142</f>
        <v>7.0217099999999977E-2</v>
      </c>
      <c r="G285" s="46">
        <f>0.5995781-B285</f>
        <v>8.1219000000000041E-2</v>
      </c>
    </row>
    <row r="286" spans="1:22" x14ac:dyDescent="0.25">
      <c r="A286" s="49" t="s">
        <v>158</v>
      </c>
      <c r="B286" s="46">
        <v>0.46606330000000001</v>
      </c>
      <c r="C286" s="46">
        <v>3.3513500000000002E-2</v>
      </c>
      <c r="D286" s="46">
        <v>-10.62</v>
      </c>
      <c r="E286" s="46">
        <v>0</v>
      </c>
      <c r="F286" s="46">
        <f>B286-0.4047968</f>
        <v>6.1266500000000002E-2</v>
      </c>
      <c r="G286" s="46">
        <f>0.5366027-B286</f>
        <v>7.0539399999999974E-2</v>
      </c>
    </row>
    <row r="287" spans="1:22" x14ac:dyDescent="0.25">
      <c r="A287" s="49" t="s">
        <v>159</v>
      </c>
      <c r="B287" s="46">
        <v>0.61769620000000003</v>
      </c>
      <c r="C287" s="46">
        <v>4.3930799999999999E-2</v>
      </c>
      <c r="D287" s="46">
        <v>-6.77</v>
      </c>
      <c r="E287" s="46">
        <v>0</v>
      </c>
      <c r="F287" s="46">
        <f>B287-0.5373252</f>
        <v>8.0371000000000081E-2</v>
      </c>
      <c r="G287" s="46">
        <f>0.7100888-B287</f>
        <v>9.2392599999999936E-2</v>
      </c>
    </row>
    <row r="288" spans="1:22" x14ac:dyDescent="0.25">
      <c r="A288" s="49" t="s">
        <v>160</v>
      </c>
      <c r="B288" s="46">
        <v>1.3846149999999999</v>
      </c>
      <c r="C288" s="46">
        <v>7.7068200000000003E-2</v>
      </c>
      <c r="D288" s="46">
        <v>5.85</v>
      </c>
      <c r="E288" s="46">
        <v>0</v>
      </c>
      <c r="F288" s="46">
        <f>B288-1.241512</f>
        <v>0.14310299999999998</v>
      </c>
      <c r="G288" s="46">
        <f>1.544213-B288</f>
        <v>0.15959800000000013</v>
      </c>
    </row>
    <row r="289" spans="1:7" x14ac:dyDescent="0.25">
      <c r="A289" s="49" t="s">
        <v>161</v>
      </c>
      <c r="B289" s="46">
        <v>1.8928229999999999</v>
      </c>
      <c r="C289" s="46">
        <v>0.10373880000000001</v>
      </c>
      <c r="D289" s="46">
        <v>11.64</v>
      </c>
      <c r="E289" s="46">
        <v>0</v>
      </c>
      <c r="F289" s="46">
        <f>B289-1.700039</f>
        <v>0.19278399999999984</v>
      </c>
      <c r="G289" s="46">
        <f>2.10747-B289</f>
        <v>0.21464700000000025</v>
      </c>
    </row>
    <row r="290" spans="1:7" x14ac:dyDescent="0.25">
      <c r="A290" s="49" t="s">
        <v>189</v>
      </c>
      <c r="B290" s="46">
        <v>1</v>
      </c>
      <c r="C290" s="46"/>
      <c r="D290" s="46"/>
      <c r="E290" s="46"/>
      <c r="F290" s="46">
        <v>0</v>
      </c>
      <c r="G290" s="46">
        <v>0</v>
      </c>
    </row>
    <row r="291" spans="1:7" x14ac:dyDescent="0.25">
      <c r="A291" s="49" t="s">
        <v>162</v>
      </c>
      <c r="B291" s="46">
        <v>0.95363620000000004</v>
      </c>
      <c r="C291" s="46">
        <v>5.9668499999999999E-2</v>
      </c>
      <c r="D291" s="46">
        <v>-0.76</v>
      </c>
      <c r="E291" s="46">
        <v>0.44800000000000001</v>
      </c>
      <c r="F291" s="46">
        <f>B291-0.8435747</f>
        <v>0.11006150000000003</v>
      </c>
      <c r="G291" s="46">
        <f>1.078058-B291</f>
        <v>0.12442179999999992</v>
      </c>
    </row>
    <row r="292" spans="1:7" x14ac:dyDescent="0.25">
      <c r="A292" s="49" t="s">
        <v>163</v>
      </c>
      <c r="B292" s="46">
        <v>5.4298600000000002E-2</v>
      </c>
      <c r="C292" s="46">
        <v>9.3077999999999998E-3</v>
      </c>
      <c r="D292" s="46">
        <v>-16.989999999999998</v>
      </c>
      <c r="E292" s="46">
        <v>0</v>
      </c>
      <c r="F292" s="46">
        <f>B292-0.0388041</f>
        <v>1.5494500000000001E-2</v>
      </c>
      <c r="G292" s="46">
        <f>0.0759802-B292</f>
        <v>2.1681599999999995E-2</v>
      </c>
    </row>
    <row r="293" spans="1:7" x14ac:dyDescent="0.25">
      <c r="A293" s="49" t="s">
        <v>164</v>
      </c>
      <c r="B293" s="46">
        <v>7.0439000000000002E-2</v>
      </c>
      <c r="C293" s="46">
        <v>1.19474E-2</v>
      </c>
      <c r="D293" s="46">
        <v>-15.64</v>
      </c>
      <c r="E293" s="46">
        <v>0</v>
      </c>
      <c r="F293" s="46">
        <f>B293-0.050517</f>
        <v>1.9922000000000002E-2</v>
      </c>
      <c r="G293" s="46">
        <f>0.0982176-B293</f>
        <v>2.7778600000000001E-2</v>
      </c>
    </row>
    <row r="294" spans="1:7" x14ac:dyDescent="0.25">
      <c r="A294" s="49" t="s">
        <v>165</v>
      </c>
      <c r="B294" s="46">
        <v>0.1040724</v>
      </c>
      <c r="C294" s="46">
        <v>1.3388799999999999E-2</v>
      </c>
      <c r="D294" s="46">
        <v>-17.59</v>
      </c>
      <c r="E294" s="46">
        <v>0</v>
      </c>
      <c r="F294" s="46">
        <f>B294-0.0808779</f>
        <v>2.3194499999999993E-2</v>
      </c>
      <c r="G294" s="46">
        <f>0.1339188-B294</f>
        <v>2.9846400000000009E-2</v>
      </c>
    </row>
    <row r="295" spans="1:7" x14ac:dyDescent="0.25">
      <c r="A295" s="49" t="s">
        <v>166</v>
      </c>
      <c r="B295" s="46">
        <v>0.15352099999999999</v>
      </c>
      <c r="C295" s="46">
        <v>1.8437100000000001E-2</v>
      </c>
      <c r="D295" s="46">
        <v>-15.6</v>
      </c>
      <c r="E295" s="46">
        <v>0</v>
      </c>
      <c r="F295" s="46">
        <f>B295-0.1213229</f>
        <v>3.2198099999999993E-2</v>
      </c>
      <c r="G295" s="46">
        <f>0.1942642-B295</f>
        <v>4.0743200000000007E-2</v>
      </c>
    </row>
    <row r="296" spans="1:7" x14ac:dyDescent="0.25">
      <c r="A296" s="49" t="s">
        <v>167</v>
      </c>
      <c r="B296" s="46">
        <v>0.27601809999999999</v>
      </c>
      <c r="C296" s="46">
        <v>2.3970600000000002E-2</v>
      </c>
      <c r="D296" s="46">
        <v>-14.82</v>
      </c>
      <c r="E296" s="46">
        <v>0</v>
      </c>
      <c r="F296" s="46">
        <f>B296-0.2328174</f>
        <v>4.3200699999999981E-2</v>
      </c>
      <c r="G296" s="46">
        <f>0.3272349-B296</f>
        <v>5.1216800000000007E-2</v>
      </c>
    </row>
    <row r="297" spans="1:7" x14ac:dyDescent="0.25">
      <c r="A297" s="49" t="s">
        <v>168</v>
      </c>
      <c r="B297" s="46">
        <v>0.36122579999999999</v>
      </c>
      <c r="C297" s="46">
        <v>3.0354200000000001E-2</v>
      </c>
      <c r="D297" s="46">
        <v>-12.12</v>
      </c>
      <c r="E297" s="46">
        <v>0</v>
      </c>
      <c r="F297" s="46">
        <f>B297-0.3063737</f>
        <v>5.4852099999999959E-2</v>
      </c>
      <c r="G297" s="46">
        <f>0.4258986-B297</f>
        <v>6.467280000000003E-2</v>
      </c>
    </row>
    <row r="298" spans="1:7" x14ac:dyDescent="0.25">
      <c r="A298" s="49" t="s">
        <v>169</v>
      </c>
      <c r="B298" s="46">
        <v>0.72398189999999996</v>
      </c>
      <c r="C298" s="46">
        <v>4.5647699999999999E-2</v>
      </c>
      <c r="D298" s="46">
        <v>-5.12</v>
      </c>
      <c r="E298" s="46">
        <v>0</v>
      </c>
      <c r="F298" s="46">
        <f>B298-0.6398214</f>
        <v>8.4160499999999971E-2</v>
      </c>
      <c r="G298" s="46">
        <f>0.8192127-B298</f>
        <v>9.523080000000006E-2</v>
      </c>
    </row>
    <row r="299" spans="1:7" x14ac:dyDescent="0.25">
      <c r="A299" s="49" t="s">
        <v>170</v>
      </c>
      <c r="B299" s="46">
        <v>1.213719</v>
      </c>
      <c r="C299" s="46">
        <v>7.2106100000000006E-2</v>
      </c>
      <c r="D299" s="46">
        <v>3.26</v>
      </c>
      <c r="E299" s="46">
        <v>1E-3</v>
      </c>
      <c r="F299" s="46">
        <f>B299-1.080311</f>
        <v>0.13340799999999997</v>
      </c>
      <c r="G299" s="46">
        <f>1.363601-B299</f>
        <v>0.14988200000000007</v>
      </c>
    </row>
    <row r="300" spans="1:7" x14ac:dyDescent="0.25">
      <c r="A300" s="49" t="s">
        <v>171</v>
      </c>
      <c r="B300" s="46">
        <v>7.1690199999999996E-2</v>
      </c>
      <c r="C300" s="46">
        <v>9.3177999999999993E-3</v>
      </c>
      <c r="D300" s="46">
        <v>-20.28</v>
      </c>
      <c r="E300" s="46">
        <v>0</v>
      </c>
      <c r="F300" s="46">
        <f>B300-0.0555683</f>
        <v>1.6121899999999995E-2</v>
      </c>
      <c r="G300" s="46">
        <f>0.0924896-B300</f>
        <v>2.079940000000001E-2</v>
      </c>
    </row>
    <row r="301" spans="1:7" x14ac:dyDescent="0.25">
      <c r="A301" s="49" t="s">
        <v>172</v>
      </c>
      <c r="B301" s="46">
        <v>0.25618249999999998</v>
      </c>
      <c r="C301" s="46">
        <v>4.6318199999999997E-2</v>
      </c>
      <c r="D301" s="46">
        <v>-7.53</v>
      </c>
      <c r="E301" s="46">
        <v>0</v>
      </c>
      <c r="F301" s="46">
        <f>B301-0.1797425</f>
        <v>7.643999999999998E-2</v>
      </c>
      <c r="G301" s="46">
        <f>0.3651306-B301</f>
        <v>0.10894810000000005</v>
      </c>
    </row>
    <row r="302" spans="1:7" x14ac:dyDescent="0.25">
      <c r="A302" s="49" t="s">
        <v>173</v>
      </c>
      <c r="B302" s="46">
        <v>0.1124985</v>
      </c>
      <c r="C302" s="46">
        <v>1.23061E-2</v>
      </c>
      <c r="D302" s="46">
        <v>-19.97</v>
      </c>
      <c r="E302" s="46">
        <v>0</v>
      </c>
      <c r="F302" s="46">
        <f>B302-0.0907893</f>
        <v>2.1709199999999998E-2</v>
      </c>
      <c r="G302" s="46">
        <f>0.1393987-B302</f>
        <v>2.6900199999999985E-2</v>
      </c>
    </row>
    <row r="303" spans="1:7" x14ac:dyDescent="0.25">
      <c r="A303" s="49" t="s">
        <v>174</v>
      </c>
      <c r="B303" s="46">
        <v>0.27219399999999999</v>
      </c>
      <c r="C303" s="46">
        <v>4.7695000000000001E-2</v>
      </c>
      <c r="D303" s="46">
        <v>-7.43</v>
      </c>
      <c r="E303" s="46">
        <v>0</v>
      </c>
      <c r="F303" s="46">
        <f>B303-0.1930756</f>
        <v>7.9118399999999978E-2</v>
      </c>
      <c r="G303" s="46">
        <f>0.3837333-B303</f>
        <v>0.11153930000000001</v>
      </c>
    </row>
    <row r="304" spans="1:7" x14ac:dyDescent="0.25">
      <c r="A304" s="49" t="s">
        <v>175</v>
      </c>
      <c r="B304" s="46">
        <v>0.1588214</v>
      </c>
      <c r="C304" s="46">
        <v>1.4948700000000001E-2</v>
      </c>
      <c r="D304" s="46">
        <v>-19.55</v>
      </c>
      <c r="E304" s="46">
        <v>0</v>
      </c>
      <c r="F304" s="46">
        <f>B304-0.1320662</f>
        <v>2.6755200000000007E-2</v>
      </c>
      <c r="G304" s="46">
        <f>0.1909969-B304</f>
        <v>3.2175499999999996E-2</v>
      </c>
    </row>
    <row r="305" spans="1:22" x14ac:dyDescent="0.25">
      <c r="A305" s="49" t="s">
        <v>176</v>
      </c>
      <c r="B305" s="46">
        <v>0.43230800000000003</v>
      </c>
      <c r="C305" s="46">
        <v>6.2571799999999997E-2</v>
      </c>
      <c r="D305" s="46">
        <v>-5.79</v>
      </c>
      <c r="E305" s="46">
        <v>0</v>
      </c>
      <c r="F305" s="46">
        <f>B305-0.3255302</f>
        <v>0.10677780000000003</v>
      </c>
      <c r="G305" s="46">
        <f>0.5741103-B305</f>
        <v>0.14180229999999994</v>
      </c>
    </row>
    <row r="306" spans="1:22" x14ac:dyDescent="0.25">
      <c r="A306" s="49" t="s">
        <v>177</v>
      </c>
      <c r="B306" s="46">
        <v>0.44778810000000002</v>
      </c>
      <c r="C306" s="46">
        <v>3.1582399999999997E-2</v>
      </c>
      <c r="D306" s="46">
        <v>-11.39</v>
      </c>
      <c r="E306" s="46">
        <v>0</v>
      </c>
      <c r="F306" s="46">
        <f>B306-0.3899756</f>
        <v>5.7812500000000044E-2</v>
      </c>
      <c r="G306" s="46">
        <f>0.514171-B306</f>
        <v>6.6382900000000022E-2</v>
      </c>
    </row>
    <row r="307" spans="1:22" x14ac:dyDescent="0.25">
      <c r="A307" s="49" t="s">
        <v>178</v>
      </c>
      <c r="B307" s="46">
        <v>1.000713</v>
      </c>
      <c r="C307" s="46">
        <v>0.1015064</v>
      </c>
      <c r="D307" s="46">
        <v>0.01</v>
      </c>
      <c r="E307" s="46">
        <v>0.99399999999999999</v>
      </c>
      <c r="F307" s="46">
        <f>B307-0.8202924</f>
        <v>0.18042059999999993</v>
      </c>
      <c r="G307" s="46">
        <f>1.220817-B307</f>
        <v>0.22010400000000008</v>
      </c>
    </row>
    <row r="308" spans="1:22" x14ac:dyDescent="0.25">
      <c r="A308" s="49" t="s">
        <v>179</v>
      </c>
      <c r="B308" s="46">
        <v>0.53161049999999999</v>
      </c>
      <c r="C308" s="46">
        <v>3.3665E-2</v>
      </c>
      <c r="D308" s="46">
        <v>-9.98</v>
      </c>
      <c r="E308" s="46">
        <v>0</v>
      </c>
      <c r="F308" s="46">
        <f>B308-0.4695588</f>
        <v>6.2051699999999987E-2</v>
      </c>
      <c r="G308" s="46">
        <f>0.6018622-B308</f>
        <v>7.0251700000000028E-2</v>
      </c>
    </row>
    <row r="309" spans="1:22" x14ac:dyDescent="0.25">
      <c r="A309" s="49" t="s">
        <v>180</v>
      </c>
      <c r="B309" s="46">
        <v>0.97669589999999995</v>
      </c>
      <c r="C309" s="46">
        <v>0.1005207</v>
      </c>
      <c r="D309" s="46">
        <v>-0.23</v>
      </c>
      <c r="E309" s="46">
        <v>0.81899999999999995</v>
      </c>
      <c r="F309" s="46">
        <f>B309-0.7982785</f>
        <v>0.17841739999999995</v>
      </c>
      <c r="G309" s="46">
        <f>1.19499-B309</f>
        <v>0.21829410000000005</v>
      </c>
    </row>
    <row r="310" spans="1:22" x14ac:dyDescent="0.25">
      <c r="A310" s="49" t="s">
        <v>181</v>
      </c>
      <c r="B310" s="46">
        <v>2.0955600000000001E-2</v>
      </c>
      <c r="C310" s="46">
        <v>4.8967999999999998E-3</v>
      </c>
      <c r="D310" s="46">
        <v>-16.54</v>
      </c>
      <c r="E310" s="46">
        <v>0</v>
      </c>
      <c r="F310" s="46">
        <f>B310-0.0132555</f>
        <v>7.7001000000000014E-3</v>
      </c>
      <c r="G310" s="46">
        <f>0.0331288-B310</f>
        <v>1.2173199999999999E-2</v>
      </c>
    </row>
    <row r="311" spans="1:22" x14ac:dyDescent="0.25">
      <c r="A311" s="49" t="s">
        <v>182</v>
      </c>
      <c r="B311" s="46">
        <v>2.40171E-2</v>
      </c>
      <c r="C311" s="46">
        <v>1.3865300000000001E-2</v>
      </c>
      <c r="D311" s="46">
        <v>-6.46</v>
      </c>
      <c r="E311" s="46">
        <v>0</v>
      </c>
      <c r="F311" s="46">
        <f>B311-0.0077467</f>
        <v>1.6270400000000001E-2</v>
      </c>
      <c r="G311" s="46">
        <f>0.0744604-B311</f>
        <v>5.0443299999999996E-2</v>
      </c>
    </row>
    <row r="312" spans="1:22" x14ac:dyDescent="0.25">
      <c r="A312" s="49" t="s">
        <v>183</v>
      </c>
      <c r="B312" s="46">
        <v>3.08819E-2</v>
      </c>
      <c r="C312" s="46">
        <v>5.9752E-3</v>
      </c>
      <c r="D312" s="46">
        <v>-17.97</v>
      </c>
      <c r="E312" s="46">
        <v>0</v>
      </c>
      <c r="F312" s="46">
        <f>B312-0.0211354</f>
        <v>9.7465000000000017E-3</v>
      </c>
      <c r="G312" s="46">
        <f>0.0451231-B312</f>
        <v>1.4241199999999999E-2</v>
      </c>
    </row>
    <row r="313" spans="1:22" x14ac:dyDescent="0.25">
      <c r="A313" s="49" t="s">
        <v>184</v>
      </c>
      <c r="B313" s="46">
        <v>9.6068500000000001E-2</v>
      </c>
      <c r="C313" s="46">
        <v>2.8099900000000001E-2</v>
      </c>
      <c r="D313" s="46">
        <v>-8.01</v>
      </c>
      <c r="E313" s="46">
        <v>0</v>
      </c>
      <c r="F313" s="46">
        <f>B313-0.0541508</f>
        <v>4.1917700000000002E-2</v>
      </c>
      <c r="G313" s="46">
        <f>0.1704341-B313</f>
        <v>7.4365600000000004E-2</v>
      </c>
    </row>
    <row r="314" spans="1:22" x14ac:dyDescent="0.25">
      <c r="A314" s="49" t="s">
        <v>185</v>
      </c>
      <c r="B314" s="46">
        <v>8.2719500000000001E-2</v>
      </c>
      <c r="C314" s="46">
        <v>1.0355400000000001E-2</v>
      </c>
      <c r="D314" s="46">
        <v>-19.91</v>
      </c>
      <c r="E314" s="46">
        <v>0</v>
      </c>
      <c r="F314" s="46">
        <f>B314-0.0647215</f>
        <v>1.7998E-2</v>
      </c>
      <c r="G314" s="46">
        <f>0.1057223-B314</f>
        <v>2.3002800000000004E-2</v>
      </c>
    </row>
    <row r="315" spans="1:22" x14ac:dyDescent="0.25">
      <c r="A315" s="49" t="s">
        <v>186</v>
      </c>
      <c r="B315" s="46">
        <v>0.21615400000000001</v>
      </c>
      <c r="C315" s="46">
        <v>4.2632799999999998E-2</v>
      </c>
      <c r="D315" s="46">
        <v>-7.77</v>
      </c>
      <c r="E315" s="46">
        <v>0</v>
      </c>
      <c r="F315" s="46">
        <f>B315-0.1468514</f>
        <v>6.930260000000002E-2</v>
      </c>
      <c r="G315" s="46">
        <f>0.3181622-B315</f>
        <v>0.10200819999999999</v>
      </c>
    </row>
    <row r="316" spans="1:22" x14ac:dyDescent="0.25">
      <c r="A316" s="49" t="s">
        <v>187</v>
      </c>
      <c r="B316" s="46">
        <v>0.4003622</v>
      </c>
      <c r="C316" s="46">
        <v>2.69591E-2</v>
      </c>
      <c r="D316" s="46">
        <v>-13.59</v>
      </c>
      <c r="E316" s="46">
        <v>0</v>
      </c>
      <c r="F316" s="46">
        <f>B316-0.3508617</f>
        <v>4.9500500000000003E-2</v>
      </c>
      <c r="G316" s="46">
        <f>0.4568464-B316</f>
        <v>5.6484199999999984E-2</v>
      </c>
    </row>
    <row r="317" spans="1:22" x14ac:dyDescent="0.25">
      <c r="A317" s="49" t="s">
        <v>188</v>
      </c>
      <c r="B317" s="46">
        <v>1.1368100000000001</v>
      </c>
      <c r="C317" s="46">
        <v>0.11099589999999999</v>
      </c>
      <c r="D317" s="46">
        <v>1.31</v>
      </c>
      <c r="E317" s="46">
        <v>0.189</v>
      </c>
      <c r="F317" s="46">
        <f>B317-0.9388112</f>
        <v>0.19799880000000014</v>
      </c>
      <c r="G317" s="46">
        <f>1.376568-B317</f>
        <v>0.23975799999999992</v>
      </c>
    </row>
    <row r="318" spans="1:22" x14ac:dyDescent="0.25">
      <c r="A318" s="49"/>
      <c r="B318" s="47"/>
      <c r="C318" s="47"/>
      <c r="D318" s="47"/>
      <c r="E318" s="47"/>
      <c r="F318" s="47"/>
      <c r="G318" s="47"/>
    </row>
    <row r="319" spans="1:22" x14ac:dyDescent="0.25">
      <c r="A319" s="50" t="s">
        <v>6</v>
      </c>
      <c r="B319" s="48">
        <v>2.7174999999999999E-3</v>
      </c>
      <c r="C319" s="48">
        <v>1.4449999999999999E-4</v>
      </c>
      <c r="D319" s="48">
        <v>-111.1</v>
      </c>
      <c r="E319" s="48">
        <v>0</v>
      </c>
      <c r="F319" s="48">
        <v>2.4485000000000002E-3</v>
      </c>
      <c r="G319" s="48">
        <v>3.016E-3</v>
      </c>
    </row>
    <row r="320" spans="1:22" x14ac:dyDescent="0.25">
      <c r="U320" s="46"/>
      <c r="V320" s="46"/>
    </row>
    <row r="321" spans="1:22" ht="15.75" thickBot="1" x14ac:dyDescent="0.3">
      <c r="N321" s="7"/>
      <c r="O321" s="7"/>
      <c r="P321" s="9"/>
      <c r="Q321" s="9"/>
      <c r="R321" s="7"/>
      <c r="S321" s="7"/>
      <c r="U321" s="46"/>
      <c r="V321" s="46"/>
    </row>
    <row r="322" spans="1:22" x14ac:dyDescent="0.25">
      <c r="A322" s="10"/>
      <c r="B322" s="11"/>
      <c r="C322" s="11" t="s">
        <v>9</v>
      </c>
      <c r="D322" s="11" t="s">
        <v>10</v>
      </c>
      <c r="E322" s="11" t="s">
        <v>40</v>
      </c>
      <c r="F322" s="11" t="s">
        <v>7</v>
      </c>
      <c r="G322" s="11" t="s">
        <v>8</v>
      </c>
      <c r="H322" s="11" t="s">
        <v>62</v>
      </c>
      <c r="I322" s="11" t="s">
        <v>63</v>
      </c>
      <c r="J322" s="11" t="s">
        <v>64</v>
      </c>
      <c r="K322" s="12" t="s">
        <v>65</v>
      </c>
      <c r="M322" s="7"/>
      <c r="N322" s="46">
        <v>2.7181700000000017E-2</v>
      </c>
      <c r="O322" s="46">
        <v>3.389399999999998E-2</v>
      </c>
      <c r="P322" s="46">
        <v>0.14310299999999998</v>
      </c>
      <c r="Q322" s="46">
        <v>0.15959800000000013</v>
      </c>
      <c r="R322" s="46">
        <v>2.3194499999999993E-2</v>
      </c>
      <c r="S322" s="46">
        <v>2.9846400000000009E-2</v>
      </c>
      <c r="T322" s="7"/>
      <c r="U322" s="46"/>
      <c r="V322" s="46"/>
    </row>
    <row r="323" spans="1:22" x14ac:dyDescent="0.25">
      <c r="A323" s="13" t="s">
        <v>94</v>
      </c>
      <c r="B323" s="7" t="s">
        <v>152</v>
      </c>
      <c r="C323" s="14">
        <f>B282</f>
        <v>0.13725490000000001</v>
      </c>
      <c r="D323" s="15">
        <f>B284</f>
        <v>0.37858219999999998</v>
      </c>
      <c r="E323" s="15">
        <f>B286</f>
        <v>0.46606330000000001</v>
      </c>
      <c r="F323" s="15">
        <f>B288</f>
        <v>1.3846149999999999</v>
      </c>
      <c r="G323" s="15">
        <f>B290</f>
        <v>1</v>
      </c>
      <c r="H323" s="15">
        <f>B292</f>
        <v>5.4298600000000002E-2</v>
      </c>
      <c r="I323" s="16">
        <f>B294</f>
        <v>0.1040724</v>
      </c>
      <c r="J323" s="16">
        <f>B296</f>
        <v>0.27601809999999999</v>
      </c>
      <c r="K323" s="17">
        <f>B298</f>
        <v>0.72398189999999996</v>
      </c>
      <c r="M323" s="7"/>
      <c r="N323" s="46">
        <v>5.2277899999999988E-2</v>
      </c>
      <c r="O323" s="46">
        <v>6.1974400000000041E-2</v>
      </c>
      <c r="P323" s="46">
        <v>0.19278399999999984</v>
      </c>
      <c r="Q323" s="46">
        <v>0.21464700000000025</v>
      </c>
      <c r="R323" s="46">
        <v>3.2198099999999993E-2</v>
      </c>
      <c r="S323" s="46">
        <v>4.0743200000000007E-2</v>
      </c>
      <c r="T323" s="7"/>
      <c r="U323" s="46"/>
      <c r="V323" s="46"/>
    </row>
    <row r="324" spans="1:22" x14ac:dyDescent="0.25">
      <c r="A324" s="13"/>
      <c r="B324" s="7" t="s">
        <v>372</v>
      </c>
      <c r="C324" s="15">
        <f>B283</f>
        <v>0.33413389999999998</v>
      </c>
      <c r="D324" s="15">
        <f>B285</f>
        <v>0.51835909999999996</v>
      </c>
      <c r="E324" s="15">
        <f>B287</f>
        <v>0.61769620000000003</v>
      </c>
      <c r="F324" s="15">
        <f>B289</f>
        <v>1.8928229999999999</v>
      </c>
      <c r="G324" s="15">
        <f>B291</f>
        <v>0.95363620000000004</v>
      </c>
      <c r="H324" s="15">
        <f>B293</f>
        <v>7.0439000000000002E-2</v>
      </c>
      <c r="I324" s="16">
        <f>B295</f>
        <v>0.15352099999999999</v>
      </c>
      <c r="J324" s="16">
        <f>B297</f>
        <v>0.36122579999999999</v>
      </c>
      <c r="K324" s="18">
        <f>B299</f>
        <v>1.213719</v>
      </c>
      <c r="M324" s="7"/>
      <c r="N324" s="46">
        <v>1.6121899999999995E-2</v>
      </c>
      <c r="O324" s="46">
        <v>2.079940000000001E-2</v>
      </c>
      <c r="P324" s="46">
        <v>5.7812500000000044E-2</v>
      </c>
      <c r="Q324" s="46">
        <v>6.6382900000000022E-2</v>
      </c>
      <c r="R324" s="46">
        <v>9.7465000000000017E-3</v>
      </c>
      <c r="S324" s="46">
        <v>1.4241199999999999E-2</v>
      </c>
      <c r="T324" s="7"/>
      <c r="U324" s="46"/>
      <c r="V324" s="46"/>
    </row>
    <row r="325" spans="1:22" x14ac:dyDescent="0.25">
      <c r="A325" s="24" t="s">
        <v>95</v>
      </c>
      <c r="B325" s="7" t="s">
        <v>152</v>
      </c>
      <c r="C325" s="15">
        <f>B300</f>
        <v>7.1690199999999996E-2</v>
      </c>
      <c r="D325" s="15">
        <f>B302</f>
        <v>0.1124985</v>
      </c>
      <c r="E325" s="15">
        <f>B304</f>
        <v>0.1588214</v>
      </c>
      <c r="F325" s="15">
        <f>B306</f>
        <v>0.44778810000000002</v>
      </c>
      <c r="G325" s="15">
        <f>B308</f>
        <v>0.53161049999999999</v>
      </c>
      <c r="H325" s="15">
        <f>B310</f>
        <v>2.0955600000000001E-2</v>
      </c>
      <c r="I325" s="16">
        <f>B312</f>
        <v>3.08819E-2</v>
      </c>
      <c r="J325" s="16">
        <f>B314</f>
        <v>8.2719500000000001E-2</v>
      </c>
      <c r="K325" s="17">
        <f>B316</f>
        <v>0.4003622</v>
      </c>
      <c r="M325" s="7"/>
      <c r="N325" s="46">
        <v>7.643999999999998E-2</v>
      </c>
      <c r="O325" s="46">
        <v>0.10894810000000005</v>
      </c>
      <c r="P325" s="46">
        <v>0.18042059999999993</v>
      </c>
      <c r="Q325" s="46">
        <v>0.22010400000000008</v>
      </c>
      <c r="R325" s="46">
        <v>4.1917700000000002E-2</v>
      </c>
      <c r="S325" s="46">
        <v>7.4365600000000004E-2</v>
      </c>
      <c r="T325" s="7"/>
      <c r="U325" s="46"/>
      <c r="V325" s="46"/>
    </row>
    <row r="326" spans="1:22" ht="15.75" thickBot="1" x14ac:dyDescent="0.3">
      <c r="A326" s="26"/>
      <c r="B326" s="27" t="s">
        <v>372</v>
      </c>
      <c r="C326" s="30">
        <f>B301</f>
        <v>0.25618249999999998</v>
      </c>
      <c r="D326" s="30">
        <f>B303</f>
        <v>0.27219399999999999</v>
      </c>
      <c r="E326" s="29">
        <f>B305</f>
        <v>0.43230800000000003</v>
      </c>
      <c r="F326" s="29">
        <f>B307</f>
        <v>1.000713</v>
      </c>
      <c r="G326" s="29">
        <f>B309</f>
        <v>0.97669589999999995</v>
      </c>
      <c r="H326" s="30">
        <f>B311</f>
        <v>2.40171E-2</v>
      </c>
      <c r="I326" s="29">
        <f>B313</f>
        <v>9.6068500000000001E-2</v>
      </c>
      <c r="J326" s="30">
        <f>B315</f>
        <v>0.21615400000000001</v>
      </c>
      <c r="K326" s="31">
        <f>B317</f>
        <v>1.1368100000000001</v>
      </c>
      <c r="M326" s="7"/>
      <c r="N326" s="46">
        <v>5.2982099999999976E-2</v>
      </c>
      <c r="O326" s="46">
        <v>6.1603500000000033E-2</v>
      </c>
      <c r="P326" s="46">
        <v>0</v>
      </c>
      <c r="Q326" s="46">
        <v>0</v>
      </c>
      <c r="R326" s="46">
        <v>4.3200699999999981E-2</v>
      </c>
      <c r="S326" s="46">
        <v>5.1216800000000007E-2</v>
      </c>
      <c r="T326" s="7"/>
      <c r="U326" s="46"/>
      <c r="V326" s="46"/>
    </row>
    <row r="327" spans="1:22" x14ac:dyDescent="0.25">
      <c r="M327" s="7"/>
      <c r="N327" s="46">
        <v>7.0217099999999977E-2</v>
      </c>
      <c r="O327" s="46">
        <v>8.1219000000000041E-2</v>
      </c>
      <c r="P327" s="46">
        <v>0.11006150000000003</v>
      </c>
      <c r="Q327" s="46">
        <v>0.12442179999999992</v>
      </c>
      <c r="R327" s="46">
        <v>5.4852099999999959E-2</v>
      </c>
      <c r="S327" s="46">
        <v>6.467280000000003E-2</v>
      </c>
      <c r="T327" s="7"/>
      <c r="U327" s="46"/>
      <c r="V327" s="46"/>
    </row>
    <row r="328" spans="1:22" x14ac:dyDescent="0.25">
      <c r="M328" s="7"/>
      <c r="N328" s="46">
        <v>2.1709199999999998E-2</v>
      </c>
      <c r="O328" s="46">
        <v>2.6900199999999985E-2</v>
      </c>
      <c r="P328" s="46">
        <v>6.2051699999999987E-2</v>
      </c>
      <c r="Q328" s="46">
        <v>7.0251700000000028E-2</v>
      </c>
      <c r="R328" s="46">
        <v>1.7998E-2</v>
      </c>
      <c r="S328" s="46">
        <v>2.3002800000000004E-2</v>
      </c>
      <c r="T328" s="7"/>
      <c r="U328" s="46"/>
      <c r="V328" s="46"/>
    </row>
    <row r="329" spans="1:22" x14ac:dyDescent="0.25">
      <c r="M329" s="7"/>
      <c r="N329" s="46">
        <v>7.9118399999999978E-2</v>
      </c>
      <c r="O329" s="46">
        <v>0.11153930000000001</v>
      </c>
      <c r="P329" s="46">
        <v>0.17841739999999995</v>
      </c>
      <c r="Q329" s="46">
        <v>0.21829410000000005</v>
      </c>
      <c r="R329" s="46">
        <v>6.930260000000002E-2</v>
      </c>
      <c r="S329" s="46">
        <v>0.10200819999999999</v>
      </c>
      <c r="T329" s="7"/>
      <c r="U329" s="46"/>
      <c r="V329" s="46"/>
    </row>
    <row r="330" spans="1:22" x14ac:dyDescent="0.25">
      <c r="M330" s="7"/>
      <c r="N330" s="46">
        <v>6.1266500000000002E-2</v>
      </c>
      <c r="O330" s="46">
        <v>7.0539399999999974E-2</v>
      </c>
      <c r="P330" s="46">
        <v>1.5494500000000001E-2</v>
      </c>
      <c r="Q330" s="46">
        <v>2.1681599999999995E-2</v>
      </c>
      <c r="R330" s="46">
        <v>8.4160499999999971E-2</v>
      </c>
      <c r="S330" s="46">
        <v>9.523080000000006E-2</v>
      </c>
      <c r="T330" s="7"/>
      <c r="U330" s="46"/>
      <c r="V330" s="46"/>
    </row>
    <row r="331" spans="1:22" x14ac:dyDescent="0.25">
      <c r="M331" s="7"/>
      <c r="N331" s="46">
        <v>8.0371000000000081E-2</v>
      </c>
      <c r="O331" s="46">
        <v>9.2392599999999936E-2</v>
      </c>
      <c r="P331" s="46">
        <v>1.9922000000000002E-2</v>
      </c>
      <c r="Q331" s="46">
        <v>2.7778600000000001E-2</v>
      </c>
      <c r="R331" s="46">
        <v>0.13340799999999997</v>
      </c>
      <c r="S331" s="46">
        <v>0.14988200000000007</v>
      </c>
      <c r="T331" s="7"/>
      <c r="U331" s="46"/>
      <c r="V331" s="46"/>
    </row>
    <row r="332" spans="1:22" x14ac:dyDescent="0.25">
      <c r="M332" s="7"/>
      <c r="N332" s="46">
        <v>2.6755200000000007E-2</v>
      </c>
      <c r="O332" s="46">
        <v>3.2175499999999996E-2</v>
      </c>
      <c r="P332" s="46">
        <v>7.7001000000000014E-3</v>
      </c>
      <c r="Q332" s="46">
        <v>1.2173199999999999E-2</v>
      </c>
      <c r="R332" s="46">
        <v>4.9500500000000003E-2</v>
      </c>
      <c r="S332" s="46">
        <v>5.6484199999999984E-2</v>
      </c>
      <c r="T332" s="9"/>
      <c r="U332" s="46"/>
      <c r="V332" s="46"/>
    </row>
    <row r="333" spans="1:22" x14ac:dyDescent="0.25">
      <c r="M333" s="23"/>
      <c r="N333" s="46">
        <v>0.10677780000000003</v>
      </c>
      <c r="O333" s="46">
        <v>0.14180229999999994</v>
      </c>
      <c r="P333" s="46">
        <v>1.6270400000000001E-2</v>
      </c>
      <c r="Q333" s="46">
        <v>5.0443299999999996E-2</v>
      </c>
      <c r="R333" s="46">
        <v>0.19799880000000014</v>
      </c>
      <c r="S333" s="46">
        <v>0.23975799999999992</v>
      </c>
      <c r="T333" s="7"/>
      <c r="U333" s="46"/>
      <c r="V333" s="46"/>
    </row>
    <row r="334" spans="1:22" x14ac:dyDescent="0.25">
      <c r="M334" s="7"/>
      <c r="N334" s="7"/>
      <c r="O334" s="9"/>
      <c r="P334" s="7"/>
      <c r="Q334" s="7"/>
      <c r="R334" s="7"/>
      <c r="T334" s="7"/>
      <c r="U334" s="46"/>
      <c r="V334" s="46"/>
    </row>
    <row r="335" spans="1:22" x14ac:dyDescent="0.25">
      <c r="M335" s="7"/>
      <c r="N335" s="7"/>
      <c r="O335" s="7"/>
      <c r="P335" s="7"/>
      <c r="Q335" s="7"/>
      <c r="R335" s="7"/>
      <c r="T335" s="7"/>
      <c r="U335" s="46"/>
      <c r="V335" s="46"/>
    </row>
    <row r="336" spans="1:22" x14ac:dyDescent="0.25">
      <c r="M336" s="7"/>
      <c r="N336" s="7"/>
      <c r="O336" s="7"/>
      <c r="P336" s="7"/>
      <c r="Q336" s="9"/>
      <c r="R336" s="9"/>
      <c r="T336" s="7"/>
      <c r="U336" s="46"/>
      <c r="V336" s="46"/>
    </row>
    <row r="337" spans="1:22" x14ac:dyDescent="0.25">
      <c r="M337" s="7"/>
      <c r="N337" s="7"/>
      <c r="O337" s="7"/>
      <c r="P337" s="7"/>
      <c r="Q337" s="9"/>
      <c r="R337" s="9"/>
      <c r="T337" s="7"/>
      <c r="U337" s="46"/>
      <c r="V337" s="46"/>
    </row>
    <row r="338" spans="1:22" x14ac:dyDescent="0.25">
      <c r="M338" s="7"/>
      <c r="N338" s="7"/>
      <c r="O338" s="7"/>
      <c r="P338" s="7"/>
      <c r="Q338" s="7"/>
      <c r="R338" s="7"/>
      <c r="T338" s="7"/>
      <c r="U338" s="46"/>
      <c r="V338" s="46"/>
    </row>
    <row r="339" spans="1:22" x14ac:dyDescent="0.25">
      <c r="M339" s="7"/>
      <c r="N339" s="7"/>
      <c r="O339" s="7"/>
      <c r="P339" s="7"/>
      <c r="Q339" s="7"/>
      <c r="R339" s="9"/>
      <c r="T339" s="7"/>
      <c r="U339" s="2"/>
      <c r="V339" s="2"/>
    </row>
    <row r="340" spans="1:22" x14ac:dyDescent="0.25">
      <c r="M340" s="7"/>
      <c r="N340" s="7"/>
      <c r="O340" s="7"/>
      <c r="P340" s="7"/>
      <c r="Q340" s="7"/>
      <c r="R340" s="9"/>
      <c r="T340" s="7"/>
      <c r="U340" s="7"/>
    </row>
    <row r="341" spans="1:22" x14ac:dyDescent="0.25">
      <c r="M341" s="7"/>
      <c r="N341" s="7"/>
      <c r="O341" s="7"/>
      <c r="P341" s="23"/>
      <c r="Q341" s="7"/>
      <c r="R341" s="9"/>
      <c r="T341" s="23"/>
      <c r="U341" s="23"/>
    </row>
    <row r="342" spans="1:22" x14ac:dyDescent="0.25">
      <c r="M342" s="9"/>
      <c r="N342" s="7"/>
      <c r="O342" s="9"/>
      <c r="P342" s="7"/>
      <c r="T342" s="7"/>
      <c r="U342" s="7"/>
    </row>
    <row r="343" spans="1:22" s="1" customFormat="1" x14ac:dyDescent="0.25">
      <c r="A343" s="1" t="s">
        <v>103</v>
      </c>
      <c r="M343" s="32"/>
      <c r="N343" s="33"/>
      <c r="O343" s="32"/>
      <c r="P343" s="33"/>
      <c r="T343" s="33"/>
      <c r="U343" s="33"/>
    </row>
    <row r="344" spans="1:22" x14ac:dyDescent="0.25">
      <c r="M344" s="7"/>
      <c r="N344" s="9"/>
      <c r="O344" s="7"/>
      <c r="P344" s="7"/>
      <c r="T344" s="7"/>
      <c r="U344" s="7"/>
    </row>
    <row r="345" spans="1:22" x14ac:dyDescent="0.25">
      <c r="A345" s="36"/>
      <c r="B345" s="2" t="s">
        <v>1</v>
      </c>
      <c r="C345" s="3"/>
      <c r="D345" s="3"/>
      <c r="E345" s="3"/>
      <c r="F345" s="3"/>
      <c r="G345" s="3"/>
      <c r="M345" s="9"/>
      <c r="N345" s="9"/>
      <c r="O345" s="7"/>
      <c r="P345" s="7"/>
      <c r="T345" s="7"/>
      <c r="U345" s="9"/>
    </row>
    <row r="346" spans="1:22" x14ac:dyDescent="0.25">
      <c r="A346" s="5" t="s">
        <v>2</v>
      </c>
      <c r="B346" s="6" t="s">
        <v>269</v>
      </c>
      <c r="C346" s="6" t="s">
        <v>270</v>
      </c>
      <c r="D346" s="6" t="s">
        <v>3</v>
      </c>
      <c r="E346" s="6" t="s">
        <v>4</v>
      </c>
      <c r="F346" s="6" t="s">
        <v>271</v>
      </c>
      <c r="G346" s="6" t="s">
        <v>272</v>
      </c>
      <c r="M346" s="7"/>
      <c r="N346" s="7"/>
      <c r="O346" s="7"/>
      <c r="P346" s="7"/>
      <c r="T346" s="7"/>
      <c r="U346" s="7"/>
    </row>
    <row r="347" spans="1:22" x14ac:dyDescent="0.25">
      <c r="A347" s="36"/>
      <c r="B347" s="2"/>
      <c r="C347" s="2"/>
      <c r="D347" s="3"/>
      <c r="E347" s="3"/>
      <c r="F347" s="3"/>
      <c r="G347" s="3"/>
      <c r="M347" s="7"/>
      <c r="N347" s="7"/>
      <c r="O347" s="7"/>
      <c r="P347" s="7"/>
      <c r="T347" s="7"/>
      <c r="U347" s="7"/>
    </row>
    <row r="348" spans="1:22" x14ac:dyDescent="0.25">
      <c r="A348" s="36" t="s">
        <v>72</v>
      </c>
      <c r="B348" s="3"/>
      <c r="C348" s="3"/>
      <c r="D348" s="3"/>
      <c r="E348" s="3"/>
      <c r="F348" s="3"/>
      <c r="G348" s="3"/>
      <c r="M348" s="7"/>
      <c r="N348" s="7"/>
      <c r="O348" s="7"/>
      <c r="P348" s="9"/>
      <c r="T348" s="7"/>
      <c r="U348" s="7"/>
    </row>
    <row r="349" spans="1:22" x14ac:dyDescent="0.25">
      <c r="A349" s="36" t="s">
        <v>73</v>
      </c>
      <c r="B349" s="2">
        <v>1.112098</v>
      </c>
      <c r="C349" s="2">
        <v>2.5007700000000001E-2</v>
      </c>
      <c r="D349" s="2">
        <v>4.72</v>
      </c>
      <c r="E349" s="2">
        <v>0</v>
      </c>
      <c r="F349" s="2">
        <v>1.064149</v>
      </c>
      <c r="G349" s="2">
        <v>1.162209</v>
      </c>
      <c r="M349" s="7"/>
      <c r="N349" s="7"/>
      <c r="O349" s="9"/>
      <c r="P349" s="9"/>
      <c r="T349" s="23"/>
      <c r="U349" s="23"/>
    </row>
    <row r="350" spans="1:22" x14ac:dyDescent="0.25">
      <c r="A350" s="36"/>
      <c r="B350" s="3"/>
      <c r="C350" s="3"/>
      <c r="D350" s="3"/>
      <c r="E350" s="3"/>
      <c r="F350" s="3"/>
      <c r="G350" s="3"/>
      <c r="M350" s="7"/>
      <c r="N350" s="7"/>
      <c r="T350" s="7"/>
      <c r="U350" s="7"/>
    </row>
    <row r="351" spans="1:22" x14ac:dyDescent="0.25">
      <c r="A351" s="36" t="s">
        <v>74</v>
      </c>
      <c r="B351" s="3"/>
      <c r="C351" s="3"/>
      <c r="D351" s="3"/>
      <c r="E351" s="3"/>
      <c r="F351" s="3"/>
      <c r="G351" s="3"/>
      <c r="M351" s="7"/>
      <c r="N351" s="7"/>
      <c r="T351" s="7"/>
      <c r="U351" s="9"/>
    </row>
    <row r="352" spans="1:22" x14ac:dyDescent="0.25">
      <c r="A352" s="36" t="s">
        <v>75</v>
      </c>
      <c r="B352" s="2">
        <v>0.76436360000000003</v>
      </c>
      <c r="C352" s="2">
        <v>2.4350500000000001E-2</v>
      </c>
      <c r="D352" s="2">
        <v>-8.43</v>
      </c>
      <c r="E352" s="2">
        <v>0</v>
      </c>
      <c r="F352" s="2">
        <v>0.71809699999999999</v>
      </c>
      <c r="G352" s="2">
        <v>0.81361119999999998</v>
      </c>
      <c r="M352" s="7"/>
      <c r="N352" s="7"/>
      <c r="T352" s="7"/>
      <c r="U352" s="9"/>
    </row>
    <row r="353" spans="1:21" x14ac:dyDescent="0.25">
      <c r="A353" s="36" t="s">
        <v>76</v>
      </c>
      <c r="B353" s="2">
        <v>0.64875190000000005</v>
      </c>
      <c r="C353" s="2">
        <v>2.5730800000000002E-2</v>
      </c>
      <c r="D353" s="2">
        <v>-10.91</v>
      </c>
      <c r="E353" s="2">
        <v>0</v>
      </c>
      <c r="F353" s="2">
        <v>0.60023070000000001</v>
      </c>
      <c r="G353" s="2">
        <v>0.70119529999999997</v>
      </c>
      <c r="M353" s="7"/>
      <c r="N353" s="7"/>
      <c r="T353" s="7"/>
      <c r="U353" s="9"/>
    </row>
    <row r="354" spans="1:21" x14ac:dyDescent="0.25">
      <c r="A354" s="36" t="s">
        <v>77</v>
      </c>
      <c r="B354" s="2">
        <v>0.50156630000000002</v>
      </c>
      <c r="C354" s="2">
        <v>2.2327E-2</v>
      </c>
      <c r="D354" s="2">
        <v>-15.5</v>
      </c>
      <c r="E354" s="2">
        <v>0</v>
      </c>
      <c r="F354" s="2">
        <v>0.45966079999999998</v>
      </c>
      <c r="G354" s="2">
        <v>0.54729209999999995</v>
      </c>
      <c r="M354" s="7"/>
      <c r="N354" s="7"/>
    </row>
    <row r="355" spans="1:21" x14ac:dyDescent="0.25">
      <c r="A355" s="36" t="s">
        <v>78</v>
      </c>
      <c r="B355" s="2">
        <v>0.41126439999999997</v>
      </c>
      <c r="C355" s="2">
        <v>1.9914899999999999E-2</v>
      </c>
      <c r="D355" s="2">
        <v>-18.350000000000001</v>
      </c>
      <c r="E355" s="2">
        <v>0</v>
      </c>
      <c r="F355" s="2">
        <v>0.374027</v>
      </c>
      <c r="G355" s="2">
        <v>0.45220909999999997</v>
      </c>
      <c r="M355" s="7"/>
      <c r="N355" s="7"/>
    </row>
    <row r="356" spans="1:21" x14ac:dyDescent="0.25">
      <c r="A356" s="36" t="s">
        <v>79</v>
      </c>
      <c r="B356" s="2">
        <v>0.37059110000000001</v>
      </c>
      <c r="C356" s="2">
        <v>2.0830499999999998E-2</v>
      </c>
      <c r="D356" s="2">
        <v>-17.66</v>
      </c>
      <c r="E356" s="2">
        <v>0</v>
      </c>
      <c r="F356" s="2">
        <v>0.33193260000000002</v>
      </c>
      <c r="G356" s="2">
        <v>0.41375190000000001</v>
      </c>
      <c r="M356" s="7"/>
      <c r="N356" s="7"/>
    </row>
    <row r="357" spans="1:21" x14ac:dyDescent="0.25">
      <c r="A357" s="36" t="s">
        <v>80</v>
      </c>
      <c r="B357" s="2">
        <v>0.3490376</v>
      </c>
      <c r="C357" s="2">
        <v>2.2282300000000001E-2</v>
      </c>
      <c r="D357" s="2">
        <v>-16.489999999999998</v>
      </c>
      <c r="E357" s="2">
        <v>0</v>
      </c>
      <c r="F357" s="2">
        <v>0.30798690000000001</v>
      </c>
      <c r="G357" s="2">
        <v>0.39555990000000002</v>
      </c>
      <c r="M357" s="7"/>
      <c r="N357" s="7"/>
    </row>
    <row r="358" spans="1:21" x14ac:dyDescent="0.25">
      <c r="A358" s="36" t="s">
        <v>86</v>
      </c>
      <c r="B358" s="2">
        <v>0.27563720000000003</v>
      </c>
      <c r="C358" s="2">
        <v>2.2387500000000001E-2</v>
      </c>
      <c r="D358" s="2">
        <v>-15.87</v>
      </c>
      <c r="E358" s="2">
        <v>0</v>
      </c>
      <c r="F358" s="2">
        <v>0.2350728</v>
      </c>
      <c r="G358" s="2">
        <v>0.32320130000000002</v>
      </c>
      <c r="M358" s="7"/>
      <c r="N358" s="7"/>
    </row>
    <row r="359" spans="1:21" x14ac:dyDescent="0.25">
      <c r="A359" s="36" t="s">
        <v>87</v>
      </c>
      <c r="B359" s="2">
        <v>0.16805629999999999</v>
      </c>
      <c r="C359" s="2">
        <v>1.7735600000000001E-2</v>
      </c>
      <c r="D359" s="2">
        <v>-16.899999999999999</v>
      </c>
      <c r="E359" s="2">
        <v>0</v>
      </c>
      <c r="F359" s="2">
        <v>0.13665459999999999</v>
      </c>
      <c r="G359" s="2">
        <v>0.20667369999999999</v>
      </c>
      <c r="M359" s="7"/>
      <c r="N359" s="7"/>
    </row>
    <row r="360" spans="1:21" x14ac:dyDescent="0.25">
      <c r="A360" s="36" t="s">
        <v>88</v>
      </c>
      <c r="B360" s="2">
        <v>5.6404700000000002E-2</v>
      </c>
      <c r="C360" s="2">
        <v>1.41297E-2</v>
      </c>
      <c r="D360" s="2">
        <v>-11.48</v>
      </c>
      <c r="E360" s="2">
        <v>0</v>
      </c>
      <c r="F360" s="2">
        <v>3.4521099999999999E-2</v>
      </c>
      <c r="G360" s="2">
        <v>9.2160699999999998E-2</v>
      </c>
      <c r="M360" s="7"/>
      <c r="N360" s="9"/>
    </row>
    <row r="361" spans="1:21" x14ac:dyDescent="0.25">
      <c r="A361" s="36"/>
      <c r="B361" s="3"/>
      <c r="C361" s="3"/>
      <c r="D361" s="3"/>
      <c r="E361" s="3"/>
      <c r="F361" s="3"/>
      <c r="G361" s="3"/>
      <c r="M361" s="9"/>
      <c r="N361" s="9"/>
    </row>
    <row r="362" spans="1:21" x14ac:dyDescent="0.25">
      <c r="A362" s="36" t="s">
        <v>108</v>
      </c>
      <c r="B362" s="3"/>
      <c r="C362" s="3"/>
      <c r="D362" s="3"/>
      <c r="E362" s="3"/>
      <c r="F362" s="3"/>
      <c r="G362" s="3"/>
    </row>
    <row r="363" spans="1:21" x14ac:dyDescent="0.25">
      <c r="A363" s="36">
        <v>2</v>
      </c>
      <c r="B363" s="2">
        <v>1.1089059999999999</v>
      </c>
      <c r="C363" s="2">
        <v>3.0701599999999999E-2</v>
      </c>
      <c r="D363" s="2">
        <v>3.73</v>
      </c>
      <c r="E363" s="2">
        <v>0</v>
      </c>
      <c r="F363" s="2">
        <v>1.050335</v>
      </c>
      <c r="G363" s="2">
        <v>1.1707419999999999</v>
      </c>
    </row>
    <row r="364" spans="1:21" x14ac:dyDescent="0.25">
      <c r="A364" s="36" t="s">
        <v>109</v>
      </c>
      <c r="B364" s="2">
        <v>1.0715669999999999</v>
      </c>
      <c r="C364" s="2">
        <v>4.8359800000000001E-2</v>
      </c>
      <c r="D364" s="2">
        <v>1.53</v>
      </c>
      <c r="E364" s="2">
        <v>0.126</v>
      </c>
      <c r="F364" s="2">
        <v>0.98085420000000001</v>
      </c>
      <c r="G364" s="2">
        <v>1.170669</v>
      </c>
    </row>
    <row r="365" spans="1:21" x14ac:dyDescent="0.25">
      <c r="A365" s="36"/>
      <c r="B365" s="3"/>
      <c r="C365" s="3"/>
      <c r="D365" s="3"/>
      <c r="E365" s="3"/>
      <c r="F365" s="3"/>
      <c r="G365" s="3"/>
    </row>
    <row r="366" spans="1:21" x14ac:dyDescent="0.25">
      <c r="A366" s="36" t="s">
        <v>84</v>
      </c>
      <c r="B366" s="3"/>
      <c r="C366" s="3"/>
      <c r="D366" s="3"/>
      <c r="E366" s="3"/>
      <c r="F366" s="3"/>
      <c r="G366" s="3"/>
    </row>
    <row r="367" spans="1:21" x14ac:dyDescent="0.25">
      <c r="A367" s="38" t="s">
        <v>315</v>
      </c>
      <c r="B367" s="2">
        <v>1.1872659999999999</v>
      </c>
      <c r="C367" s="2">
        <v>3.6684599999999998E-2</v>
      </c>
      <c r="D367" s="2">
        <v>5.56</v>
      </c>
      <c r="E367" s="2">
        <v>0</v>
      </c>
      <c r="F367" s="2">
        <v>1.117499</v>
      </c>
      <c r="G367" s="2">
        <v>1.261388</v>
      </c>
    </row>
    <row r="368" spans="1:21" x14ac:dyDescent="0.25">
      <c r="A368" s="38" t="s">
        <v>316</v>
      </c>
      <c r="B368" s="2">
        <v>0.96376530000000005</v>
      </c>
      <c r="C368" s="2">
        <v>3.62624E-2</v>
      </c>
      <c r="D368" s="2">
        <v>-0.98</v>
      </c>
      <c r="E368" s="2">
        <v>0.32700000000000001</v>
      </c>
      <c r="F368" s="2">
        <v>0.89524970000000004</v>
      </c>
      <c r="G368" s="2">
        <v>1.0375239999999999</v>
      </c>
    </row>
    <row r="369" spans="1:7" x14ac:dyDescent="0.25">
      <c r="A369" s="38" t="s">
        <v>317</v>
      </c>
      <c r="B369" s="2">
        <v>0.86827180000000004</v>
      </c>
      <c r="C369" s="2">
        <v>3.3935100000000003E-2</v>
      </c>
      <c r="D369" s="2">
        <v>-3.61</v>
      </c>
      <c r="E369" s="2">
        <v>0</v>
      </c>
      <c r="F369" s="2">
        <v>0.80424379999999995</v>
      </c>
      <c r="G369" s="2">
        <v>0.93739720000000004</v>
      </c>
    </row>
    <row r="370" spans="1:7" x14ac:dyDescent="0.25">
      <c r="A370" s="38" t="s">
        <v>82</v>
      </c>
      <c r="B370" s="2">
        <v>1.1452500000000001</v>
      </c>
      <c r="C370" s="2">
        <v>4.6480800000000003E-2</v>
      </c>
      <c r="D370" s="2">
        <v>3.34</v>
      </c>
      <c r="E370" s="2">
        <v>1E-3</v>
      </c>
      <c r="F370" s="2">
        <v>1.057679</v>
      </c>
      <c r="G370" s="2">
        <v>1.240073</v>
      </c>
    </row>
    <row r="371" spans="1:7" x14ac:dyDescent="0.25">
      <c r="A371" s="36"/>
      <c r="B371" s="3"/>
      <c r="C371" s="3"/>
      <c r="D371" s="3"/>
      <c r="E371" s="3"/>
      <c r="F371" s="3"/>
      <c r="G371" s="3"/>
    </row>
    <row r="372" spans="1:7" x14ac:dyDescent="0.25">
      <c r="A372" s="36" t="s">
        <v>112</v>
      </c>
      <c r="B372" s="3"/>
      <c r="C372" s="3"/>
      <c r="D372" s="3"/>
      <c r="E372" s="3"/>
      <c r="F372" s="3"/>
      <c r="G372" s="3"/>
    </row>
    <row r="373" spans="1:7" x14ac:dyDescent="0.25">
      <c r="A373" s="36" t="s">
        <v>154</v>
      </c>
      <c r="B373" s="2">
        <v>1.6886000000000002E-2</v>
      </c>
      <c r="C373" s="2">
        <v>5.6893000000000004E-3</v>
      </c>
      <c r="D373" s="2">
        <v>-12.11</v>
      </c>
      <c r="E373" s="2">
        <v>0</v>
      </c>
      <c r="F373" s="2">
        <f>B373-0.0087244</f>
        <v>8.1616000000000015E-3</v>
      </c>
      <c r="G373" s="2">
        <f>0.0326825-B373</f>
        <v>1.5796500000000002E-2</v>
      </c>
    </row>
    <row r="374" spans="1:7" x14ac:dyDescent="0.25">
      <c r="A374" s="36" t="s">
        <v>155</v>
      </c>
      <c r="B374" s="2">
        <v>5.6081800000000001E-2</v>
      </c>
      <c r="C374" s="2">
        <v>1.6376000000000002E-2</v>
      </c>
      <c r="D374" s="2">
        <v>-9.8699999999999992</v>
      </c>
      <c r="E374" s="2">
        <v>0</v>
      </c>
      <c r="F374" s="2">
        <f>B374-0.0316424</f>
        <v>2.44394E-2</v>
      </c>
      <c r="G374" s="2">
        <f>0.0993973-B374</f>
        <v>4.3315499999999993E-2</v>
      </c>
    </row>
    <row r="375" spans="1:7" x14ac:dyDescent="0.25">
      <c r="A375" s="36" t="s">
        <v>156</v>
      </c>
      <c r="B375" s="2">
        <v>0.1013133</v>
      </c>
      <c r="C375" s="2">
        <v>1.45799E-2</v>
      </c>
      <c r="D375" s="2">
        <v>-15.91</v>
      </c>
      <c r="E375" s="2">
        <v>0</v>
      </c>
      <c r="F375" s="2">
        <f>B375-0.0764136</f>
        <v>2.4899699999999997E-2</v>
      </c>
      <c r="G375" s="2">
        <f>0.1343267-B375</f>
        <v>3.3013399999999998E-2</v>
      </c>
    </row>
    <row r="376" spans="1:7" x14ac:dyDescent="0.25">
      <c r="A376" s="36" t="s">
        <v>157</v>
      </c>
      <c r="B376" s="2">
        <v>0.1495515</v>
      </c>
      <c r="C376" s="2">
        <v>2.72185E-2</v>
      </c>
      <c r="D376" s="2">
        <v>-10.44</v>
      </c>
      <c r="E376" s="2">
        <v>0</v>
      </c>
      <c r="F376" s="2">
        <f>B376-0.1046819</f>
        <v>4.4869600000000009E-2</v>
      </c>
      <c r="G376" s="2">
        <f>0.2136535-B376</f>
        <v>6.4101999999999992E-2</v>
      </c>
    </row>
    <row r="377" spans="1:7" x14ac:dyDescent="0.25">
      <c r="A377" s="36" t="s">
        <v>158</v>
      </c>
      <c r="B377" s="2">
        <v>0.35272049999999999</v>
      </c>
      <c r="C377" s="2">
        <v>3.12454E-2</v>
      </c>
      <c r="D377" s="2">
        <v>-11.76</v>
      </c>
      <c r="E377" s="2">
        <v>0</v>
      </c>
      <c r="F377" s="2">
        <f>B377-0.2965021</f>
        <v>5.6218400000000002E-2</v>
      </c>
      <c r="G377" s="2">
        <f>0.4195981-B377</f>
        <v>6.6877599999999982E-2</v>
      </c>
    </row>
    <row r="378" spans="1:7" x14ac:dyDescent="0.25">
      <c r="A378" s="36" t="s">
        <v>159</v>
      </c>
      <c r="B378" s="2">
        <v>0.64026749999999999</v>
      </c>
      <c r="C378" s="2">
        <v>6.45651E-2</v>
      </c>
      <c r="D378" s="2">
        <v>-4.42</v>
      </c>
      <c r="E378" s="2">
        <v>0</v>
      </c>
      <c r="F378" s="2">
        <f>B378-0.5254429</f>
        <v>0.11482459999999994</v>
      </c>
      <c r="G378" s="2">
        <f>0.7801845-B378</f>
        <v>0.13991699999999996</v>
      </c>
    </row>
    <row r="379" spans="1:7" x14ac:dyDescent="0.25">
      <c r="A379" s="36" t="s">
        <v>160</v>
      </c>
      <c r="B379" s="2">
        <v>1.0450280000000001</v>
      </c>
      <c r="C379" s="2">
        <v>7.0996199999999995E-2</v>
      </c>
      <c r="D379" s="2">
        <v>0.65</v>
      </c>
      <c r="E379" s="2">
        <v>0.51700000000000002</v>
      </c>
      <c r="F379" s="2">
        <f>B379-0.9147444</f>
        <v>0.13028360000000005</v>
      </c>
      <c r="G379" s="2">
        <f>1.193868-B379</f>
        <v>0.14883999999999986</v>
      </c>
    </row>
    <row r="380" spans="1:7" x14ac:dyDescent="0.25">
      <c r="A380" s="36" t="s">
        <v>161</v>
      </c>
      <c r="B380" s="2">
        <v>1.710496</v>
      </c>
      <c r="C380" s="2">
        <v>0.12880330000000001</v>
      </c>
      <c r="D380" s="2">
        <v>7.13</v>
      </c>
      <c r="E380" s="2">
        <v>0</v>
      </c>
      <c r="F380" s="2">
        <f>B380-1.475791</f>
        <v>0.23470499999999994</v>
      </c>
      <c r="G380" s="2">
        <f>1.982526-B380</f>
        <v>0.27202999999999999</v>
      </c>
    </row>
    <row r="381" spans="1:7" x14ac:dyDescent="0.25">
      <c r="A381" s="36" t="s">
        <v>189</v>
      </c>
      <c r="B381" s="2">
        <v>1</v>
      </c>
      <c r="C381" s="2"/>
      <c r="D381" s="2"/>
      <c r="E381" s="2"/>
      <c r="F381" s="2">
        <v>0</v>
      </c>
      <c r="G381" s="2">
        <v>0</v>
      </c>
    </row>
    <row r="382" spans="1:7" x14ac:dyDescent="0.25">
      <c r="A382" s="36" t="s">
        <v>162</v>
      </c>
      <c r="B382" s="2">
        <v>0.87861520000000004</v>
      </c>
      <c r="C382" s="2">
        <v>8.0657300000000001E-2</v>
      </c>
      <c r="D382" s="2">
        <v>-1.41</v>
      </c>
      <c r="E382" s="2">
        <v>0.159</v>
      </c>
      <c r="F382" s="2">
        <f>B382-0.7339358</f>
        <v>0.14467940000000001</v>
      </c>
      <c r="G382" s="2">
        <f>1.051815-B382</f>
        <v>0.1731997999999999</v>
      </c>
    </row>
    <row r="383" spans="1:7" x14ac:dyDescent="0.25">
      <c r="A383" s="36" t="s">
        <v>163</v>
      </c>
      <c r="B383" s="2">
        <v>1.8761900000000001E-2</v>
      </c>
      <c r="C383" s="2">
        <v>6.0041000000000001E-3</v>
      </c>
      <c r="D383" s="2">
        <v>-12.42</v>
      </c>
      <c r="E383" s="2">
        <v>0</v>
      </c>
      <c r="F383" s="2">
        <f>B383-0.0100203</f>
        <v>8.7416000000000021E-3</v>
      </c>
      <c r="G383" s="2">
        <f>0.0351295-B383</f>
        <v>1.63676E-2</v>
      </c>
    </row>
    <row r="384" spans="1:7" x14ac:dyDescent="0.25">
      <c r="A384" s="36" t="s">
        <v>164</v>
      </c>
      <c r="B384" s="2">
        <v>2.33674E-2</v>
      </c>
      <c r="C384" s="2">
        <v>1.0512499999999999E-2</v>
      </c>
      <c r="D384" s="2">
        <v>-8.35</v>
      </c>
      <c r="E384" s="2">
        <v>0</v>
      </c>
      <c r="F384" s="2">
        <f>B384-0.0096755</f>
        <v>1.36919E-2</v>
      </c>
      <c r="G384" s="2">
        <f>0.0564347-B384</f>
        <v>3.3067299999999994E-2</v>
      </c>
    </row>
    <row r="385" spans="1:7" x14ac:dyDescent="0.25">
      <c r="A385" s="36" t="s">
        <v>165</v>
      </c>
      <c r="B385" s="2">
        <v>4.8780499999999997E-2</v>
      </c>
      <c r="C385" s="2">
        <v>9.8434999999999998E-3</v>
      </c>
      <c r="D385" s="2">
        <v>-14.97</v>
      </c>
      <c r="E385" s="2">
        <v>0</v>
      </c>
      <c r="F385" s="2">
        <f>B385-0.0328459</f>
        <v>1.59346E-2</v>
      </c>
      <c r="G385" s="2">
        <f>0.0724454-B385</f>
        <v>2.3664899999999996E-2</v>
      </c>
    </row>
    <row r="386" spans="1:7" x14ac:dyDescent="0.25">
      <c r="A386" s="36" t="s">
        <v>166</v>
      </c>
      <c r="B386" s="2">
        <v>7.9449199999999998E-2</v>
      </c>
      <c r="C386" s="2">
        <v>1.9799500000000001E-2</v>
      </c>
      <c r="D386" s="2">
        <v>-10.16</v>
      </c>
      <c r="E386" s="2">
        <v>0</v>
      </c>
      <c r="F386" s="2">
        <f>B386-0.0487486</f>
        <v>3.0700599999999995E-2</v>
      </c>
      <c r="G386" s="2">
        <f>0.1294844-B386</f>
        <v>5.0035200000000002E-2</v>
      </c>
    </row>
    <row r="387" spans="1:7" x14ac:dyDescent="0.25">
      <c r="A387" s="36" t="s">
        <v>167</v>
      </c>
      <c r="B387" s="2">
        <v>0.24015010000000001</v>
      </c>
      <c r="C387" s="2">
        <v>2.4738199999999998E-2</v>
      </c>
      <c r="D387" s="2">
        <v>-13.85</v>
      </c>
      <c r="E387" s="2">
        <v>0</v>
      </c>
      <c r="F387" s="2">
        <f>B387-0.1962453</f>
        <v>4.3904799999999994E-2</v>
      </c>
      <c r="G387" s="2">
        <f>0.2938774-B387</f>
        <v>5.3727300000000006E-2</v>
      </c>
    </row>
    <row r="388" spans="1:7" x14ac:dyDescent="0.25">
      <c r="A388" s="36" t="s">
        <v>168</v>
      </c>
      <c r="B388" s="2">
        <v>0.44398110000000002</v>
      </c>
      <c r="C388" s="2">
        <v>5.1553799999999997E-2</v>
      </c>
      <c r="D388" s="2">
        <v>-6.99</v>
      </c>
      <c r="E388" s="2">
        <v>0</v>
      </c>
      <c r="F388" s="2">
        <f>B388-0.3536107</f>
        <v>9.0370400000000017E-2</v>
      </c>
      <c r="G388" s="2">
        <f>0.557447-B388</f>
        <v>0.11346590000000001</v>
      </c>
    </row>
    <row r="389" spans="1:7" x14ac:dyDescent="0.25">
      <c r="A389" s="36" t="s">
        <v>169</v>
      </c>
      <c r="B389" s="2">
        <v>0.70356470000000004</v>
      </c>
      <c r="C389" s="2">
        <v>5.0370600000000001E-2</v>
      </c>
      <c r="D389" s="2">
        <v>-4.91</v>
      </c>
      <c r="E389" s="2">
        <v>0</v>
      </c>
      <c r="F389" s="2">
        <f>B389-0.6114537</f>
        <v>9.2111000000000054E-2</v>
      </c>
      <c r="G389" s="2">
        <f>0.8095516-B389</f>
        <v>0.1059869</v>
      </c>
    </row>
    <row r="390" spans="1:7" x14ac:dyDescent="0.25">
      <c r="A390" s="36" t="s">
        <v>170</v>
      </c>
      <c r="B390" s="2">
        <v>1.3599840000000001</v>
      </c>
      <c r="C390" s="2">
        <v>0.1075308</v>
      </c>
      <c r="D390" s="2">
        <v>3.89</v>
      </c>
      <c r="E390" s="2">
        <v>0</v>
      </c>
      <c r="F390" s="2">
        <f>B390-1.164746</f>
        <v>0.19523800000000002</v>
      </c>
      <c r="G390" s="2">
        <f>1.587948-B390</f>
        <v>0.22796399999999983</v>
      </c>
    </row>
    <row r="391" spans="1:7" x14ac:dyDescent="0.25">
      <c r="A391" s="36" t="s">
        <v>171</v>
      </c>
      <c r="B391" s="2">
        <v>0.18383340000000001</v>
      </c>
      <c r="C391" s="2">
        <v>1.75283E-2</v>
      </c>
      <c r="D391" s="2">
        <v>-17.760000000000002</v>
      </c>
      <c r="E391" s="2">
        <v>0</v>
      </c>
      <c r="F391" s="2">
        <f>B391-0.1524978</f>
        <v>3.1335600000000019E-2</v>
      </c>
      <c r="G391" s="2">
        <f>0.221608-B391</f>
        <v>3.7774599999999992E-2</v>
      </c>
    </row>
    <row r="392" spans="1:7" x14ac:dyDescent="0.25">
      <c r="A392" s="36" t="s">
        <v>172</v>
      </c>
      <c r="B392" s="2">
        <v>0.3268277</v>
      </c>
      <c r="C392" s="2">
        <v>3.0454200000000001E-2</v>
      </c>
      <c r="D392" s="2">
        <v>-12</v>
      </c>
      <c r="E392" s="2">
        <v>0</v>
      </c>
      <c r="F392" s="2">
        <f>B392-0.2722719</f>
        <v>5.4555799999999988E-2</v>
      </c>
      <c r="G392" s="2">
        <f>0.3923151-B392</f>
        <v>6.5487400000000029E-2</v>
      </c>
    </row>
    <row r="393" spans="1:7" x14ac:dyDescent="0.25">
      <c r="A393" s="36" t="s">
        <v>173</v>
      </c>
      <c r="B393" s="2">
        <v>0.38645269999999998</v>
      </c>
      <c r="C393" s="2">
        <v>2.9514200000000001E-2</v>
      </c>
      <c r="D393" s="2">
        <v>-12.45</v>
      </c>
      <c r="E393" s="2">
        <v>0</v>
      </c>
      <c r="F393" s="2">
        <f>B393-0.3327272</f>
        <v>5.3725499999999982E-2</v>
      </c>
      <c r="G393" s="2">
        <f>0.4488533-B393</f>
        <v>6.2400600000000028E-2</v>
      </c>
    </row>
    <row r="394" spans="1:7" x14ac:dyDescent="0.25">
      <c r="A394" s="36" t="s">
        <v>174</v>
      </c>
      <c r="B394" s="2">
        <v>0.4996332</v>
      </c>
      <c r="C394" s="2">
        <v>4.0117300000000002E-2</v>
      </c>
      <c r="D394" s="2">
        <v>-8.64</v>
      </c>
      <c r="E394" s="2">
        <v>0</v>
      </c>
      <c r="F394" s="2">
        <f>B394-0.4268795</f>
        <v>7.2753699999999977E-2</v>
      </c>
      <c r="G394" s="2">
        <f>0.5847863-B394</f>
        <v>8.5153099999999982E-2</v>
      </c>
    </row>
    <row r="395" spans="1:7" x14ac:dyDescent="0.25">
      <c r="A395" s="36" t="s">
        <v>175</v>
      </c>
      <c r="B395" s="2">
        <v>0.3502228</v>
      </c>
      <c r="C395" s="2">
        <v>2.7445899999999999E-2</v>
      </c>
      <c r="D395" s="2">
        <v>-13.39</v>
      </c>
      <c r="E395" s="2">
        <v>0</v>
      </c>
      <c r="F395" s="2">
        <f>B395-0.3003573</f>
        <v>4.9865500000000007E-2</v>
      </c>
      <c r="G395" s="2">
        <f>0.4083669-B395</f>
        <v>5.8144099999999976E-2</v>
      </c>
    </row>
    <row r="396" spans="1:7" x14ac:dyDescent="0.25">
      <c r="A396" s="36" t="s">
        <v>176</v>
      </c>
      <c r="B396" s="2">
        <v>0.4770933</v>
      </c>
      <c r="C396" s="2">
        <v>3.90321E-2</v>
      </c>
      <c r="D396" s="2">
        <v>-9.0500000000000007</v>
      </c>
      <c r="E396" s="2">
        <v>0</v>
      </c>
      <c r="F396" s="2">
        <f>B396-0.4064102</f>
        <v>7.0683099999999999E-2</v>
      </c>
      <c r="G396" s="2">
        <f>0.5600698-B396</f>
        <v>8.2976499999999953E-2</v>
      </c>
    </row>
    <row r="397" spans="1:7" x14ac:dyDescent="0.25">
      <c r="A397" s="36" t="s">
        <v>177</v>
      </c>
      <c r="B397" s="2">
        <v>1.00102</v>
      </c>
      <c r="C397" s="2">
        <v>6.1538200000000001E-2</v>
      </c>
      <c r="D397" s="2">
        <v>0.02</v>
      </c>
      <c r="E397" s="2">
        <v>0.98699999999999999</v>
      </c>
      <c r="F397" s="2">
        <f>B397-0.8873901</f>
        <v>0.11362990000000006</v>
      </c>
      <c r="G397" s="2">
        <f>1.1292-B397</f>
        <v>0.12817999999999996</v>
      </c>
    </row>
    <row r="398" spans="1:7" x14ac:dyDescent="0.25">
      <c r="A398" s="36" t="s">
        <v>178</v>
      </c>
      <c r="B398" s="2">
        <v>1.421888</v>
      </c>
      <c r="C398" s="2">
        <v>9.1200500000000004E-2</v>
      </c>
      <c r="D398" s="2">
        <v>5.49</v>
      </c>
      <c r="E398" s="2">
        <v>0</v>
      </c>
      <c r="F398" s="2">
        <f>B398-1.253918</f>
        <v>0.16796999999999995</v>
      </c>
      <c r="G398" s="2">
        <f>1.61236-B398</f>
        <v>0.19047199999999997</v>
      </c>
    </row>
    <row r="399" spans="1:7" x14ac:dyDescent="0.25">
      <c r="A399" s="36" t="s">
        <v>179</v>
      </c>
      <c r="B399" s="2">
        <v>0.76351250000000004</v>
      </c>
      <c r="C399" s="2">
        <v>4.90839E-2</v>
      </c>
      <c r="D399" s="2">
        <v>-4.2</v>
      </c>
      <c r="E399" s="2">
        <v>0</v>
      </c>
      <c r="F399" s="2">
        <f>B399-0.6731239</f>
        <v>9.0388600000000041E-2</v>
      </c>
      <c r="G399" s="2">
        <f>0.8660386-B399</f>
        <v>0.10252609999999995</v>
      </c>
    </row>
    <row r="400" spans="1:7" x14ac:dyDescent="0.25">
      <c r="A400" s="36" t="s">
        <v>180</v>
      </c>
      <c r="B400" s="2">
        <v>0.77386790000000005</v>
      </c>
      <c r="C400" s="2">
        <v>5.63612E-2</v>
      </c>
      <c r="D400" s="2">
        <v>-3.52</v>
      </c>
      <c r="E400" s="2">
        <v>0</v>
      </c>
      <c r="F400" s="2">
        <f>B400-0.670924</f>
        <v>0.10294390000000009</v>
      </c>
      <c r="G400" s="2">
        <f>0.8926071-B400</f>
        <v>0.11873919999999993</v>
      </c>
    </row>
    <row r="401" spans="1:7" x14ac:dyDescent="0.25">
      <c r="A401" s="36" t="s">
        <v>181</v>
      </c>
      <c r="B401" s="2">
        <v>4.8306599999999998E-2</v>
      </c>
      <c r="C401" s="2">
        <v>8.3447E-3</v>
      </c>
      <c r="D401" s="2">
        <v>-17.54</v>
      </c>
      <c r="E401" s="2">
        <v>0</v>
      </c>
      <c r="F401" s="2">
        <f>B401-0.0344323</f>
        <v>1.3874299999999999E-2</v>
      </c>
      <c r="G401" s="2">
        <f>0.0677715-B401</f>
        <v>1.94649E-2</v>
      </c>
    </row>
    <row r="402" spans="1:7" x14ac:dyDescent="0.25">
      <c r="A402" s="36" t="s">
        <v>182</v>
      </c>
      <c r="B402" s="2">
        <v>5.44713E-2</v>
      </c>
      <c r="C402" s="2">
        <v>1.0471299999999999E-2</v>
      </c>
      <c r="D402" s="2">
        <v>-15.14</v>
      </c>
      <c r="E402" s="2">
        <v>0</v>
      </c>
      <c r="F402" s="2">
        <f>B402-0.0373711</f>
        <v>1.7100200000000003E-2</v>
      </c>
      <c r="G402" s="2">
        <f>0.0793961-B402</f>
        <v>2.4924799999999997E-2</v>
      </c>
    </row>
    <row r="403" spans="1:7" x14ac:dyDescent="0.25">
      <c r="A403" s="36" t="s">
        <v>183</v>
      </c>
      <c r="B403" s="2">
        <v>8.7220199999999998E-2</v>
      </c>
      <c r="C403" s="2">
        <v>1.17292E-2</v>
      </c>
      <c r="D403" s="2">
        <v>-18.14</v>
      </c>
      <c r="E403" s="2">
        <v>0</v>
      </c>
      <c r="F403" s="2">
        <f>B403-0.0670114</f>
        <v>2.0208799999999999E-2</v>
      </c>
      <c r="G403" s="2">
        <f>0.1135234-B403</f>
        <v>2.6303199999999999E-2</v>
      </c>
    </row>
    <row r="404" spans="1:7" x14ac:dyDescent="0.25">
      <c r="A404" s="36" t="s">
        <v>184</v>
      </c>
      <c r="B404" s="2">
        <v>0.1333607</v>
      </c>
      <c r="C404" s="2">
        <v>1.7804500000000001E-2</v>
      </c>
      <c r="D404" s="2">
        <v>-15.09</v>
      </c>
      <c r="E404" s="2">
        <v>0</v>
      </c>
      <c r="F404" s="2">
        <f>B404-0.1026567</f>
        <v>3.0703999999999995E-2</v>
      </c>
      <c r="G404" s="2">
        <f>0.1732482-B404</f>
        <v>3.9887499999999992E-2</v>
      </c>
    </row>
    <row r="405" spans="1:7" x14ac:dyDescent="0.25">
      <c r="A405" s="36" t="s">
        <v>185</v>
      </c>
      <c r="B405" s="2">
        <v>0.17309859999999999</v>
      </c>
      <c r="C405" s="2">
        <v>1.73939E-2</v>
      </c>
      <c r="D405" s="2">
        <v>-17.45</v>
      </c>
      <c r="E405" s="2">
        <v>0</v>
      </c>
      <c r="F405" s="2">
        <f>B405-0.1421544</f>
        <v>3.0944200000000005E-2</v>
      </c>
      <c r="G405" s="2">
        <f>0.2107788-B405</f>
        <v>3.7680199999999997E-2</v>
      </c>
    </row>
    <row r="406" spans="1:7" x14ac:dyDescent="0.25">
      <c r="A406" s="36" t="s">
        <v>186</v>
      </c>
      <c r="B406" s="2">
        <v>0.23479</v>
      </c>
      <c r="C406" s="2">
        <v>2.4377900000000001E-2</v>
      </c>
      <c r="D406" s="2">
        <v>-13.96</v>
      </c>
      <c r="E406" s="2">
        <v>0</v>
      </c>
      <c r="F406" s="2">
        <f>B406-0.1915581</f>
        <v>4.323189999999999E-2</v>
      </c>
      <c r="G406" s="2">
        <f>0.2877787-B406</f>
        <v>5.29887E-2</v>
      </c>
    </row>
    <row r="407" spans="1:7" x14ac:dyDescent="0.25">
      <c r="A407" s="36" t="s">
        <v>187</v>
      </c>
      <c r="B407" s="2">
        <v>0.59980679999999997</v>
      </c>
      <c r="C407" s="2">
        <v>4.0272799999999997E-2</v>
      </c>
      <c r="D407" s="2">
        <v>-7.61</v>
      </c>
      <c r="E407" s="2">
        <v>0</v>
      </c>
      <c r="F407" s="2">
        <f>B407-0.5258468</f>
        <v>7.3960000000000026E-2</v>
      </c>
      <c r="G407" s="2">
        <f>0.6841692-B407</f>
        <v>8.436240000000006E-2</v>
      </c>
    </row>
    <row r="408" spans="1:7" x14ac:dyDescent="0.25">
      <c r="A408" s="36" t="s">
        <v>188</v>
      </c>
      <c r="B408" s="2">
        <v>0.9466734</v>
      </c>
      <c r="C408" s="2">
        <v>6.4899200000000004E-2</v>
      </c>
      <c r="D408" s="2">
        <v>-0.8</v>
      </c>
      <c r="E408" s="2">
        <v>0.42399999999999999</v>
      </c>
      <c r="F408" s="2">
        <f>B408-0.8276486</f>
        <v>0.11902480000000004</v>
      </c>
      <c r="G408" s="2">
        <f>1.082815-B408</f>
        <v>0.13614160000000008</v>
      </c>
    </row>
    <row r="409" spans="1:7" x14ac:dyDescent="0.25">
      <c r="A409" s="36" t="s">
        <v>273</v>
      </c>
      <c r="B409" s="2">
        <v>0.54789960000000004</v>
      </c>
      <c r="C409" s="2">
        <v>0.1527859</v>
      </c>
      <c r="D409" s="2">
        <v>-2.16</v>
      </c>
      <c r="E409" s="2">
        <v>3.1E-2</v>
      </c>
      <c r="F409" s="2">
        <f>B409-0.3172028</f>
        <v>0.23069680000000004</v>
      </c>
      <c r="G409" s="2">
        <f>0.9463787-B409</f>
        <v>0.39847909999999997</v>
      </c>
    </row>
    <row r="410" spans="1:7" x14ac:dyDescent="0.25">
      <c r="A410" s="36" t="s">
        <v>274</v>
      </c>
      <c r="B410" s="2">
        <v>1.0774999999999999</v>
      </c>
      <c r="C410" s="2">
        <v>0.2010306</v>
      </c>
      <c r="D410" s="2">
        <v>0.4</v>
      </c>
      <c r="E410" s="2">
        <v>0.68899999999999995</v>
      </c>
      <c r="F410" s="2">
        <f>B410-0.7474937</f>
        <v>0.33000629999999986</v>
      </c>
      <c r="G410" s="2">
        <f>1.553199-B410</f>
        <v>0.47569900000000009</v>
      </c>
    </row>
    <row r="411" spans="1:7" x14ac:dyDescent="0.25">
      <c r="A411" s="36" t="s">
        <v>275</v>
      </c>
      <c r="B411" s="2">
        <v>0.5022413</v>
      </c>
      <c r="C411" s="2">
        <v>0.15068500000000001</v>
      </c>
      <c r="D411" s="2">
        <v>-2.2999999999999998</v>
      </c>
      <c r="E411" s="2">
        <v>2.1999999999999999E-2</v>
      </c>
      <c r="F411" s="2">
        <f>B411-0.2789528</f>
        <v>0.2232885</v>
      </c>
      <c r="G411" s="2">
        <f>0.9042618-B411</f>
        <v>0.4020205</v>
      </c>
    </row>
    <row r="412" spans="1:7" x14ac:dyDescent="0.25">
      <c r="A412" s="36" t="s">
        <v>276</v>
      </c>
      <c r="B412" s="2">
        <v>0.79943549999999997</v>
      </c>
      <c r="C412" s="2">
        <v>0.17863709999999999</v>
      </c>
      <c r="D412" s="2">
        <v>-1</v>
      </c>
      <c r="E412" s="2">
        <v>0.316</v>
      </c>
      <c r="F412" s="2">
        <f>B412-0.515916</f>
        <v>0.28351949999999992</v>
      </c>
      <c r="G412" s="2">
        <f>1.238762-B412</f>
        <v>0.43932649999999995</v>
      </c>
    </row>
    <row r="413" spans="1:7" x14ac:dyDescent="0.25">
      <c r="A413" s="36" t="s">
        <v>277</v>
      </c>
      <c r="B413" s="2">
        <v>9.1316599999999998E-2</v>
      </c>
      <c r="C413" s="2">
        <v>6.4898999999999998E-2</v>
      </c>
      <c r="D413" s="2">
        <v>-3.37</v>
      </c>
      <c r="E413" s="2">
        <v>1E-3</v>
      </c>
      <c r="F413" s="2">
        <f>B413-0.0226776</f>
        <v>6.8639000000000006E-2</v>
      </c>
      <c r="G413" s="2">
        <f>0.3677069-B413</f>
        <v>0.27639029999999998</v>
      </c>
    </row>
    <row r="414" spans="1:7" x14ac:dyDescent="0.25">
      <c r="A414" s="36" t="s">
        <v>278</v>
      </c>
      <c r="B414" s="2">
        <v>0.1390323</v>
      </c>
      <c r="C414" s="2">
        <v>6.8996000000000002E-2</v>
      </c>
      <c r="D414" s="2">
        <v>-3.98</v>
      </c>
      <c r="E414" s="2">
        <v>0</v>
      </c>
      <c r="F414" s="2">
        <f>B414-0.0525653</f>
        <v>8.6466999999999988E-2</v>
      </c>
      <c r="G414" s="2">
        <f>0.3677324-B414</f>
        <v>0.22870010000000002</v>
      </c>
    </row>
    <row r="415" spans="1:7" x14ac:dyDescent="0.25">
      <c r="A415" s="36" t="s">
        <v>279</v>
      </c>
      <c r="B415" s="2">
        <v>0.95882429999999996</v>
      </c>
      <c r="C415" s="2">
        <v>0.25140180000000001</v>
      </c>
      <c r="D415" s="2">
        <v>-0.16</v>
      </c>
      <c r="E415" s="2">
        <v>0.873</v>
      </c>
      <c r="F415" s="2">
        <f>B415-0.5735294</f>
        <v>0.3852949</v>
      </c>
      <c r="G415" s="2">
        <f>1.602959-B415</f>
        <v>0.64413470000000006</v>
      </c>
    </row>
    <row r="416" spans="1:7" x14ac:dyDescent="0.25">
      <c r="A416" s="36" t="s">
        <v>280</v>
      </c>
      <c r="B416" s="2">
        <v>1.7031449999999999</v>
      </c>
      <c r="C416" s="2">
        <v>0.300178</v>
      </c>
      <c r="D416" s="2">
        <v>3.02</v>
      </c>
      <c r="E416" s="2">
        <v>3.0000000000000001E-3</v>
      </c>
      <c r="F416" s="2">
        <f>B416-1.205669</f>
        <v>0.49747599999999981</v>
      </c>
      <c r="G416" s="2">
        <f>2.405887-B416</f>
        <v>0.70274199999999998</v>
      </c>
    </row>
    <row r="417" spans="1:22" x14ac:dyDescent="0.25">
      <c r="A417" s="36" t="s">
        <v>281</v>
      </c>
      <c r="B417" s="2">
        <v>1.689357</v>
      </c>
      <c r="C417" s="2">
        <v>0.32036619999999999</v>
      </c>
      <c r="D417" s="2">
        <v>2.76</v>
      </c>
      <c r="E417" s="2">
        <v>6.0000000000000001E-3</v>
      </c>
      <c r="F417" s="2">
        <f>B417-1.164934</f>
        <v>0.52442300000000008</v>
      </c>
      <c r="G417" s="2">
        <f>2.449862-B417</f>
        <v>0.76050499999999999</v>
      </c>
    </row>
    <row r="418" spans="1:22" x14ac:dyDescent="0.25">
      <c r="A418" s="36" t="s">
        <v>282</v>
      </c>
      <c r="B418" s="2">
        <v>1.737903</v>
      </c>
      <c r="C418" s="2">
        <v>0.2859797</v>
      </c>
      <c r="D418" s="2">
        <v>3.36</v>
      </c>
      <c r="E418" s="2">
        <v>1E-3</v>
      </c>
      <c r="F418" s="2">
        <f>B418-1.2588</f>
        <v>0.47910300000000006</v>
      </c>
      <c r="G418" s="2">
        <f>2.399356-B418</f>
        <v>0.66145300000000007</v>
      </c>
    </row>
    <row r="419" spans="1:22" x14ac:dyDescent="0.25">
      <c r="A419" s="36" t="s">
        <v>283</v>
      </c>
      <c r="B419" s="2">
        <v>0.41092469999999998</v>
      </c>
      <c r="C419" s="2">
        <v>0.1399301</v>
      </c>
      <c r="D419" s="2">
        <v>-2.61</v>
      </c>
      <c r="E419" s="2">
        <v>8.9999999999999993E-3</v>
      </c>
      <c r="F419" s="2">
        <f>B419-0.2108176</f>
        <v>0.20010709999999998</v>
      </c>
      <c r="G419" s="2">
        <f>0.8009726-B419</f>
        <v>0.39004790000000006</v>
      </c>
    </row>
    <row r="420" spans="1:22" x14ac:dyDescent="0.25">
      <c r="A420" s="36" t="s">
        <v>284</v>
      </c>
      <c r="B420" s="2">
        <v>0.27806449999999999</v>
      </c>
      <c r="C420" s="2">
        <v>0.10976569999999999</v>
      </c>
      <c r="D420" s="2">
        <v>-3.24</v>
      </c>
      <c r="E420" s="2">
        <v>1E-3</v>
      </c>
      <c r="F420" s="2">
        <f>B420-0.1282728</f>
        <v>0.1497917</v>
      </c>
      <c r="G420" s="2">
        <f>0.6027769-B420</f>
        <v>0.32471239999999996</v>
      </c>
    </row>
    <row r="421" spans="1:22" x14ac:dyDescent="0.25">
      <c r="A421" s="36" t="s">
        <v>285</v>
      </c>
      <c r="B421" s="2">
        <v>0.1826332</v>
      </c>
      <c r="C421" s="2">
        <v>8.8956599999999997E-2</v>
      </c>
      <c r="D421" s="2">
        <v>-3.49</v>
      </c>
      <c r="E421" s="2">
        <v>0</v>
      </c>
      <c r="F421" s="2">
        <f>B421-0.0703037</f>
        <v>0.1123295</v>
      </c>
      <c r="G421" s="2">
        <f>0.4744397-B421</f>
        <v>0.29180650000000002</v>
      </c>
    </row>
    <row r="422" spans="1:22" x14ac:dyDescent="0.25">
      <c r="A422" s="36" t="s">
        <v>286</v>
      </c>
      <c r="B422" s="2">
        <v>0.24330650000000001</v>
      </c>
      <c r="C422" s="2">
        <v>9.3253000000000003E-2</v>
      </c>
      <c r="D422" s="2">
        <v>-3.69</v>
      </c>
      <c r="E422" s="2">
        <v>0</v>
      </c>
      <c r="F422" s="2">
        <f>B422-0.1147916</f>
        <v>0.12851490000000002</v>
      </c>
      <c r="G422" s="2">
        <f>0.5156999-B422</f>
        <v>0.27239340000000001</v>
      </c>
    </row>
    <row r="423" spans="1:22" x14ac:dyDescent="0.25">
      <c r="A423" s="36" t="s">
        <v>287</v>
      </c>
      <c r="B423" s="2">
        <v>4.5658299999999999E-2</v>
      </c>
      <c r="C423" s="2">
        <v>4.5909999999999999E-2</v>
      </c>
      <c r="D423" s="2">
        <v>-3.07</v>
      </c>
      <c r="E423" s="2">
        <v>2E-3</v>
      </c>
      <c r="F423" s="2">
        <f>B423-0.0063625</f>
        <v>3.9295799999999999E-2</v>
      </c>
      <c r="G423" s="2">
        <f>0.327653-B423</f>
        <v>0.28199470000000004</v>
      </c>
    </row>
    <row r="424" spans="1:22" x14ac:dyDescent="0.25">
      <c r="A424" s="36" t="s">
        <v>288</v>
      </c>
      <c r="B424" s="2">
        <v>0.1390323</v>
      </c>
      <c r="C424" s="2">
        <v>6.8659100000000001E-2</v>
      </c>
      <c r="D424" s="2">
        <v>-4</v>
      </c>
      <c r="E424" s="2">
        <v>0</v>
      </c>
      <c r="F424" s="2">
        <f>B424-0.0528156</f>
        <v>8.6216700000000007E-2</v>
      </c>
      <c r="G424" s="2">
        <f>0.3659901-B424</f>
        <v>0.22695779999999999</v>
      </c>
    </row>
    <row r="425" spans="1:22" x14ac:dyDescent="0.25">
      <c r="A425" s="36" t="s">
        <v>289</v>
      </c>
      <c r="B425" s="2">
        <v>0.86750769999999999</v>
      </c>
      <c r="C425" s="2">
        <v>0.17449000000000001</v>
      </c>
      <c r="D425" s="2">
        <v>-0.71</v>
      </c>
      <c r="E425" s="2">
        <v>0.48</v>
      </c>
      <c r="F425" s="2">
        <f>B425-0.5848751</f>
        <v>0.28263260000000001</v>
      </c>
      <c r="G425" s="2">
        <f>1.286718-B425</f>
        <v>0.41921030000000004</v>
      </c>
    </row>
    <row r="426" spans="1:22" x14ac:dyDescent="0.25">
      <c r="A426" s="36" t="s">
        <v>290</v>
      </c>
      <c r="B426" s="2">
        <v>0.76467750000000001</v>
      </c>
      <c r="C426" s="2">
        <v>0.1619816</v>
      </c>
      <c r="D426" s="2">
        <v>-1.27</v>
      </c>
      <c r="E426" s="2">
        <v>0.20499999999999999</v>
      </c>
      <c r="F426" s="2">
        <f>B426-0.5048569</f>
        <v>0.25982059999999996</v>
      </c>
      <c r="G426" s="2">
        <f>1.158213-B426</f>
        <v>0.39353549999999993</v>
      </c>
    </row>
    <row r="427" spans="1:22" x14ac:dyDescent="0.25">
      <c r="A427" s="36"/>
      <c r="B427" s="3"/>
      <c r="C427" s="3"/>
      <c r="D427" s="3"/>
      <c r="E427" s="3"/>
      <c r="F427" s="3"/>
      <c r="G427" s="3"/>
    </row>
    <row r="428" spans="1:22" x14ac:dyDescent="0.25">
      <c r="A428" s="5" t="s">
        <v>6</v>
      </c>
      <c r="B428" s="6">
        <v>3.8920999999999999E-3</v>
      </c>
      <c r="C428" s="6">
        <v>2.264E-4</v>
      </c>
      <c r="D428" s="6">
        <v>-95.4</v>
      </c>
      <c r="E428" s="6">
        <v>0</v>
      </c>
      <c r="F428" s="6">
        <v>3.4727E-3</v>
      </c>
      <c r="G428" s="6">
        <v>4.3620999999999998E-3</v>
      </c>
    </row>
    <row r="430" spans="1:22" ht="15.75" thickBot="1" x14ac:dyDescent="0.3">
      <c r="U430" s="2"/>
      <c r="V430" s="2"/>
    </row>
    <row r="431" spans="1:22" x14ac:dyDescent="0.25">
      <c r="A431" s="10"/>
      <c r="B431" s="11"/>
      <c r="C431" s="11" t="s">
        <v>9</v>
      </c>
      <c r="D431" s="11" t="s">
        <v>10</v>
      </c>
      <c r="E431" s="11" t="s">
        <v>40</v>
      </c>
      <c r="F431" s="11" t="s">
        <v>7</v>
      </c>
      <c r="G431" s="11" t="s">
        <v>8</v>
      </c>
      <c r="H431" s="11" t="s">
        <v>62</v>
      </c>
      <c r="I431" s="11" t="s">
        <v>63</v>
      </c>
      <c r="J431" s="11" t="s">
        <v>64</v>
      </c>
      <c r="K431" s="12" t="s">
        <v>65</v>
      </c>
      <c r="N431" s="2">
        <v>8.1616000000000015E-3</v>
      </c>
      <c r="O431" s="2">
        <v>1.5796500000000002E-2</v>
      </c>
      <c r="P431" s="2">
        <v>0.13028360000000005</v>
      </c>
      <c r="Q431" s="2">
        <v>0.14883999999999986</v>
      </c>
      <c r="R431" s="2">
        <v>1.59346E-2</v>
      </c>
      <c r="S431" s="2">
        <v>2.3664899999999996E-2</v>
      </c>
      <c r="U431" s="2"/>
      <c r="V431" s="2"/>
    </row>
    <row r="432" spans="1:22" x14ac:dyDescent="0.25">
      <c r="A432" s="13" t="s">
        <v>105</v>
      </c>
      <c r="B432" s="7" t="s">
        <v>152</v>
      </c>
      <c r="C432" s="14">
        <f>B373</f>
        <v>1.6886000000000002E-2</v>
      </c>
      <c r="D432" s="15">
        <f>B375</f>
        <v>0.1013133</v>
      </c>
      <c r="E432" s="15">
        <f>B377</f>
        <v>0.35272049999999999</v>
      </c>
      <c r="F432" s="15">
        <f>B379</f>
        <v>1.0450280000000001</v>
      </c>
      <c r="G432" s="15">
        <f>B381</f>
        <v>1</v>
      </c>
      <c r="H432" s="15">
        <f>B383</f>
        <v>1.8761900000000001E-2</v>
      </c>
      <c r="I432" s="16">
        <f>B385</f>
        <v>4.8780499999999997E-2</v>
      </c>
      <c r="J432" s="16">
        <f>B387</f>
        <v>0.24015010000000001</v>
      </c>
      <c r="K432" s="17">
        <f>B389</f>
        <v>0.70356470000000004</v>
      </c>
      <c r="N432" s="2">
        <v>2.44394E-2</v>
      </c>
      <c r="O432" s="2">
        <v>4.3315499999999993E-2</v>
      </c>
      <c r="P432" s="2">
        <v>0.23470499999999994</v>
      </c>
      <c r="Q432" s="2">
        <v>0.27202999999999999</v>
      </c>
      <c r="R432" s="2">
        <v>3.0700599999999995E-2</v>
      </c>
      <c r="S432" s="2">
        <v>5.0035200000000002E-2</v>
      </c>
      <c r="U432" s="2"/>
      <c r="V432" s="2"/>
    </row>
    <row r="433" spans="1:22" x14ac:dyDescent="0.25">
      <c r="A433" s="13"/>
      <c r="B433" s="7" t="s">
        <v>372</v>
      </c>
      <c r="C433" s="15">
        <f>B374</f>
        <v>5.6081800000000001E-2</v>
      </c>
      <c r="D433" s="15">
        <f>B376</f>
        <v>0.1495515</v>
      </c>
      <c r="E433" s="15">
        <f>B378</f>
        <v>0.64026749999999999</v>
      </c>
      <c r="F433" s="15">
        <f>B380</f>
        <v>1.710496</v>
      </c>
      <c r="G433" s="15">
        <f>B382</f>
        <v>0.87861520000000004</v>
      </c>
      <c r="H433" s="15">
        <f>B384</f>
        <v>2.33674E-2</v>
      </c>
      <c r="I433" s="16">
        <f>B386</f>
        <v>7.9449199999999998E-2</v>
      </c>
      <c r="J433" s="16">
        <f>B388</f>
        <v>0.44398110000000002</v>
      </c>
      <c r="K433" s="18">
        <f>B390</f>
        <v>1.3599840000000001</v>
      </c>
      <c r="N433" s="2">
        <v>0.23069680000000004</v>
      </c>
      <c r="O433" s="2">
        <v>0.39847909999999997</v>
      </c>
      <c r="P433" s="2">
        <v>0.3852949</v>
      </c>
      <c r="Q433" s="2">
        <v>0.64413470000000006</v>
      </c>
      <c r="R433" s="2">
        <v>0.1123295</v>
      </c>
      <c r="S433" s="2">
        <v>0.29180650000000002</v>
      </c>
      <c r="U433" s="2"/>
      <c r="V433" s="2"/>
    </row>
    <row r="434" spans="1:22" x14ac:dyDescent="0.25">
      <c r="A434" s="24" t="s">
        <v>106</v>
      </c>
      <c r="B434" s="7" t="s">
        <v>152</v>
      </c>
      <c r="C434" s="15">
        <f>B409</f>
        <v>0.54789960000000004</v>
      </c>
      <c r="D434" s="15">
        <f>B411</f>
        <v>0.5022413</v>
      </c>
      <c r="E434" s="15">
        <f>B413</f>
        <v>9.1316599999999998E-2</v>
      </c>
      <c r="F434" s="25">
        <f>B415</f>
        <v>0.95882429999999996</v>
      </c>
      <c r="G434" s="25">
        <f>B417</f>
        <v>1.689357</v>
      </c>
      <c r="H434" s="15">
        <f>B419</f>
        <v>0.41092469999999998</v>
      </c>
      <c r="I434" s="42">
        <f>B421</f>
        <v>0.1826332</v>
      </c>
      <c r="J434" s="42">
        <f>B423</f>
        <v>4.5658299999999999E-2</v>
      </c>
      <c r="K434" s="17">
        <f>B425</f>
        <v>0.86750769999999999</v>
      </c>
      <c r="N434" s="2">
        <v>0.33000629999999986</v>
      </c>
      <c r="O434" s="2">
        <v>0.47569900000000009</v>
      </c>
      <c r="P434" s="2">
        <v>0.49747599999999981</v>
      </c>
      <c r="Q434" s="2">
        <v>0.70274199999999998</v>
      </c>
      <c r="R434" s="2">
        <v>0.12851490000000002</v>
      </c>
      <c r="S434" s="2">
        <v>0.27239340000000001</v>
      </c>
      <c r="U434" s="2"/>
      <c r="V434" s="2"/>
    </row>
    <row r="435" spans="1:22" ht="15.75" thickBot="1" x14ac:dyDescent="0.3">
      <c r="A435" s="26"/>
      <c r="B435" s="27" t="s">
        <v>372</v>
      </c>
      <c r="C435" s="28">
        <f>B410</f>
        <v>1.0774999999999999</v>
      </c>
      <c r="D435" s="28">
        <f>B412</f>
        <v>0.79943549999999997</v>
      </c>
      <c r="E435" s="29">
        <f>B414</f>
        <v>0.1390323</v>
      </c>
      <c r="F435" s="28">
        <f>B416</f>
        <v>1.7031449999999999</v>
      </c>
      <c r="G435" s="28">
        <f>B418</f>
        <v>1.737903</v>
      </c>
      <c r="H435" s="29">
        <f>B420</f>
        <v>0.27806449999999999</v>
      </c>
      <c r="I435" s="29">
        <f>B422</f>
        <v>0.24330650000000001</v>
      </c>
      <c r="J435" s="30">
        <f>B424</f>
        <v>0.1390323</v>
      </c>
      <c r="K435" s="31">
        <f>B426</f>
        <v>0.76467750000000001</v>
      </c>
      <c r="N435" s="2">
        <v>2.4899699999999997E-2</v>
      </c>
      <c r="O435" s="2">
        <v>3.3013399999999998E-2</v>
      </c>
      <c r="P435" s="2">
        <v>0</v>
      </c>
      <c r="Q435" s="2">
        <v>0</v>
      </c>
      <c r="R435" s="2">
        <v>4.3904799999999994E-2</v>
      </c>
      <c r="S435" s="2">
        <v>5.3727300000000006E-2</v>
      </c>
      <c r="U435" s="2"/>
      <c r="V435" s="2"/>
    </row>
    <row r="436" spans="1:22" x14ac:dyDescent="0.25">
      <c r="N436" s="2">
        <v>4.4869600000000009E-2</v>
      </c>
      <c r="O436" s="2">
        <v>6.4101999999999992E-2</v>
      </c>
      <c r="P436" s="2">
        <v>0.14467940000000001</v>
      </c>
      <c r="Q436" s="2">
        <v>0.1731997999999999</v>
      </c>
      <c r="R436" s="2">
        <v>9.0370400000000017E-2</v>
      </c>
      <c r="S436" s="2">
        <v>0.11346590000000001</v>
      </c>
      <c r="U436" s="2"/>
      <c r="V436" s="2"/>
    </row>
    <row r="437" spans="1:22" x14ac:dyDescent="0.25">
      <c r="N437" s="2">
        <v>0.2232885</v>
      </c>
      <c r="O437" s="2">
        <v>0.4020205</v>
      </c>
      <c r="P437" s="2">
        <v>0.52442300000000008</v>
      </c>
      <c r="Q437" s="2">
        <v>0.76050499999999999</v>
      </c>
      <c r="R437" s="2">
        <v>3.9295799999999999E-2</v>
      </c>
      <c r="S437" s="2">
        <v>0.28199470000000004</v>
      </c>
      <c r="U437" s="2"/>
      <c r="V437" s="2"/>
    </row>
    <row r="438" spans="1:22" x14ac:dyDescent="0.25">
      <c r="N438" s="2">
        <v>0.28351949999999992</v>
      </c>
      <c r="O438" s="2">
        <v>0.43932649999999995</v>
      </c>
      <c r="P438" s="2">
        <v>0.47910300000000006</v>
      </c>
      <c r="Q438" s="2">
        <v>0.66145300000000007</v>
      </c>
      <c r="R438" s="2">
        <v>8.6216700000000007E-2</v>
      </c>
      <c r="S438" s="2">
        <v>0.22695779999999999</v>
      </c>
      <c r="U438" s="2"/>
      <c r="V438" s="2"/>
    </row>
    <row r="439" spans="1:22" x14ac:dyDescent="0.25">
      <c r="N439" s="2">
        <v>5.6218400000000002E-2</v>
      </c>
      <c r="O439" s="2">
        <v>6.6877599999999982E-2</v>
      </c>
      <c r="P439" s="2">
        <v>8.7416000000000021E-3</v>
      </c>
      <c r="Q439" s="2">
        <v>1.63676E-2</v>
      </c>
      <c r="R439" s="2">
        <v>9.2111000000000054E-2</v>
      </c>
      <c r="S439" s="2">
        <v>0.1059869</v>
      </c>
      <c r="U439" s="2"/>
      <c r="V439" s="2"/>
    </row>
    <row r="440" spans="1:22" x14ac:dyDescent="0.25">
      <c r="N440" s="2">
        <v>0.11482459999999994</v>
      </c>
      <c r="O440" s="2">
        <v>0.13991699999999996</v>
      </c>
      <c r="P440" s="2">
        <v>1.36919E-2</v>
      </c>
      <c r="Q440" s="2">
        <v>3.3067299999999994E-2</v>
      </c>
      <c r="R440" s="2">
        <v>0.19523800000000002</v>
      </c>
      <c r="S440" s="2">
        <v>0.22796399999999983</v>
      </c>
      <c r="U440" s="2"/>
      <c r="V440" s="2"/>
    </row>
    <row r="441" spans="1:22" x14ac:dyDescent="0.25">
      <c r="N441" s="2">
        <v>6.8639000000000006E-2</v>
      </c>
      <c r="O441" s="2">
        <v>0.27639029999999998</v>
      </c>
      <c r="P441" s="2">
        <v>0.20010709999999998</v>
      </c>
      <c r="Q441" s="2">
        <v>0.39004790000000006</v>
      </c>
      <c r="R441" s="2">
        <v>0.28263260000000001</v>
      </c>
      <c r="S441" s="2">
        <v>0.41921030000000004</v>
      </c>
      <c r="U441" s="2"/>
      <c r="V441" s="2"/>
    </row>
    <row r="442" spans="1:22" x14ac:dyDescent="0.25">
      <c r="N442" s="2">
        <v>8.6466999999999988E-2</v>
      </c>
      <c r="O442" s="2">
        <v>0.22870010000000002</v>
      </c>
      <c r="P442" s="2">
        <v>0.1497917</v>
      </c>
      <c r="Q442" s="2">
        <v>0.32471239999999996</v>
      </c>
      <c r="R442" s="2">
        <v>0.25982059999999996</v>
      </c>
      <c r="S442" s="2">
        <v>0.39353549999999993</v>
      </c>
      <c r="U442" s="2"/>
      <c r="V442" s="2"/>
    </row>
    <row r="443" spans="1:22" x14ac:dyDescent="0.25">
      <c r="N443" s="9"/>
      <c r="O443" s="9"/>
      <c r="P443" s="7"/>
      <c r="Q443" s="7"/>
      <c r="R443" s="7"/>
      <c r="S443" s="7"/>
      <c r="U443" s="2"/>
      <c r="V443" s="2"/>
    </row>
    <row r="444" spans="1:22" x14ac:dyDescent="0.25">
      <c r="N444" s="7"/>
      <c r="O444" s="9"/>
      <c r="P444" s="7"/>
      <c r="Q444" s="7"/>
      <c r="R444" s="9"/>
      <c r="S444" s="9"/>
      <c r="U444" s="2"/>
      <c r="V444" s="2"/>
    </row>
    <row r="445" spans="1:22" x14ac:dyDescent="0.25">
      <c r="N445" s="7"/>
      <c r="O445" s="7"/>
      <c r="P445" s="7"/>
      <c r="Q445" s="7"/>
      <c r="R445" s="9"/>
      <c r="S445" s="9"/>
      <c r="U445" s="2"/>
      <c r="V445" s="2"/>
    </row>
    <row r="446" spans="1:22" x14ac:dyDescent="0.25">
      <c r="N446" s="7"/>
      <c r="O446" s="7"/>
      <c r="P446" s="9"/>
      <c r="Q446" s="9"/>
      <c r="R446" s="7"/>
      <c r="S446" s="9"/>
      <c r="U446" s="2"/>
      <c r="V446" s="2"/>
    </row>
    <row r="447" spans="1:22" x14ac:dyDescent="0.25">
      <c r="N447" s="7"/>
      <c r="O447" s="7"/>
      <c r="P447" s="7"/>
      <c r="Q447" s="9"/>
      <c r="R447" s="7"/>
      <c r="S447" s="9"/>
      <c r="U447" s="2"/>
      <c r="V447" s="2"/>
    </row>
    <row r="448" spans="1:22" x14ac:dyDescent="0.25">
      <c r="N448" s="7"/>
      <c r="O448" s="7"/>
      <c r="P448" s="7"/>
      <c r="Q448" s="9"/>
      <c r="R448" s="23"/>
      <c r="S448" s="23"/>
      <c r="U448" s="2"/>
      <c r="V448" s="2"/>
    </row>
    <row r="449" spans="14:22" x14ac:dyDescent="0.25">
      <c r="N449" s="7"/>
      <c r="O449" s="7"/>
      <c r="P449" s="7"/>
      <c r="Q449" s="9"/>
      <c r="R449" s="7"/>
      <c r="S449" s="9"/>
      <c r="U449" s="7"/>
      <c r="V449" s="9"/>
    </row>
    <row r="450" spans="14:22" x14ac:dyDescent="0.25">
      <c r="N450" s="7"/>
      <c r="O450" s="7"/>
      <c r="P450" s="7"/>
      <c r="Q450" s="9"/>
      <c r="R450" s="7"/>
      <c r="S450" s="9"/>
      <c r="U450" s="7"/>
      <c r="V450" s="9"/>
    </row>
    <row r="451" spans="14:22" x14ac:dyDescent="0.25">
      <c r="N451" s="7"/>
      <c r="O451" s="7"/>
      <c r="P451" s="7"/>
      <c r="Q451" s="7"/>
      <c r="U451" s="23"/>
      <c r="V451" s="23"/>
    </row>
    <row r="452" spans="14:22" x14ac:dyDescent="0.25">
      <c r="N452" s="9"/>
      <c r="O452" s="9"/>
      <c r="P452" s="7"/>
      <c r="Q452" s="7"/>
      <c r="U452" s="7"/>
      <c r="V452" s="9"/>
    </row>
    <row r="453" spans="14:22" x14ac:dyDescent="0.25">
      <c r="N453" s="7"/>
      <c r="O453" s="9"/>
      <c r="P453" s="7"/>
      <c r="Q453" s="7"/>
      <c r="U453" s="7"/>
      <c r="V453" s="9"/>
    </row>
    <row r="454" spans="14:22" x14ac:dyDescent="0.25">
      <c r="N454" s="9"/>
      <c r="O454" s="9"/>
      <c r="P454" s="7"/>
      <c r="Q454" s="7"/>
      <c r="U454" s="7"/>
      <c r="V454" s="9"/>
    </row>
    <row r="455" spans="14:22" x14ac:dyDescent="0.25">
      <c r="N455" s="7"/>
      <c r="O455" s="7"/>
      <c r="P455" s="7"/>
      <c r="Q455" s="7"/>
      <c r="U455" s="23"/>
      <c r="V455" s="23"/>
    </row>
    <row r="456" spans="14:22" x14ac:dyDescent="0.25">
      <c r="N456" s="7"/>
      <c r="O456" s="7"/>
      <c r="P456" s="9"/>
      <c r="Q456" s="9"/>
      <c r="U456" s="7"/>
      <c r="V456" s="9"/>
    </row>
    <row r="457" spans="14:22" x14ac:dyDescent="0.25">
      <c r="N457" s="7"/>
      <c r="O457" s="7"/>
      <c r="P457" s="9"/>
      <c r="Q457" s="9"/>
      <c r="U457" s="7"/>
      <c r="V457" s="9"/>
    </row>
    <row r="458" spans="14:22" x14ac:dyDescent="0.25">
      <c r="N458" s="23"/>
      <c r="O458" s="23"/>
      <c r="P458" s="7"/>
      <c r="Q458" s="9"/>
      <c r="U458" s="23"/>
      <c r="V458" s="23"/>
    </row>
    <row r="459" spans="14:22" x14ac:dyDescent="0.25">
      <c r="N459" s="7"/>
      <c r="O459" s="7"/>
      <c r="U459" s="7"/>
      <c r="V459" s="9"/>
    </row>
    <row r="460" spans="14:22" x14ac:dyDescent="0.25">
      <c r="N460" s="7"/>
      <c r="O460" s="7"/>
      <c r="U460" s="23"/>
      <c r="V460" s="23"/>
    </row>
    <row r="461" spans="14:22" x14ac:dyDescent="0.25">
      <c r="N461" s="7"/>
      <c r="O461" s="7"/>
      <c r="U461" s="7"/>
      <c r="V461" s="9"/>
    </row>
    <row r="462" spans="14:22" x14ac:dyDescent="0.25">
      <c r="N462" s="7"/>
      <c r="O462" s="7"/>
      <c r="U462" s="7"/>
      <c r="V462" s="9"/>
    </row>
    <row r="463" spans="14:22" x14ac:dyDescent="0.25">
      <c r="N463" s="7"/>
      <c r="O463" s="7"/>
    </row>
    <row r="464" spans="14:22" x14ac:dyDescent="0.25">
      <c r="N464" s="7"/>
      <c r="O464" s="7"/>
    </row>
    <row r="465" spans="14:15" x14ac:dyDescent="0.25">
      <c r="N465" s="7"/>
      <c r="O465" s="7"/>
    </row>
    <row r="466" spans="14:15" x14ac:dyDescent="0.25">
      <c r="N466" s="7"/>
      <c r="O466" s="7"/>
    </row>
    <row r="467" spans="14:15" x14ac:dyDescent="0.25">
      <c r="N467" s="7"/>
      <c r="O467" s="7"/>
    </row>
    <row r="468" spans="14:15" x14ac:dyDescent="0.25">
      <c r="N468" s="9"/>
      <c r="O468" s="9"/>
    </row>
    <row r="469" spans="14:15" x14ac:dyDescent="0.25">
      <c r="N469" s="9"/>
      <c r="O469" s="9"/>
    </row>
    <row r="470" spans="14:15" x14ac:dyDescent="0.25">
      <c r="N470" s="7"/>
      <c r="O470" s="9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C693-B391-42C6-9AAE-F5881FE137E8}">
  <dimension ref="A1:V471"/>
  <sheetViews>
    <sheetView topLeftCell="A237" workbookViewId="0">
      <selection activeCell="G459" sqref="G459"/>
    </sheetView>
  </sheetViews>
  <sheetFormatPr defaultColWidth="8.7109375" defaultRowHeight="15" x14ac:dyDescent="0.25"/>
  <cols>
    <col min="1" max="1" width="8.7109375" style="4"/>
    <col min="2" max="3" width="10.42578125" style="4" bestFit="1" customWidth="1"/>
    <col min="4" max="5" width="8.7109375" style="4"/>
    <col min="6" max="6" width="11" style="4" bestFit="1" customWidth="1"/>
    <col min="7" max="7" width="9.140625" style="4" bestFit="1" customWidth="1"/>
    <col min="8" max="8" width="10.5703125" style="4" bestFit="1" customWidth="1"/>
    <col min="9" max="9" width="11.140625" style="4" bestFit="1" customWidth="1"/>
    <col min="10" max="16384" width="8.7109375" style="4"/>
  </cols>
  <sheetData>
    <row r="1" spans="1:7" s="1" customFormat="1" x14ac:dyDescent="0.25">
      <c r="A1" s="1" t="s">
        <v>44</v>
      </c>
    </row>
    <row r="2" spans="1:7" s="1" customFormat="1" x14ac:dyDescent="0.25">
      <c r="A2" s="1" t="s">
        <v>322</v>
      </c>
    </row>
    <row r="4" spans="1:7" x14ac:dyDescent="0.25">
      <c r="A4" s="36"/>
      <c r="B4" s="2" t="s">
        <v>1</v>
      </c>
      <c r="C4" s="3"/>
      <c r="D4" s="3"/>
      <c r="E4" s="3"/>
      <c r="F4" s="3"/>
      <c r="G4" s="3"/>
    </row>
    <row r="5" spans="1:7" x14ac:dyDescent="0.25">
      <c r="A5" s="5" t="s">
        <v>2</v>
      </c>
      <c r="B5" s="6" t="s">
        <v>269</v>
      </c>
      <c r="C5" s="6" t="s">
        <v>270</v>
      </c>
      <c r="D5" s="6" t="s">
        <v>3</v>
      </c>
      <c r="E5" s="6" t="s">
        <v>4</v>
      </c>
      <c r="F5" s="6" t="s">
        <v>271</v>
      </c>
      <c r="G5" s="6" t="s">
        <v>272</v>
      </c>
    </row>
    <row r="6" spans="1:7" x14ac:dyDescent="0.25">
      <c r="A6" s="36"/>
      <c r="B6" s="2"/>
      <c r="C6" s="2"/>
      <c r="D6" s="3"/>
      <c r="E6" s="3"/>
      <c r="F6" s="3"/>
      <c r="G6" s="3"/>
    </row>
    <row r="7" spans="1:7" x14ac:dyDescent="0.25">
      <c r="A7" s="36" t="s">
        <v>41</v>
      </c>
      <c r="B7" s="3"/>
      <c r="C7" s="3"/>
      <c r="D7" s="3"/>
      <c r="E7" s="3"/>
      <c r="F7" s="3"/>
      <c r="G7" s="3"/>
    </row>
    <row r="8" spans="1:7" x14ac:dyDescent="0.25">
      <c r="A8" s="36" t="s">
        <v>46</v>
      </c>
      <c r="B8" s="2">
        <v>1.548386</v>
      </c>
      <c r="C8" s="2">
        <v>0.2303965</v>
      </c>
      <c r="D8" s="2">
        <v>2.94</v>
      </c>
      <c r="E8" s="2">
        <v>3.0000000000000001E-3</v>
      </c>
      <c r="F8" s="2">
        <v>1.156704</v>
      </c>
      <c r="G8" s="2">
        <v>2.0726990000000001</v>
      </c>
    </row>
    <row r="9" spans="1:7" x14ac:dyDescent="0.25">
      <c r="A9" s="36" t="s">
        <v>16</v>
      </c>
      <c r="B9" s="2">
        <v>3.6325799999999999</v>
      </c>
      <c r="C9" s="2">
        <v>0.5293409</v>
      </c>
      <c r="D9" s="2">
        <v>8.85</v>
      </c>
      <c r="E9" s="2">
        <v>0</v>
      </c>
      <c r="F9" s="2">
        <v>2.7300960000000001</v>
      </c>
      <c r="G9" s="2">
        <v>4.833399</v>
      </c>
    </row>
    <row r="10" spans="1:7" x14ac:dyDescent="0.25">
      <c r="A10" s="36" t="s">
        <v>17</v>
      </c>
      <c r="B10" s="2">
        <v>4.3353400000000004</v>
      </c>
      <c r="C10" s="2">
        <v>0.58643829999999997</v>
      </c>
      <c r="D10" s="2">
        <v>10.84</v>
      </c>
      <c r="E10" s="2">
        <v>0</v>
      </c>
      <c r="F10" s="2">
        <v>3.3256899999999998</v>
      </c>
      <c r="G10" s="2">
        <v>5.6515110000000002</v>
      </c>
    </row>
    <row r="11" spans="1:7" x14ac:dyDescent="0.25">
      <c r="A11" s="36" t="s">
        <v>18</v>
      </c>
      <c r="B11" s="2">
        <v>4.5775550000000003</v>
      </c>
      <c r="C11" s="2">
        <v>0.77387819999999996</v>
      </c>
      <c r="D11" s="2">
        <v>9</v>
      </c>
      <c r="E11" s="2">
        <v>0</v>
      </c>
      <c r="F11" s="2">
        <v>3.286473</v>
      </c>
      <c r="G11" s="2">
        <v>6.3758350000000004</v>
      </c>
    </row>
    <row r="12" spans="1:7" x14ac:dyDescent="0.25">
      <c r="A12" s="36" t="s">
        <v>19</v>
      </c>
      <c r="B12" s="2">
        <v>0.29032249999999998</v>
      </c>
      <c r="C12" s="2">
        <v>6.6330100000000003E-2</v>
      </c>
      <c r="D12" s="2">
        <v>-5.41</v>
      </c>
      <c r="E12" s="2">
        <v>0</v>
      </c>
      <c r="F12" s="2">
        <v>0.18552669999999999</v>
      </c>
      <c r="G12" s="2">
        <v>0.45431280000000002</v>
      </c>
    </row>
    <row r="13" spans="1:7" x14ac:dyDescent="0.25">
      <c r="A13" s="36" t="s">
        <v>20</v>
      </c>
      <c r="B13" s="2">
        <v>0.80943379999999998</v>
      </c>
      <c r="C13" s="2">
        <v>0.16216630000000001</v>
      </c>
      <c r="D13" s="2">
        <v>-1.06</v>
      </c>
      <c r="E13" s="2">
        <v>0.29099999999999998</v>
      </c>
      <c r="F13" s="2">
        <v>0.54657149999999999</v>
      </c>
      <c r="G13" s="2">
        <v>1.1987140000000001</v>
      </c>
    </row>
    <row r="14" spans="1:7" x14ac:dyDescent="0.25">
      <c r="A14" s="36" t="s">
        <v>21</v>
      </c>
      <c r="B14" s="2">
        <v>1.2817529999999999</v>
      </c>
      <c r="C14" s="2">
        <v>0.20361589999999999</v>
      </c>
      <c r="D14" s="2">
        <v>1.56</v>
      </c>
      <c r="E14" s="2">
        <v>0.11799999999999999</v>
      </c>
      <c r="F14" s="2">
        <v>0.93882469999999996</v>
      </c>
      <c r="G14" s="2">
        <v>1.749943</v>
      </c>
    </row>
    <row r="15" spans="1:7" x14ac:dyDescent="0.25">
      <c r="A15" s="36" t="s">
        <v>22</v>
      </c>
      <c r="B15" s="2">
        <v>1.544235</v>
      </c>
      <c r="C15" s="2">
        <v>0.3511206</v>
      </c>
      <c r="D15" s="2">
        <v>1.91</v>
      </c>
      <c r="E15" s="2">
        <v>5.6000000000000001E-2</v>
      </c>
      <c r="F15" s="2">
        <v>0.98894329999999997</v>
      </c>
      <c r="G15" s="2">
        <v>2.4113229999999999</v>
      </c>
    </row>
    <row r="16" spans="1:7" x14ac:dyDescent="0.25">
      <c r="A16" s="36" t="s">
        <v>23</v>
      </c>
      <c r="B16" s="2">
        <v>0.1182796</v>
      </c>
      <c r="C16" s="2">
        <v>3.8524799999999998E-2</v>
      </c>
      <c r="D16" s="2">
        <v>-6.55</v>
      </c>
      <c r="E16" s="2">
        <v>0</v>
      </c>
      <c r="F16" s="2">
        <v>6.24691E-2</v>
      </c>
      <c r="G16" s="2">
        <v>0.2239515</v>
      </c>
    </row>
    <row r="17" spans="1:7" x14ac:dyDescent="0.25">
      <c r="A17" s="36" t="s">
        <v>24</v>
      </c>
      <c r="B17" s="2">
        <v>0.41458800000000001</v>
      </c>
      <c r="C17" s="2">
        <v>0.102741</v>
      </c>
      <c r="D17" s="2">
        <v>-3.55</v>
      </c>
      <c r="E17" s="2">
        <v>0</v>
      </c>
      <c r="F17" s="2">
        <v>0.25507999999999997</v>
      </c>
      <c r="G17" s="2">
        <v>0.67384029999999995</v>
      </c>
    </row>
    <row r="18" spans="1:7" x14ac:dyDescent="0.25">
      <c r="A18" s="36" t="s">
        <v>25</v>
      </c>
      <c r="B18" s="2">
        <v>0.51521419999999996</v>
      </c>
      <c r="C18" s="2">
        <v>0.10286820000000001</v>
      </c>
      <c r="D18" s="2">
        <v>-3.32</v>
      </c>
      <c r="E18" s="2">
        <v>1E-3</v>
      </c>
      <c r="F18" s="2">
        <v>0.34836620000000001</v>
      </c>
      <c r="G18" s="2">
        <v>0.76197320000000002</v>
      </c>
    </row>
    <row r="19" spans="1:7" x14ac:dyDescent="0.25">
      <c r="A19" s="36" t="s">
        <v>26</v>
      </c>
      <c r="B19" s="2">
        <v>0.4412102</v>
      </c>
      <c r="C19" s="2">
        <v>0.1657216</v>
      </c>
      <c r="D19" s="2">
        <v>-2.1800000000000002</v>
      </c>
      <c r="E19" s="2">
        <v>2.9000000000000001E-2</v>
      </c>
      <c r="F19" s="2">
        <v>0.211314</v>
      </c>
      <c r="G19" s="2">
        <v>0.9212188</v>
      </c>
    </row>
    <row r="20" spans="1:7" x14ac:dyDescent="0.25">
      <c r="A20" s="36" t="s">
        <v>27</v>
      </c>
      <c r="B20" s="2">
        <v>0.17204710000000001</v>
      </c>
      <c r="C20" s="2">
        <v>4.7947200000000002E-2</v>
      </c>
      <c r="D20" s="2">
        <v>-6.32</v>
      </c>
      <c r="E20" s="2">
        <v>0</v>
      </c>
      <c r="F20" s="2">
        <v>9.9638900000000002E-2</v>
      </c>
      <c r="G20" s="2">
        <v>0.29707480000000003</v>
      </c>
    </row>
    <row r="21" spans="1:7" x14ac:dyDescent="0.25">
      <c r="A21" s="36" t="s">
        <v>28</v>
      </c>
      <c r="B21" s="2">
        <v>0.39484570000000002</v>
      </c>
      <c r="C21" s="2">
        <v>0.1015008</v>
      </c>
      <c r="D21" s="2">
        <v>-3.61</v>
      </c>
      <c r="E21" s="2">
        <v>0</v>
      </c>
      <c r="F21" s="2">
        <v>0.2385689</v>
      </c>
      <c r="G21" s="2">
        <v>0.6534932</v>
      </c>
    </row>
    <row r="22" spans="1:7" x14ac:dyDescent="0.25">
      <c r="A22" s="36" t="s">
        <v>29</v>
      </c>
      <c r="B22" s="2">
        <v>0.62831000000000004</v>
      </c>
      <c r="C22" s="2">
        <v>0.1185397</v>
      </c>
      <c r="D22" s="2">
        <v>-2.46</v>
      </c>
      <c r="E22" s="2">
        <v>1.4E-2</v>
      </c>
      <c r="F22" s="2">
        <v>0.4340929</v>
      </c>
      <c r="G22" s="2">
        <v>0.9094217</v>
      </c>
    </row>
    <row r="23" spans="1:7" x14ac:dyDescent="0.25">
      <c r="A23" s="36" t="s">
        <v>30</v>
      </c>
      <c r="B23" s="2">
        <v>0.99272309999999997</v>
      </c>
      <c r="C23" s="2">
        <v>0.26488279999999997</v>
      </c>
      <c r="D23" s="2">
        <v>-0.03</v>
      </c>
      <c r="E23" s="2">
        <v>0.97799999999999998</v>
      </c>
      <c r="F23" s="2">
        <v>0.58844620000000003</v>
      </c>
      <c r="G23" s="2">
        <v>1.6747479999999999</v>
      </c>
    </row>
    <row r="24" spans="1:7" x14ac:dyDescent="0.25">
      <c r="A24" s="36" t="s">
        <v>67</v>
      </c>
      <c r="B24" s="2">
        <v>0.76344080000000003</v>
      </c>
      <c r="C24" s="2">
        <v>0.1348095</v>
      </c>
      <c r="D24" s="2">
        <v>-1.53</v>
      </c>
      <c r="E24" s="2">
        <v>0.126</v>
      </c>
      <c r="F24" s="2">
        <v>0.54009339999999995</v>
      </c>
      <c r="G24" s="2">
        <v>1.0791500000000001</v>
      </c>
    </row>
    <row r="25" spans="1:7" x14ac:dyDescent="0.25">
      <c r="A25" s="36" t="s">
        <v>31</v>
      </c>
      <c r="B25" s="2">
        <v>2.4875280000000002</v>
      </c>
      <c r="C25" s="2">
        <v>0.39762330000000001</v>
      </c>
      <c r="D25" s="2">
        <v>5.7</v>
      </c>
      <c r="E25" s="2">
        <v>0</v>
      </c>
      <c r="F25" s="2">
        <v>1.81847</v>
      </c>
      <c r="G25" s="2">
        <v>3.4027479999999999</v>
      </c>
    </row>
    <row r="26" spans="1:7" x14ac:dyDescent="0.25">
      <c r="A26" s="36" t="s">
        <v>32</v>
      </c>
      <c r="B26" s="2">
        <v>5.0390459999999999</v>
      </c>
      <c r="C26" s="2">
        <v>0.69561260000000003</v>
      </c>
      <c r="D26" s="2">
        <v>11.72</v>
      </c>
      <c r="E26" s="2">
        <v>0</v>
      </c>
      <c r="F26" s="2">
        <v>3.8445420000000001</v>
      </c>
      <c r="G26" s="2">
        <v>6.6046839999999998</v>
      </c>
    </row>
    <row r="27" spans="1:7" x14ac:dyDescent="0.25">
      <c r="A27" s="36" t="s">
        <v>33</v>
      </c>
      <c r="B27" s="2">
        <v>10.91995</v>
      </c>
      <c r="C27" s="2">
        <v>1.7044600000000001</v>
      </c>
      <c r="D27" s="2">
        <v>15.32</v>
      </c>
      <c r="E27" s="2">
        <v>0</v>
      </c>
      <c r="F27" s="2">
        <v>8.0419129999999992</v>
      </c>
      <c r="G27" s="2">
        <v>14.82798</v>
      </c>
    </row>
    <row r="28" spans="1:7" x14ac:dyDescent="0.25">
      <c r="A28" s="36" t="s">
        <v>34</v>
      </c>
      <c r="B28" s="2">
        <v>1</v>
      </c>
      <c r="C28" s="2"/>
      <c r="D28" s="2"/>
      <c r="E28" s="2"/>
      <c r="F28" s="2"/>
      <c r="G28" s="2"/>
    </row>
    <row r="29" spans="1:7" x14ac:dyDescent="0.25">
      <c r="A29" s="36" t="s">
        <v>35</v>
      </c>
      <c r="B29" s="2">
        <v>2.9218579999999998</v>
      </c>
      <c r="C29" s="2">
        <v>0.4532428</v>
      </c>
      <c r="D29" s="2">
        <v>6.91</v>
      </c>
      <c r="E29" s="2">
        <v>0</v>
      </c>
      <c r="F29" s="2">
        <v>2.1558549999999999</v>
      </c>
      <c r="G29" s="2">
        <v>3.960032</v>
      </c>
    </row>
    <row r="30" spans="1:7" x14ac:dyDescent="0.25">
      <c r="A30" s="36" t="s">
        <v>36</v>
      </c>
      <c r="B30" s="2">
        <v>4.3227739999999999</v>
      </c>
      <c r="C30" s="2">
        <v>0.60009829999999997</v>
      </c>
      <c r="D30" s="2">
        <v>10.55</v>
      </c>
      <c r="E30" s="2">
        <v>0</v>
      </c>
      <c r="F30" s="2">
        <v>3.293037</v>
      </c>
      <c r="G30" s="2">
        <v>5.6745109999999999</v>
      </c>
    </row>
    <row r="31" spans="1:7" x14ac:dyDescent="0.25">
      <c r="A31" s="36" t="s">
        <v>37</v>
      </c>
      <c r="B31" s="2">
        <v>10.975099999999999</v>
      </c>
      <c r="C31" s="2">
        <v>1.678914</v>
      </c>
      <c r="D31" s="2">
        <v>15.66</v>
      </c>
      <c r="E31" s="2">
        <v>0</v>
      </c>
      <c r="F31" s="2">
        <v>8.1319769999999991</v>
      </c>
      <c r="G31" s="2">
        <v>14.812250000000001</v>
      </c>
    </row>
    <row r="32" spans="1:7" x14ac:dyDescent="0.25">
      <c r="A32" s="36" t="s">
        <v>50</v>
      </c>
      <c r="B32" s="2">
        <v>0.56989219999999996</v>
      </c>
      <c r="C32" s="2">
        <v>0.1044915</v>
      </c>
      <c r="D32" s="2">
        <v>-3.07</v>
      </c>
      <c r="E32" s="2">
        <v>2E-3</v>
      </c>
      <c r="F32" s="2">
        <v>0.3978527</v>
      </c>
      <c r="G32" s="2">
        <v>0.81632499999999997</v>
      </c>
    </row>
    <row r="33" spans="1:10" x14ac:dyDescent="0.25">
      <c r="A33" s="36" t="s">
        <v>51</v>
      </c>
      <c r="B33" s="2">
        <v>0.94762979999999997</v>
      </c>
      <c r="C33" s="2">
        <v>0.17696590000000001</v>
      </c>
      <c r="D33" s="2">
        <v>-0.28999999999999998</v>
      </c>
      <c r="E33" s="2">
        <v>0.77300000000000002</v>
      </c>
      <c r="F33" s="2">
        <v>0.65717400000000004</v>
      </c>
      <c r="G33" s="2">
        <v>1.36646</v>
      </c>
    </row>
    <row r="34" spans="1:10" x14ac:dyDescent="0.25">
      <c r="A34" s="36" t="s">
        <v>52</v>
      </c>
      <c r="B34" s="2">
        <v>1.8597980000000001</v>
      </c>
      <c r="C34" s="2">
        <v>0.28022320000000001</v>
      </c>
      <c r="D34" s="2">
        <v>4.12</v>
      </c>
      <c r="E34" s="2">
        <v>0</v>
      </c>
      <c r="F34" s="2">
        <v>1.3842410000000001</v>
      </c>
      <c r="G34" s="2">
        <v>2.498732</v>
      </c>
    </row>
    <row r="35" spans="1:10" x14ac:dyDescent="0.25">
      <c r="A35" s="36" t="s">
        <v>53</v>
      </c>
      <c r="B35" s="2">
        <v>1.599386</v>
      </c>
      <c r="C35" s="2">
        <v>0.3590043</v>
      </c>
      <c r="D35" s="2">
        <v>2.09</v>
      </c>
      <c r="E35" s="2">
        <v>3.5999999999999997E-2</v>
      </c>
      <c r="F35" s="2">
        <v>1.030124</v>
      </c>
      <c r="G35" s="2">
        <v>2.4832320000000001</v>
      </c>
    </row>
    <row r="36" spans="1:10" x14ac:dyDescent="0.25">
      <c r="A36" s="36" t="s">
        <v>54</v>
      </c>
      <c r="B36" s="2">
        <v>0.30107509999999998</v>
      </c>
      <c r="C36" s="2">
        <v>6.7909300000000006E-2</v>
      </c>
      <c r="D36" s="2">
        <v>-5.32</v>
      </c>
      <c r="E36" s="2">
        <v>0</v>
      </c>
      <c r="F36" s="2">
        <v>0.19350010000000001</v>
      </c>
      <c r="G36" s="2">
        <v>0.46845579999999998</v>
      </c>
    </row>
    <row r="37" spans="1:10" x14ac:dyDescent="0.25">
      <c r="A37" s="36" t="s">
        <v>55</v>
      </c>
      <c r="B37" s="2">
        <v>0.71072219999999997</v>
      </c>
      <c r="C37" s="2">
        <v>0.14443210000000001</v>
      </c>
      <c r="D37" s="2">
        <v>-1.68</v>
      </c>
      <c r="E37" s="2">
        <v>9.2999999999999999E-2</v>
      </c>
      <c r="F37" s="2">
        <v>0.47722120000000001</v>
      </c>
      <c r="G37" s="2">
        <v>1.0584739999999999</v>
      </c>
    </row>
    <row r="38" spans="1:10" x14ac:dyDescent="0.25">
      <c r="A38" s="36" t="s">
        <v>56</v>
      </c>
      <c r="B38" s="2">
        <v>0.91733310000000001</v>
      </c>
      <c r="C38" s="2">
        <v>0.16064020000000001</v>
      </c>
      <c r="D38" s="2">
        <v>-0.49</v>
      </c>
      <c r="E38" s="2">
        <v>0.622</v>
      </c>
      <c r="F38" s="2">
        <v>0.65083009999999997</v>
      </c>
      <c r="G38" s="2">
        <v>1.292964</v>
      </c>
    </row>
    <row r="39" spans="1:10" x14ac:dyDescent="0.25">
      <c r="A39" s="36" t="s">
        <v>57</v>
      </c>
      <c r="B39" s="2">
        <v>0.8824206</v>
      </c>
      <c r="C39" s="2">
        <v>0.25954490000000002</v>
      </c>
      <c r="D39" s="2">
        <v>-0.43</v>
      </c>
      <c r="E39" s="2">
        <v>0.67100000000000004</v>
      </c>
      <c r="F39" s="2">
        <v>0.49580760000000001</v>
      </c>
      <c r="G39" s="2">
        <v>1.5705009999999999</v>
      </c>
    </row>
    <row r="40" spans="1:10" x14ac:dyDescent="0.25">
      <c r="A40" s="36" t="s">
        <v>58</v>
      </c>
      <c r="B40" s="2">
        <v>0.40860210000000002</v>
      </c>
      <c r="C40" s="2">
        <v>8.3212800000000003E-2</v>
      </c>
      <c r="D40" s="2">
        <v>-4.3899999999999997</v>
      </c>
      <c r="E40" s="2">
        <v>0</v>
      </c>
      <c r="F40" s="2">
        <v>0.2741268</v>
      </c>
      <c r="G40" s="2">
        <v>0.60904559999999996</v>
      </c>
    </row>
    <row r="41" spans="1:10" x14ac:dyDescent="0.25">
      <c r="A41" s="36" t="s">
        <v>59</v>
      </c>
      <c r="B41" s="2">
        <v>0.82917609999999997</v>
      </c>
      <c r="C41" s="2">
        <v>0.16375300000000001</v>
      </c>
      <c r="D41" s="2">
        <v>-0.95</v>
      </c>
      <c r="E41" s="2">
        <v>0.34300000000000003</v>
      </c>
      <c r="F41" s="2">
        <v>0.56304609999999999</v>
      </c>
      <c r="G41" s="2">
        <v>1.221095</v>
      </c>
    </row>
    <row r="42" spans="1:10" x14ac:dyDescent="0.25">
      <c r="A42" s="36" t="s">
        <v>60</v>
      </c>
      <c r="B42" s="2">
        <v>1.1686570000000001</v>
      </c>
      <c r="C42" s="2">
        <v>0.19105920000000001</v>
      </c>
      <c r="D42" s="2">
        <v>0.95</v>
      </c>
      <c r="E42" s="2">
        <v>0.34</v>
      </c>
      <c r="F42" s="2">
        <v>0.84825689999999998</v>
      </c>
      <c r="G42" s="2">
        <v>1.610077</v>
      </c>
    </row>
    <row r="43" spans="1:10" x14ac:dyDescent="0.25">
      <c r="A43" s="36" t="s">
        <v>61</v>
      </c>
      <c r="B43" s="2">
        <v>1.1030260000000001</v>
      </c>
      <c r="C43" s="2">
        <v>0.28304360000000001</v>
      </c>
      <c r="D43" s="2">
        <v>0.38</v>
      </c>
      <c r="E43" s="2">
        <v>0.70199999999999996</v>
      </c>
      <c r="F43" s="2">
        <v>0.66705499999999995</v>
      </c>
      <c r="G43" s="2">
        <v>1.8239350000000001</v>
      </c>
    </row>
    <row r="44" spans="1:10" x14ac:dyDescent="0.25">
      <c r="A44" s="36"/>
      <c r="B44" s="3"/>
      <c r="C44" s="3"/>
      <c r="D44" s="3"/>
      <c r="E44" s="3"/>
      <c r="F44" s="3"/>
      <c r="G44" s="3"/>
    </row>
    <row r="45" spans="1:10" x14ac:dyDescent="0.25">
      <c r="A45" s="5" t="s">
        <v>6</v>
      </c>
      <c r="B45" s="6">
        <v>1.3002000000000001E-3</v>
      </c>
      <c r="C45" s="6">
        <v>1.615E-4</v>
      </c>
      <c r="D45" s="6">
        <v>-53.51</v>
      </c>
      <c r="E45" s="6">
        <v>0</v>
      </c>
      <c r="F45" s="6">
        <v>1.0192999999999999E-3</v>
      </c>
      <c r="G45" s="6">
        <v>1.6584E-3</v>
      </c>
    </row>
    <row r="46" spans="1:10" x14ac:dyDescent="0.25">
      <c r="A46" s="7"/>
      <c r="B46" s="8"/>
      <c r="C46" s="7"/>
      <c r="D46" s="7"/>
      <c r="E46" s="7"/>
      <c r="F46" s="7"/>
      <c r="G46" s="9"/>
    </row>
    <row r="47" spans="1:10" ht="15.75" thickBot="1" x14ac:dyDescent="0.3"/>
    <row r="48" spans="1:10" x14ac:dyDescent="0.25">
      <c r="A48" s="10"/>
      <c r="B48" s="11" t="s">
        <v>9</v>
      </c>
      <c r="C48" s="11" t="s">
        <v>10</v>
      </c>
      <c r="D48" s="11" t="s">
        <v>40</v>
      </c>
      <c r="E48" s="11" t="s">
        <v>11</v>
      </c>
      <c r="F48" s="11" t="s">
        <v>7</v>
      </c>
      <c r="G48" s="11" t="s">
        <v>8</v>
      </c>
      <c r="H48" s="11" t="s">
        <v>63</v>
      </c>
      <c r="I48" s="11" t="s">
        <v>64</v>
      </c>
      <c r="J48" s="12" t="s">
        <v>65</v>
      </c>
    </row>
    <row r="49" spans="1:10" x14ac:dyDescent="0.25">
      <c r="A49" s="13" t="s">
        <v>12</v>
      </c>
      <c r="B49" s="14">
        <f>B8</f>
        <v>1.548386</v>
      </c>
      <c r="C49" s="15">
        <f>B12</f>
        <v>0.29032249999999998</v>
      </c>
      <c r="D49" s="15">
        <f>B16</f>
        <v>0.1182796</v>
      </c>
      <c r="E49" s="15">
        <f>B20</f>
        <v>0.17204710000000001</v>
      </c>
      <c r="F49" s="15">
        <f>B24</f>
        <v>0.76344080000000003</v>
      </c>
      <c r="G49" s="15">
        <f>B28</f>
        <v>1</v>
      </c>
      <c r="H49" s="16">
        <f>B32</f>
        <v>0.56989219999999996</v>
      </c>
      <c r="I49" s="16">
        <f>B36</f>
        <v>0.30107509999999998</v>
      </c>
      <c r="J49" s="17">
        <f>B40</f>
        <v>0.40860210000000002</v>
      </c>
    </row>
    <row r="50" spans="1:10" x14ac:dyDescent="0.25">
      <c r="A50" s="13" t="s">
        <v>13</v>
      </c>
      <c r="B50" s="15">
        <f>B9</f>
        <v>3.6325799999999999</v>
      </c>
      <c r="C50" s="15">
        <f>B13</f>
        <v>0.80943379999999998</v>
      </c>
      <c r="D50" s="15">
        <f>B17</f>
        <v>0.41458800000000001</v>
      </c>
      <c r="E50" s="15">
        <f>B21</f>
        <v>0.39484570000000002</v>
      </c>
      <c r="F50" s="15">
        <f>B25</f>
        <v>2.4875280000000002</v>
      </c>
      <c r="G50" s="15">
        <f>B29</f>
        <v>2.9218579999999998</v>
      </c>
      <c r="H50" s="16">
        <f>B33</f>
        <v>0.94762979999999997</v>
      </c>
      <c r="I50" s="16">
        <f>B37</f>
        <v>0.71072219999999997</v>
      </c>
      <c r="J50" s="18">
        <f>B41</f>
        <v>0.82917609999999997</v>
      </c>
    </row>
    <row r="51" spans="1:10" x14ac:dyDescent="0.25">
      <c r="A51" s="13" t="s">
        <v>14</v>
      </c>
      <c r="B51" s="15">
        <f>B10</f>
        <v>4.3353400000000004</v>
      </c>
      <c r="C51" s="15">
        <f>B14</f>
        <v>1.2817529999999999</v>
      </c>
      <c r="D51" s="15">
        <f>B18</f>
        <v>0.51521419999999996</v>
      </c>
      <c r="E51" s="15">
        <f>B22</f>
        <v>0.62831000000000004</v>
      </c>
      <c r="F51" s="15">
        <f>B26</f>
        <v>5.0390459999999999</v>
      </c>
      <c r="G51" s="15">
        <f>B30</f>
        <v>4.3227739999999999</v>
      </c>
      <c r="H51" s="16">
        <f>B34</f>
        <v>1.8597980000000001</v>
      </c>
      <c r="I51" s="16">
        <f>B38</f>
        <v>0.91733310000000001</v>
      </c>
      <c r="J51" s="18">
        <f>B42</f>
        <v>1.1686570000000001</v>
      </c>
    </row>
    <row r="52" spans="1:10" ht="15.75" thickBot="1" x14ac:dyDescent="0.3">
      <c r="A52" s="19" t="s">
        <v>15</v>
      </c>
      <c r="B52" s="20">
        <f>B11</f>
        <v>4.5775550000000003</v>
      </c>
      <c r="C52" s="20">
        <f>B15</f>
        <v>1.544235</v>
      </c>
      <c r="D52" s="20">
        <f>B19</f>
        <v>0.4412102</v>
      </c>
      <c r="E52" s="20">
        <f>B23</f>
        <v>0.99272309999999997</v>
      </c>
      <c r="F52" s="20">
        <f>B27</f>
        <v>10.91995</v>
      </c>
      <c r="G52" s="20">
        <f>B31</f>
        <v>10.975099999999999</v>
      </c>
      <c r="H52" s="21">
        <f>B35</f>
        <v>1.599386</v>
      </c>
      <c r="I52" s="21">
        <f>B39</f>
        <v>0.8824206</v>
      </c>
      <c r="J52" s="22">
        <f>B43</f>
        <v>1.1030260000000001</v>
      </c>
    </row>
    <row r="70" spans="1:22" x14ac:dyDescent="0.25">
      <c r="A70" s="36"/>
      <c r="B70" s="2" t="s">
        <v>1</v>
      </c>
      <c r="C70" s="3"/>
      <c r="D70" s="3"/>
      <c r="E70" s="3"/>
      <c r="F70" s="3"/>
      <c r="G70" s="3"/>
      <c r="N70" s="9"/>
      <c r="O70" s="9"/>
      <c r="U70" s="7"/>
      <c r="V70" s="7"/>
    </row>
    <row r="71" spans="1:22" x14ac:dyDescent="0.25">
      <c r="A71" s="5" t="s">
        <v>2</v>
      </c>
      <c r="B71" s="6" t="s">
        <v>269</v>
      </c>
      <c r="C71" s="6" t="s">
        <v>270</v>
      </c>
      <c r="D71" s="6" t="s">
        <v>3</v>
      </c>
      <c r="E71" s="6" t="s">
        <v>4</v>
      </c>
      <c r="F71" s="6" t="s">
        <v>271</v>
      </c>
      <c r="G71" s="6" t="s">
        <v>272</v>
      </c>
      <c r="N71" s="9"/>
      <c r="O71" s="9"/>
      <c r="U71" s="7"/>
      <c r="V71" s="7"/>
    </row>
    <row r="72" spans="1:22" x14ac:dyDescent="0.25">
      <c r="A72" s="36"/>
      <c r="B72" s="2"/>
      <c r="C72" s="2"/>
      <c r="D72" s="3"/>
      <c r="E72" s="3"/>
      <c r="F72" s="3"/>
      <c r="G72" s="3"/>
      <c r="N72" s="9"/>
      <c r="O72" s="9"/>
      <c r="U72" s="7"/>
      <c r="V72" s="9"/>
    </row>
    <row r="73" spans="1:22" x14ac:dyDescent="0.25">
      <c r="A73" s="36" t="s">
        <v>72</v>
      </c>
      <c r="B73" s="3"/>
      <c r="C73" s="3"/>
      <c r="D73" s="3"/>
      <c r="E73" s="3"/>
      <c r="F73" s="3"/>
      <c r="G73" s="3"/>
      <c r="N73" s="7"/>
      <c r="O73" s="7"/>
    </row>
    <row r="74" spans="1:22" x14ac:dyDescent="0.25">
      <c r="A74" s="36" t="s">
        <v>73</v>
      </c>
      <c r="B74" s="2">
        <v>1.1831240000000001</v>
      </c>
      <c r="C74" s="2">
        <v>4.3194900000000001E-2</v>
      </c>
      <c r="D74" s="2">
        <v>4.6100000000000003</v>
      </c>
      <c r="E74" s="2">
        <v>0</v>
      </c>
      <c r="F74" s="2">
        <v>1.101421</v>
      </c>
      <c r="G74" s="2">
        <v>1.2708870000000001</v>
      </c>
      <c r="N74" s="7"/>
      <c r="O74" s="7"/>
    </row>
    <row r="75" spans="1:22" x14ac:dyDescent="0.25">
      <c r="A75" s="36"/>
      <c r="B75" s="3"/>
      <c r="C75" s="3"/>
      <c r="D75" s="3"/>
      <c r="E75" s="3"/>
      <c r="F75" s="3"/>
      <c r="G75" s="3"/>
      <c r="N75" s="7"/>
      <c r="O75" s="9"/>
    </row>
    <row r="76" spans="1:22" x14ac:dyDescent="0.25">
      <c r="A76" s="36" t="s">
        <v>74</v>
      </c>
      <c r="B76" s="3"/>
      <c r="C76" s="3"/>
      <c r="D76" s="3"/>
      <c r="E76" s="3"/>
      <c r="F76" s="3"/>
      <c r="G76" s="3"/>
      <c r="N76" s="7"/>
      <c r="O76" s="9"/>
    </row>
    <row r="77" spans="1:22" x14ac:dyDescent="0.25">
      <c r="A77" s="36" t="s">
        <v>75</v>
      </c>
      <c r="B77" s="2">
        <v>0.86625739999999996</v>
      </c>
      <c r="C77" s="2">
        <v>3.9785599999999997E-2</v>
      </c>
      <c r="D77" s="2">
        <v>-3.13</v>
      </c>
      <c r="E77" s="2">
        <v>2E-3</v>
      </c>
      <c r="F77" s="2">
        <v>0.79168590000000005</v>
      </c>
      <c r="G77" s="2">
        <v>0.9478531</v>
      </c>
      <c r="N77" s="7"/>
      <c r="O77" s="7"/>
    </row>
    <row r="78" spans="1:22" x14ac:dyDescent="0.25">
      <c r="A78" s="36" t="s">
        <v>76</v>
      </c>
      <c r="B78" s="2">
        <v>0.67011189999999998</v>
      </c>
      <c r="C78" s="2">
        <v>4.71863E-2</v>
      </c>
      <c r="D78" s="2">
        <v>-5.68</v>
      </c>
      <c r="E78" s="2">
        <v>0</v>
      </c>
      <c r="F78" s="2">
        <v>0.58372659999999998</v>
      </c>
      <c r="G78" s="2">
        <v>0.7692814</v>
      </c>
      <c r="N78" s="7"/>
      <c r="O78" s="7"/>
    </row>
    <row r="79" spans="1:22" x14ac:dyDescent="0.25">
      <c r="A79" s="36" t="s">
        <v>77</v>
      </c>
      <c r="B79" s="2">
        <v>0.56641900000000001</v>
      </c>
      <c r="C79" s="2">
        <v>4.3950200000000002E-2</v>
      </c>
      <c r="D79" s="2">
        <v>-7.33</v>
      </c>
      <c r="E79" s="2">
        <v>0</v>
      </c>
      <c r="F79" s="2">
        <v>0.48650850000000001</v>
      </c>
      <c r="G79" s="2">
        <v>0.65945500000000001</v>
      </c>
      <c r="N79" s="7"/>
      <c r="O79" s="7"/>
    </row>
    <row r="80" spans="1:22" x14ac:dyDescent="0.25">
      <c r="A80" s="36" t="s">
        <v>78</v>
      </c>
      <c r="B80" s="2">
        <v>0.51231470000000001</v>
      </c>
      <c r="C80" s="2">
        <v>4.3942700000000001E-2</v>
      </c>
      <c r="D80" s="2">
        <v>-7.8</v>
      </c>
      <c r="E80" s="2">
        <v>0</v>
      </c>
      <c r="F80" s="2">
        <v>0.4330388</v>
      </c>
      <c r="G80" s="2">
        <v>0.60610339999999996</v>
      </c>
      <c r="N80" s="7"/>
      <c r="O80" s="7"/>
    </row>
    <row r="81" spans="1:15" x14ac:dyDescent="0.25">
      <c r="A81" s="36" t="s">
        <v>79</v>
      </c>
      <c r="B81" s="2">
        <v>0.44535799999999998</v>
      </c>
      <c r="C81" s="2">
        <v>4.0395100000000003E-2</v>
      </c>
      <c r="D81" s="2">
        <v>-8.92</v>
      </c>
      <c r="E81" s="2">
        <v>0</v>
      </c>
      <c r="F81" s="2">
        <v>0.37282330000000002</v>
      </c>
      <c r="G81" s="2">
        <v>0.53200460000000005</v>
      </c>
      <c r="N81" s="7"/>
      <c r="O81" s="7"/>
    </row>
    <row r="82" spans="1:15" x14ac:dyDescent="0.25">
      <c r="A82" s="36" t="s">
        <v>80</v>
      </c>
      <c r="B82" s="2">
        <v>0.39181359999999998</v>
      </c>
      <c r="C82" s="2">
        <v>5.7184699999999998E-2</v>
      </c>
      <c r="D82" s="2">
        <v>-6.42</v>
      </c>
      <c r="E82" s="2">
        <v>0</v>
      </c>
      <c r="F82" s="2">
        <v>0.29433890000000001</v>
      </c>
      <c r="G82" s="2">
        <v>0.52156840000000004</v>
      </c>
      <c r="N82" s="7"/>
      <c r="O82" s="7"/>
    </row>
    <row r="83" spans="1:15" x14ac:dyDescent="0.25">
      <c r="A83" s="36" t="s">
        <v>86</v>
      </c>
      <c r="B83" s="2">
        <v>0.2887304</v>
      </c>
      <c r="C83" s="2">
        <v>4.6930199999999998E-2</v>
      </c>
      <c r="D83" s="2">
        <v>-7.64</v>
      </c>
      <c r="E83" s="2">
        <v>0</v>
      </c>
      <c r="F83" s="2">
        <v>0.2099608</v>
      </c>
      <c r="G83" s="2">
        <v>0.3970514</v>
      </c>
      <c r="N83" s="7"/>
      <c r="O83" s="7"/>
    </row>
    <row r="84" spans="1:15" x14ac:dyDescent="0.25">
      <c r="A84" s="36" t="s">
        <v>87</v>
      </c>
      <c r="B84" s="2">
        <v>0.1930752</v>
      </c>
      <c r="C84" s="2">
        <v>4.4429900000000001E-2</v>
      </c>
      <c r="D84" s="2">
        <v>-7.15</v>
      </c>
      <c r="E84" s="2">
        <v>0</v>
      </c>
      <c r="F84" s="2">
        <v>0.1229845</v>
      </c>
      <c r="G84" s="2">
        <v>0.30311169999999998</v>
      </c>
      <c r="N84" s="7"/>
      <c r="O84" s="7"/>
    </row>
    <row r="85" spans="1:15" x14ac:dyDescent="0.25">
      <c r="A85" s="36" t="s">
        <v>88</v>
      </c>
      <c r="B85" s="2">
        <v>6.5202499999999997E-2</v>
      </c>
      <c r="C85" s="2">
        <v>3.7115700000000001E-2</v>
      </c>
      <c r="D85" s="2">
        <v>-4.8</v>
      </c>
      <c r="E85" s="2">
        <v>0</v>
      </c>
      <c r="F85" s="2">
        <v>2.1366300000000001E-2</v>
      </c>
      <c r="G85" s="2">
        <v>0.19897590000000001</v>
      </c>
    </row>
    <row r="86" spans="1:15" x14ac:dyDescent="0.25">
      <c r="A86" s="36"/>
      <c r="B86" s="3"/>
      <c r="C86" s="3"/>
      <c r="D86" s="3"/>
      <c r="E86" s="3"/>
      <c r="F86" s="3"/>
      <c r="G86" s="3"/>
    </row>
    <row r="87" spans="1:15" x14ac:dyDescent="0.25">
      <c r="A87" s="36" t="s">
        <v>113</v>
      </c>
      <c r="B87" s="3"/>
      <c r="C87" s="3"/>
      <c r="D87" s="3"/>
      <c r="E87" s="3"/>
      <c r="F87" s="3"/>
      <c r="G87" s="3"/>
    </row>
    <row r="88" spans="1:15" x14ac:dyDescent="0.25">
      <c r="A88" s="36">
        <v>2</v>
      </c>
      <c r="B88" s="2">
        <v>1.218912</v>
      </c>
      <c r="C88" s="2">
        <v>8.2290500000000003E-2</v>
      </c>
      <c r="D88" s="2">
        <v>2.93</v>
      </c>
      <c r="E88" s="2">
        <v>3.0000000000000001E-3</v>
      </c>
      <c r="F88" s="2">
        <v>1.067841</v>
      </c>
      <c r="G88" s="2">
        <v>1.391356</v>
      </c>
    </row>
    <row r="89" spans="1:15" x14ac:dyDescent="0.25">
      <c r="A89" s="36">
        <v>3</v>
      </c>
      <c r="B89" s="2">
        <v>1.31166</v>
      </c>
      <c r="C89" s="2">
        <v>9.3052099999999999E-2</v>
      </c>
      <c r="D89" s="2">
        <v>3.82</v>
      </c>
      <c r="E89" s="2">
        <v>0</v>
      </c>
      <c r="F89" s="2">
        <v>1.141392</v>
      </c>
      <c r="G89" s="2">
        <v>1.5073259999999999</v>
      </c>
    </row>
    <row r="90" spans="1:15" x14ac:dyDescent="0.25">
      <c r="A90" s="36"/>
      <c r="B90" s="3"/>
      <c r="C90" s="3"/>
      <c r="D90" s="3"/>
      <c r="E90" s="3"/>
      <c r="F90" s="3"/>
      <c r="G90" s="3"/>
    </row>
    <row r="91" spans="1:15" x14ac:dyDescent="0.25">
      <c r="A91" s="36" t="s">
        <v>108</v>
      </c>
      <c r="B91" s="3"/>
      <c r="C91" s="3"/>
      <c r="D91" s="3"/>
      <c r="E91" s="3"/>
      <c r="F91" s="3"/>
      <c r="G91" s="3"/>
    </row>
    <row r="92" spans="1:15" x14ac:dyDescent="0.25">
      <c r="A92" s="36">
        <v>2</v>
      </c>
      <c r="B92" s="2">
        <v>1.0978680000000001</v>
      </c>
      <c r="C92" s="2">
        <v>5.2109700000000002E-2</v>
      </c>
      <c r="D92" s="2">
        <v>1.97</v>
      </c>
      <c r="E92" s="2">
        <v>4.9000000000000002E-2</v>
      </c>
      <c r="F92" s="2">
        <v>1.0003420000000001</v>
      </c>
      <c r="G92" s="2">
        <v>1.2049030000000001</v>
      </c>
    </row>
    <row r="93" spans="1:15" x14ac:dyDescent="0.25">
      <c r="A93" s="36" t="s">
        <v>109</v>
      </c>
      <c r="B93" s="2">
        <v>1.4594499999999999</v>
      </c>
      <c r="C93" s="2">
        <v>0.1249566</v>
      </c>
      <c r="D93" s="2">
        <v>4.42</v>
      </c>
      <c r="E93" s="2">
        <v>0</v>
      </c>
      <c r="F93" s="2">
        <v>1.233986</v>
      </c>
      <c r="G93" s="2">
        <v>1.7261089999999999</v>
      </c>
    </row>
    <row r="94" spans="1:15" x14ac:dyDescent="0.25">
      <c r="A94" s="36"/>
      <c r="B94" s="3"/>
      <c r="C94" s="3"/>
      <c r="D94" s="3"/>
      <c r="E94" s="3"/>
      <c r="F94" s="3"/>
      <c r="G94" s="3"/>
    </row>
    <row r="95" spans="1:15" x14ac:dyDescent="0.25">
      <c r="A95" s="36" t="s">
        <v>85</v>
      </c>
      <c r="B95" s="3"/>
      <c r="C95" s="3"/>
      <c r="D95" s="3"/>
      <c r="E95" s="3"/>
      <c r="F95" s="3"/>
      <c r="G95" s="3"/>
    </row>
    <row r="96" spans="1:15" x14ac:dyDescent="0.25">
      <c r="A96" s="38" t="s">
        <v>315</v>
      </c>
      <c r="B96" s="2">
        <v>0.63151900000000005</v>
      </c>
      <c r="C96" s="2">
        <v>2.6301100000000001E-2</v>
      </c>
      <c r="D96" s="2">
        <v>-11.04</v>
      </c>
      <c r="E96" s="2">
        <v>0</v>
      </c>
      <c r="F96" s="2">
        <v>0.58201760000000002</v>
      </c>
      <c r="G96" s="2">
        <v>0.68523049999999996</v>
      </c>
    </row>
    <row r="97" spans="1:7" x14ac:dyDescent="0.25">
      <c r="A97" s="38" t="s">
        <v>316</v>
      </c>
      <c r="B97" s="2">
        <v>0.36966599999999999</v>
      </c>
      <c r="C97" s="2">
        <v>2.5255099999999999E-2</v>
      </c>
      <c r="D97" s="2">
        <v>-14.57</v>
      </c>
      <c r="E97" s="2">
        <v>0</v>
      </c>
      <c r="F97" s="2">
        <v>0.32333780000000001</v>
      </c>
      <c r="G97" s="2">
        <v>0.42263200000000001</v>
      </c>
    </row>
    <row r="98" spans="1:7" x14ac:dyDescent="0.25">
      <c r="A98" s="38" t="s">
        <v>317</v>
      </c>
      <c r="B98" s="2">
        <v>0.36206559999999999</v>
      </c>
      <c r="C98" s="2">
        <v>2.5774200000000001E-2</v>
      </c>
      <c r="D98" s="2">
        <v>-14.27</v>
      </c>
      <c r="E98" s="2">
        <v>0</v>
      </c>
      <c r="F98" s="2">
        <v>0.3149149</v>
      </c>
      <c r="G98" s="2">
        <v>0.41627599999999998</v>
      </c>
    </row>
    <row r="99" spans="1:7" x14ac:dyDescent="0.25">
      <c r="A99" s="38" t="s">
        <v>82</v>
      </c>
      <c r="B99" s="2">
        <v>0.70585600000000004</v>
      </c>
      <c r="C99" s="2">
        <v>5.5367800000000002E-2</v>
      </c>
      <c r="D99" s="2">
        <v>-4.4400000000000004</v>
      </c>
      <c r="E99" s="2">
        <v>0</v>
      </c>
      <c r="F99" s="2">
        <v>0.60526740000000001</v>
      </c>
      <c r="G99" s="2">
        <v>0.82316120000000004</v>
      </c>
    </row>
    <row r="100" spans="1:7" x14ac:dyDescent="0.25">
      <c r="A100" s="36"/>
      <c r="B100" s="3"/>
      <c r="C100" s="3"/>
      <c r="D100" s="3"/>
      <c r="E100" s="3"/>
      <c r="F100" s="3"/>
      <c r="G100" s="3"/>
    </row>
    <row r="101" spans="1:7" x14ac:dyDescent="0.25">
      <c r="A101" s="36" t="s">
        <v>41</v>
      </c>
      <c r="B101" s="3"/>
      <c r="C101" s="3"/>
      <c r="D101" s="3"/>
      <c r="E101" s="3"/>
      <c r="F101" s="3"/>
      <c r="G101" s="3"/>
    </row>
    <row r="102" spans="1:7" x14ac:dyDescent="0.25">
      <c r="A102" s="36" t="s">
        <v>46</v>
      </c>
      <c r="B102" s="2">
        <v>1.548387</v>
      </c>
      <c r="C102" s="2">
        <v>0.23039670000000001</v>
      </c>
      <c r="D102" s="2">
        <v>2.94</v>
      </c>
      <c r="E102" s="2">
        <v>3.0000000000000001E-3</v>
      </c>
      <c r="F102" s="2">
        <f>B102-1.156705</f>
        <v>0.39168199999999986</v>
      </c>
      <c r="G102" s="2">
        <f>2.0727-B102</f>
        <v>0.52431300000000025</v>
      </c>
    </row>
    <row r="103" spans="1:7" x14ac:dyDescent="0.25">
      <c r="A103" s="36" t="s">
        <v>16</v>
      </c>
      <c r="B103" s="2">
        <v>2.4299569999999999</v>
      </c>
      <c r="C103" s="2">
        <v>0.3590662</v>
      </c>
      <c r="D103" s="2">
        <v>6.01</v>
      </c>
      <c r="E103" s="2">
        <v>0</v>
      </c>
      <c r="F103" s="2">
        <f>B103-1.818944</f>
        <v>0.61101300000000003</v>
      </c>
      <c r="G103" s="2">
        <f>3.246217-B103</f>
        <v>0.81626000000000021</v>
      </c>
    </row>
    <row r="104" spans="1:7" x14ac:dyDescent="0.25">
      <c r="A104" s="36" t="s">
        <v>17</v>
      </c>
      <c r="B104" s="2">
        <v>2.3311920000000002</v>
      </c>
      <c r="C104" s="2">
        <v>0.33518029999999999</v>
      </c>
      <c r="D104" s="2">
        <v>5.89</v>
      </c>
      <c r="E104" s="2">
        <v>0</v>
      </c>
      <c r="F104" s="2">
        <f>B104-1.7587</f>
        <v>0.57249200000000022</v>
      </c>
      <c r="G104" s="2">
        <f>3.090042-B104</f>
        <v>0.7588499999999998</v>
      </c>
    </row>
    <row r="105" spans="1:7" x14ac:dyDescent="0.25">
      <c r="A105" s="36" t="s">
        <v>18</v>
      </c>
      <c r="B105" s="2">
        <v>1.783965</v>
      </c>
      <c r="C105" s="2">
        <v>0.31327270000000002</v>
      </c>
      <c r="D105" s="2">
        <v>3.3</v>
      </c>
      <c r="E105" s="2">
        <v>1E-3</v>
      </c>
      <c r="F105" s="2">
        <f>B105-1.264478</f>
        <v>0.51948700000000003</v>
      </c>
      <c r="G105" s="2">
        <f>2.516873-B105</f>
        <v>0.73290799999999989</v>
      </c>
    </row>
    <row r="106" spans="1:7" x14ac:dyDescent="0.25">
      <c r="A106" s="36" t="s">
        <v>19</v>
      </c>
      <c r="B106" s="2">
        <v>0.29032259999999999</v>
      </c>
      <c r="C106" s="2">
        <v>6.6330100000000003E-2</v>
      </c>
      <c r="D106" s="2">
        <v>-5.41</v>
      </c>
      <c r="E106" s="2">
        <v>0</v>
      </c>
      <c r="F106" s="2">
        <f>B106-0.1855267</f>
        <v>0.1047959</v>
      </c>
      <c r="G106" s="2">
        <f>0.454313-B106</f>
        <v>0.16399040000000004</v>
      </c>
    </row>
    <row r="107" spans="1:7" x14ac:dyDescent="0.25">
      <c r="A107" s="36" t="s">
        <v>20</v>
      </c>
      <c r="B107" s="2">
        <v>0.54145770000000004</v>
      </c>
      <c r="C107" s="2">
        <v>0.10987329999999999</v>
      </c>
      <c r="D107" s="2">
        <v>-3.02</v>
      </c>
      <c r="E107" s="2">
        <v>3.0000000000000001E-3</v>
      </c>
      <c r="F107" s="2">
        <f>B107-0.363779</f>
        <v>0.17767870000000002</v>
      </c>
      <c r="G107" s="2">
        <f>0.8059191-B107</f>
        <v>0.26446139999999996</v>
      </c>
    </row>
    <row r="108" spans="1:7" x14ac:dyDescent="0.25">
      <c r="A108" s="36" t="s">
        <v>21</v>
      </c>
      <c r="B108" s="2">
        <v>0.68922209999999995</v>
      </c>
      <c r="C108" s="2">
        <v>0.1146697</v>
      </c>
      <c r="D108" s="2">
        <v>-2.2400000000000002</v>
      </c>
      <c r="E108" s="2">
        <v>2.5000000000000001E-2</v>
      </c>
      <c r="F108" s="2">
        <f>B108-0.4974392</f>
        <v>0.19178289999999992</v>
      </c>
      <c r="G108" s="2">
        <f>0.9549449-B108</f>
        <v>0.26572280000000004</v>
      </c>
    </row>
    <row r="109" spans="1:7" x14ac:dyDescent="0.25">
      <c r="A109" s="36" t="s">
        <v>22</v>
      </c>
      <c r="B109" s="2">
        <v>0.60181960000000001</v>
      </c>
      <c r="C109" s="2">
        <v>0.13960839999999999</v>
      </c>
      <c r="D109" s="2">
        <v>-2.19</v>
      </c>
      <c r="E109" s="2">
        <v>2.9000000000000001E-2</v>
      </c>
      <c r="F109" s="2">
        <f>B109-0.3819504</f>
        <v>0.21986919999999999</v>
      </c>
      <c r="G109" s="2">
        <f>0.948256-B109</f>
        <v>0.34643639999999998</v>
      </c>
    </row>
    <row r="110" spans="1:7" x14ac:dyDescent="0.25">
      <c r="A110" s="36" t="s">
        <v>23</v>
      </c>
      <c r="B110" s="2">
        <v>0.1182796</v>
      </c>
      <c r="C110" s="2">
        <v>3.8524799999999998E-2</v>
      </c>
      <c r="D110" s="2">
        <v>-6.55</v>
      </c>
      <c r="E110" s="2">
        <v>0</v>
      </c>
      <c r="F110" s="2">
        <f>B110-0.0624691</f>
        <v>5.5810499999999999E-2</v>
      </c>
      <c r="G110" s="2">
        <f>0.2239516-B110</f>
        <v>0.105672</v>
      </c>
    </row>
    <row r="111" spans="1:7" x14ac:dyDescent="0.25">
      <c r="A111" s="36" t="s">
        <v>24</v>
      </c>
      <c r="B111" s="2">
        <v>0.27733200000000002</v>
      </c>
      <c r="C111" s="2">
        <v>6.9167500000000007E-2</v>
      </c>
      <c r="D111" s="2">
        <v>-5.14</v>
      </c>
      <c r="E111" s="2">
        <v>0</v>
      </c>
      <c r="F111" s="2">
        <f>B111-0.1701012</f>
        <v>0.10723080000000001</v>
      </c>
      <c r="G111" s="2">
        <f>0.4521604-B111</f>
        <v>0.17482839999999999</v>
      </c>
    </row>
    <row r="112" spans="1:7" x14ac:dyDescent="0.25">
      <c r="A112" s="36" t="s">
        <v>25</v>
      </c>
      <c r="B112" s="2">
        <v>0.27704020000000001</v>
      </c>
      <c r="C112" s="2">
        <v>5.7128999999999999E-2</v>
      </c>
      <c r="D112" s="2">
        <v>-6.22</v>
      </c>
      <c r="E112" s="2">
        <v>0</v>
      </c>
      <c r="F112" s="2">
        <f>B112-0.1849332</f>
        <v>9.2107000000000022E-2</v>
      </c>
      <c r="G112" s="2">
        <f>0.4150217-B112</f>
        <v>0.13798149999999998</v>
      </c>
    </row>
    <row r="113" spans="1:7" x14ac:dyDescent="0.25">
      <c r="A113" s="36" t="s">
        <v>26</v>
      </c>
      <c r="B113" s="2">
        <v>0.1719484</v>
      </c>
      <c r="C113" s="2">
        <v>6.5297400000000005E-2</v>
      </c>
      <c r="D113" s="2">
        <v>-4.6399999999999997</v>
      </c>
      <c r="E113" s="2">
        <v>0</v>
      </c>
      <c r="F113" s="2">
        <f>B113-0.0816873</f>
        <v>9.0261099999999997E-2</v>
      </c>
      <c r="G113" s="2">
        <f>0.3619444-B113</f>
        <v>0.189996</v>
      </c>
    </row>
    <row r="114" spans="1:7" x14ac:dyDescent="0.25">
      <c r="A114" s="36" t="s">
        <v>27</v>
      </c>
      <c r="B114" s="2">
        <v>0.172043</v>
      </c>
      <c r="C114" s="2">
        <v>4.7946999999999997E-2</v>
      </c>
      <c r="D114" s="2">
        <v>-6.32</v>
      </c>
      <c r="E114" s="2">
        <v>0</v>
      </c>
      <c r="F114" s="2">
        <f>B114-0.0996355</f>
        <v>7.24075E-2</v>
      </c>
      <c r="G114" s="2">
        <f>0.2970709-B114</f>
        <v>0.12502790000000003</v>
      </c>
    </row>
    <row r="115" spans="1:7" x14ac:dyDescent="0.25">
      <c r="A115" s="36" t="s">
        <v>28</v>
      </c>
      <c r="B115" s="2">
        <v>0.26412570000000002</v>
      </c>
      <c r="C115" s="2">
        <v>6.84752E-2</v>
      </c>
      <c r="D115" s="2">
        <v>-5.14</v>
      </c>
      <c r="E115" s="2">
        <v>0</v>
      </c>
      <c r="F115" s="2">
        <f>B115-0.158904</f>
        <v>0.10522170000000003</v>
      </c>
      <c r="G115" s="2">
        <f>0.4390223-B115</f>
        <v>0.17489659999999996</v>
      </c>
    </row>
    <row r="116" spans="1:7" x14ac:dyDescent="0.25">
      <c r="A116" s="36" t="s">
        <v>29</v>
      </c>
      <c r="B116" s="2">
        <v>0.33785389999999998</v>
      </c>
      <c r="C116" s="2">
        <v>6.6156000000000006E-2</v>
      </c>
      <c r="D116" s="2">
        <v>-5.54</v>
      </c>
      <c r="E116" s="2">
        <v>0</v>
      </c>
      <c r="F116" s="2">
        <f>B116-0.2301723</f>
        <v>0.10768159999999999</v>
      </c>
      <c r="G116" s="2">
        <f>0.4959124-B116</f>
        <v>0.15805849999999999</v>
      </c>
    </row>
    <row r="117" spans="1:7" x14ac:dyDescent="0.25">
      <c r="A117" s="36" t="s">
        <v>30</v>
      </c>
      <c r="B117" s="2">
        <v>0.38688400000000001</v>
      </c>
      <c r="C117" s="2">
        <v>0.1054123</v>
      </c>
      <c r="D117" s="2">
        <v>-3.49</v>
      </c>
      <c r="E117" s="2">
        <v>0</v>
      </c>
      <c r="F117" s="2">
        <f>B117-0.226808</f>
        <v>0.160076</v>
      </c>
      <c r="G117" s="2">
        <f>0.6599381-B117</f>
        <v>0.27305409999999997</v>
      </c>
    </row>
    <row r="118" spans="1:7" x14ac:dyDescent="0.25">
      <c r="A118" s="36" t="s">
        <v>67</v>
      </c>
      <c r="B118" s="2">
        <v>0.76344089999999998</v>
      </c>
      <c r="C118" s="2">
        <v>0.1348096</v>
      </c>
      <c r="D118" s="2">
        <v>-1.53</v>
      </c>
      <c r="E118" s="2">
        <v>0.126</v>
      </c>
      <c r="F118" s="2">
        <f>B118-0.5400934</f>
        <v>0.22334750000000003</v>
      </c>
      <c r="G118" s="2">
        <f>1.07915-B118</f>
        <v>0.31570910000000008</v>
      </c>
    </row>
    <row r="119" spans="1:7" x14ac:dyDescent="0.25">
      <c r="A119" s="36" t="s">
        <v>31</v>
      </c>
      <c r="B119" s="2">
        <v>1.6639919999999999</v>
      </c>
      <c r="C119" s="2">
        <v>0.26609460000000001</v>
      </c>
      <c r="D119" s="2">
        <v>3.18</v>
      </c>
      <c r="E119" s="2">
        <v>1E-3</v>
      </c>
      <c r="F119" s="2">
        <f>B119-1.216278</f>
        <v>0.44771399999999995</v>
      </c>
      <c r="G119" s="2">
        <f>2.276511-B119</f>
        <v>0.61251900000000026</v>
      </c>
    </row>
    <row r="120" spans="1:7" x14ac:dyDescent="0.25">
      <c r="A120" s="36" t="s">
        <v>32</v>
      </c>
      <c r="B120" s="2">
        <v>2.7095889999999998</v>
      </c>
      <c r="C120" s="2">
        <v>0.39222560000000001</v>
      </c>
      <c r="D120" s="2">
        <v>6.89</v>
      </c>
      <c r="E120" s="2">
        <v>0</v>
      </c>
      <c r="F120" s="2">
        <f>B120-2.040272</f>
        <v>0.66931699999999994</v>
      </c>
      <c r="G120" s="2">
        <f>3.598477-B120</f>
        <v>0.88888800000000012</v>
      </c>
    </row>
    <row r="121" spans="1:7" x14ac:dyDescent="0.25">
      <c r="A121" s="36" t="s">
        <v>33</v>
      </c>
      <c r="B121" s="2">
        <v>4.2557239999999998</v>
      </c>
      <c r="C121" s="2">
        <v>0.68422660000000002</v>
      </c>
      <c r="D121" s="2">
        <v>9.01</v>
      </c>
      <c r="E121" s="2">
        <v>0</v>
      </c>
      <c r="F121" s="2">
        <f>B121-3.105411</f>
        <v>1.1503129999999997</v>
      </c>
      <c r="G121" s="2">
        <f>5.832139-B121</f>
        <v>1.5764149999999999</v>
      </c>
    </row>
    <row r="122" spans="1:7" x14ac:dyDescent="0.25">
      <c r="A122" s="36" t="s">
        <v>34</v>
      </c>
      <c r="B122" s="2">
        <v>1</v>
      </c>
      <c r="C122" s="2"/>
      <c r="D122" s="2"/>
      <c r="E122" s="2"/>
      <c r="F122" s="2">
        <v>0</v>
      </c>
      <c r="G122" s="2">
        <v>0</v>
      </c>
    </row>
    <row r="123" spans="1:7" x14ac:dyDescent="0.25">
      <c r="A123" s="36" t="s">
        <v>35</v>
      </c>
      <c r="B123" s="2">
        <v>1.9545300000000001</v>
      </c>
      <c r="C123" s="2">
        <v>0.3059616</v>
      </c>
      <c r="D123" s="2">
        <v>4.28</v>
      </c>
      <c r="E123" s="2">
        <v>0</v>
      </c>
      <c r="F123" s="2">
        <f>B123-1.438121</f>
        <v>0.51640900000000012</v>
      </c>
      <c r="G123" s="2">
        <f>2.656374-B123</f>
        <v>0.70184399999999991</v>
      </c>
    </row>
    <row r="124" spans="1:7" x14ac:dyDescent="0.25">
      <c r="A124" s="36" t="s">
        <v>36</v>
      </c>
      <c r="B124" s="2">
        <v>2.3244349999999998</v>
      </c>
      <c r="C124" s="2">
        <v>0.34136460000000002</v>
      </c>
      <c r="D124" s="2">
        <v>5.74</v>
      </c>
      <c r="E124" s="2">
        <v>0</v>
      </c>
      <c r="F124" s="2">
        <f>B124-1.743053</f>
        <v>0.58138199999999984</v>
      </c>
      <c r="G124" s="2">
        <f>3.099732-B124</f>
        <v>0.77529700000000012</v>
      </c>
    </row>
    <row r="125" spans="1:7" x14ac:dyDescent="0.25">
      <c r="A125" s="36" t="s">
        <v>37</v>
      </c>
      <c r="B125" s="2">
        <v>4.2772180000000004</v>
      </c>
      <c r="C125" s="2">
        <v>0.68020800000000003</v>
      </c>
      <c r="D125" s="2">
        <v>9.14</v>
      </c>
      <c r="E125" s="2">
        <v>0</v>
      </c>
      <c r="F125" s="2">
        <f>B125-3.131802</f>
        <v>1.1454160000000004</v>
      </c>
      <c r="G125" s="2">
        <f>5.841553-B125</f>
        <v>1.5643349999999998</v>
      </c>
    </row>
    <row r="126" spans="1:7" x14ac:dyDescent="0.25">
      <c r="A126" s="36" t="s">
        <v>50</v>
      </c>
      <c r="B126" s="2">
        <v>0.56989250000000002</v>
      </c>
      <c r="C126" s="2">
        <v>0.1044916</v>
      </c>
      <c r="D126" s="2">
        <v>-3.07</v>
      </c>
      <c r="E126" s="2">
        <v>2E-3</v>
      </c>
      <c r="F126" s="2">
        <f>B126-0.3978528</f>
        <v>0.17203970000000002</v>
      </c>
      <c r="G126" s="2">
        <f>0.8163255-B126</f>
        <v>0.24643300000000001</v>
      </c>
    </row>
    <row r="127" spans="1:7" x14ac:dyDescent="0.25">
      <c r="A127" s="36" t="s">
        <v>51</v>
      </c>
      <c r="B127" s="2">
        <v>0.63390170000000001</v>
      </c>
      <c r="C127" s="2">
        <v>0.12199649999999999</v>
      </c>
      <c r="D127" s="2">
        <v>-2.37</v>
      </c>
      <c r="E127" s="2">
        <v>1.7999999999999999E-2</v>
      </c>
      <c r="F127" s="2">
        <f>B127-0.4347157</f>
        <v>0.19918600000000003</v>
      </c>
      <c r="G127" s="2">
        <f>0.9243544-B127</f>
        <v>0.29045270000000001</v>
      </c>
    </row>
    <row r="128" spans="1:7" x14ac:dyDescent="0.25">
      <c r="A128" s="36" t="s">
        <v>52</v>
      </c>
      <c r="B128" s="2">
        <v>1.000048</v>
      </c>
      <c r="C128" s="2">
        <v>0.15937280000000001</v>
      </c>
      <c r="D128" s="2">
        <v>0</v>
      </c>
      <c r="E128" s="2">
        <v>1</v>
      </c>
      <c r="F128" s="2">
        <f>B128-0.7317602</f>
        <v>0.26828780000000008</v>
      </c>
      <c r="G128" s="2">
        <f>1.366698-B128</f>
        <v>0.36664999999999992</v>
      </c>
    </row>
    <row r="129" spans="1:10" x14ac:dyDescent="0.25">
      <c r="A129" s="36" t="s">
        <v>53</v>
      </c>
      <c r="B129" s="2">
        <v>0.62331309999999995</v>
      </c>
      <c r="C129" s="2">
        <v>0.14310410000000001</v>
      </c>
      <c r="D129" s="2">
        <v>-2.06</v>
      </c>
      <c r="E129" s="2">
        <v>3.9E-2</v>
      </c>
      <c r="F129" s="2">
        <f>B129-0.3974496</f>
        <v>0.22586349999999994</v>
      </c>
      <c r="G129" s="2">
        <f>0.9775308-B129</f>
        <v>0.35421770000000008</v>
      </c>
    </row>
    <row r="130" spans="1:10" x14ac:dyDescent="0.25">
      <c r="A130" s="36" t="s">
        <v>54</v>
      </c>
      <c r="B130" s="2">
        <v>0.30107529999999999</v>
      </c>
      <c r="C130" s="2">
        <v>6.7909399999999995E-2</v>
      </c>
      <c r="D130" s="2">
        <v>-5.32</v>
      </c>
      <c r="E130" s="2">
        <v>0</v>
      </c>
      <c r="F130" s="2">
        <f>B130-0.1935001</f>
        <v>0.10757519999999998</v>
      </c>
      <c r="G130" s="2">
        <f>0.4684561-B130</f>
        <v>0.1673808</v>
      </c>
    </row>
    <row r="131" spans="1:10" x14ac:dyDescent="0.25">
      <c r="A131" s="36" t="s">
        <v>55</v>
      </c>
      <c r="B131" s="2">
        <v>0.47542630000000002</v>
      </c>
      <c r="C131" s="2">
        <v>9.8617899999999994E-2</v>
      </c>
      <c r="D131" s="2">
        <v>-3.58</v>
      </c>
      <c r="E131" s="2">
        <v>0</v>
      </c>
      <c r="F131" s="2">
        <f>B131-0.3166052</f>
        <v>0.15882110000000005</v>
      </c>
      <c r="G131" s="2">
        <f>0.7139181-B131</f>
        <v>0.23849179999999998</v>
      </c>
    </row>
    <row r="132" spans="1:10" x14ac:dyDescent="0.25">
      <c r="A132" s="36" t="s">
        <v>56</v>
      </c>
      <c r="B132" s="2">
        <v>0.49326680000000001</v>
      </c>
      <c r="C132" s="2">
        <v>9.0323200000000006E-2</v>
      </c>
      <c r="D132" s="2">
        <v>-3.86</v>
      </c>
      <c r="E132" s="2">
        <v>0</v>
      </c>
      <c r="F132" s="2">
        <f>B132-0.3445216</f>
        <v>0.14874520000000002</v>
      </c>
      <c r="G132" s="2">
        <f>0.7062318-B132</f>
        <v>0.21296499999999996</v>
      </c>
    </row>
    <row r="133" spans="1:10" x14ac:dyDescent="0.25">
      <c r="A133" s="36" t="s">
        <v>57</v>
      </c>
      <c r="B133" s="2">
        <v>0.34389690000000001</v>
      </c>
      <c r="C133" s="2">
        <v>0.1025335</v>
      </c>
      <c r="D133" s="2">
        <v>-3.58</v>
      </c>
      <c r="E133" s="2">
        <v>0</v>
      </c>
      <c r="F133" s="2">
        <f>B133-0.1917083</f>
        <v>0.15218860000000001</v>
      </c>
      <c r="G133" s="2">
        <f>0.616901-B133</f>
        <v>0.27300410000000003</v>
      </c>
    </row>
    <row r="134" spans="1:10" x14ac:dyDescent="0.25">
      <c r="A134" s="36" t="s">
        <v>58</v>
      </c>
      <c r="B134" s="2">
        <v>0.40860220000000003</v>
      </c>
      <c r="C134" s="2">
        <v>8.3212800000000003E-2</v>
      </c>
      <c r="D134" s="2">
        <v>-4.3899999999999997</v>
      </c>
      <c r="E134" s="2">
        <v>0</v>
      </c>
      <c r="F134" s="2">
        <f>B134-0.2741267</f>
        <v>0.13447550000000003</v>
      </c>
      <c r="G134" s="2">
        <f>0.6090458-B134</f>
        <v>0.20044359999999994</v>
      </c>
    </row>
    <row r="135" spans="1:10" x14ac:dyDescent="0.25">
      <c r="A135" s="36" t="s">
        <v>59</v>
      </c>
      <c r="B135" s="2">
        <v>0.55466400000000005</v>
      </c>
      <c r="C135" s="2">
        <v>0.11222940000000001</v>
      </c>
      <c r="D135" s="2">
        <v>-2.91</v>
      </c>
      <c r="E135" s="2">
        <v>4.0000000000000001E-3</v>
      </c>
      <c r="F135" s="2">
        <f>B135-0.3730783</f>
        <v>0.18158570000000007</v>
      </c>
      <c r="G135" s="2">
        <f>0.8246317-B135</f>
        <v>0.26996769999999992</v>
      </c>
    </row>
    <row r="136" spans="1:10" x14ac:dyDescent="0.25">
      <c r="A136" s="36" t="s">
        <v>60</v>
      </c>
      <c r="B136" s="2">
        <v>0.62840830000000003</v>
      </c>
      <c r="C136" s="2">
        <v>0.1079343</v>
      </c>
      <c r="D136" s="2">
        <v>-2.7</v>
      </c>
      <c r="E136" s="2">
        <v>7.0000000000000001E-3</v>
      </c>
      <c r="F136" s="2">
        <f>B136-0.4487879</f>
        <v>0.17962040000000001</v>
      </c>
      <c r="G136" s="2">
        <f>0.8799192-B136</f>
        <v>0.25151089999999998</v>
      </c>
    </row>
    <row r="137" spans="1:10" x14ac:dyDescent="0.25">
      <c r="A137" s="36" t="s">
        <v>61</v>
      </c>
      <c r="B137" s="2">
        <v>0.42987110000000001</v>
      </c>
      <c r="C137" s="2">
        <v>0.11267820000000001</v>
      </c>
      <c r="D137" s="2">
        <v>-3.22</v>
      </c>
      <c r="E137" s="2">
        <v>1E-3</v>
      </c>
      <c r="F137" s="2">
        <f>B137-0.2571702</f>
        <v>0.17270089999999999</v>
      </c>
      <c r="G137" s="2">
        <f>0.7185483-B137</f>
        <v>0.28867720000000002</v>
      </c>
    </row>
    <row r="138" spans="1:10" x14ac:dyDescent="0.25">
      <c r="A138" s="36"/>
      <c r="B138" s="3"/>
      <c r="C138" s="3"/>
      <c r="D138" s="3"/>
      <c r="E138" s="3"/>
      <c r="F138" s="3"/>
      <c r="G138" s="3"/>
    </row>
    <row r="139" spans="1:10" x14ac:dyDescent="0.25">
      <c r="A139" s="5" t="s">
        <v>6</v>
      </c>
      <c r="B139" s="6">
        <v>3.1770000000000001E-3</v>
      </c>
      <c r="C139" s="6">
        <v>5.1840000000000002E-4</v>
      </c>
      <c r="D139" s="6">
        <v>-35.25</v>
      </c>
      <c r="E139" s="6">
        <v>0</v>
      </c>
      <c r="F139" s="6">
        <v>2.3075000000000001E-3</v>
      </c>
      <c r="G139" s="6">
        <v>4.3742E-3</v>
      </c>
    </row>
    <row r="141" spans="1:10" ht="15.75" thickBot="1" x14ac:dyDescent="0.3"/>
    <row r="142" spans="1:10" x14ac:dyDescent="0.25">
      <c r="A142" s="10"/>
      <c r="B142" s="11" t="s">
        <v>9</v>
      </c>
      <c r="C142" s="11" t="s">
        <v>10</v>
      </c>
      <c r="D142" s="11" t="s">
        <v>40</v>
      </c>
      <c r="E142" s="11" t="s">
        <v>11</v>
      </c>
      <c r="F142" s="11" t="s">
        <v>7</v>
      </c>
      <c r="G142" s="11" t="s">
        <v>8</v>
      </c>
      <c r="H142" s="11" t="s">
        <v>63</v>
      </c>
      <c r="I142" s="11" t="s">
        <v>64</v>
      </c>
      <c r="J142" s="12" t="s">
        <v>65</v>
      </c>
    </row>
    <row r="143" spans="1:10" x14ac:dyDescent="0.25">
      <c r="A143" s="13" t="s">
        <v>12</v>
      </c>
      <c r="B143" s="14">
        <f>B102</f>
        <v>1.548387</v>
      </c>
      <c r="C143" s="15">
        <f>B106</f>
        <v>0.29032259999999999</v>
      </c>
      <c r="D143" s="15">
        <f>B110</f>
        <v>0.1182796</v>
      </c>
      <c r="E143" s="15">
        <f>B114</f>
        <v>0.172043</v>
      </c>
      <c r="F143" s="15">
        <f>B118</f>
        <v>0.76344089999999998</v>
      </c>
      <c r="G143" s="15">
        <f>B122</f>
        <v>1</v>
      </c>
      <c r="H143" s="16">
        <f>B126</f>
        <v>0.56989250000000002</v>
      </c>
      <c r="I143" s="16">
        <f>B130</f>
        <v>0.30107529999999999</v>
      </c>
      <c r="J143" s="17">
        <f>B134</f>
        <v>0.40860220000000003</v>
      </c>
    </row>
    <row r="144" spans="1:10" x14ac:dyDescent="0.25">
      <c r="A144" s="13" t="s">
        <v>13</v>
      </c>
      <c r="B144" s="15">
        <f>B103</f>
        <v>2.4299569999999999</v>
      </c>
      <c r="C144" s="15">
        <f>B107</f>
        <v>0.54145770000000004</v>
      </c>
      <c r="D144" s="15">
        <f>B111</f>
        <v>0.27733200000000002</v>
      </c>
      <c r="E144" s="15">
        <f>B115</f>
        <v>0.26412570000000002</v>
      </c>
      <c r="F144" s="15">
        <f>B119</f>
        <v>1.6639919999999999</v>
      </c>
      <c r="G144" s="15">
        <f>B123</f>
        <v>1.9545300000000001</v>
      </c>
      <c r="H144" s="16">
        <f>B127</f>
        <v>0.63390170000000001</v>
      </c>
      <c r="I144" s="16">
        <f>B131</f>
        <v>0.47542630000000002</v>
      </c>
      <c r="J144" s="18">
        <f>B135</f>
        <v>0.55466400000000005</v>
      </c>
    </row>
    <row r="145" spans="1:10" x14ac:dyDescent="0.25">
      <c r="A145" s="13" t="s">
        <v>14</v>
      </c>
      <c r="B145" s="15">
        <f>B104</f>
        <v>2.3311920000000002</v>
      </c>
      <c r="C145" s="15">
        <f>B108</f>
        <v>0.68922209999999995</v>
      </c>
      <c r="D145" s="15">
        <f>B112</f>
        <v>0.27704020000000001</v>
      </c>
      <c r="E145" s="15">
        <f>B116</f>
        <v>0.33785389999999998</v>
      </c>
      <c r="F145" s="15">
        <f>B120</f>
        <v>2.7095889999999998</v>
      </c>
      <c r="G145" s="15">
        <f>B124</f>
        <v>2.3244349999999998</v>
      </c>
      <c r="H145" s="16">
        <f>B128</f>
        <v>1.000048</v>
      </c>
      <c r="I145" s="16">
        <f>B132</f>
        <v>0.49326680000000001</v>
      </c>
      <c r="J145" s="18">
        <f>B136</f>
        <v>0.62840830000000003</v>
      </c>
    </row>
    <row r="146" spans="1:10" ht="15.75" thickBot="1" x14ac:dyDescent="0.3">
      <c r="A146" s="19" t="s">
        <v>371</v>
      </c>
      <c r="B146" s="20">
        <f>B105</f>
        <v>1.783965</v>
      </c>
      <c r="C146" s="20">
        <f>B109</f>
        <v>0.60181960000000001</v>
      </c>
      <c r="D146" s="20">
        <f>B113</f>
        <v>0.1719484</v>
      </c>
      <c r="E146" s="20">
        <f>B117</f>
        <v>0.38688400000000001</v>
      </c>
      <c r="F146" s="20">
        <f>B121</f>
        <v>4.2557239999999998</v>
      </c>
      <c r="G146" s="20">
        <f>B125</f>
        <v>4.2772180000000004</v>
      </c>
      <c r="H146" s="21">
        <f>B129</f>
        <v>0.62331309999999995</v>
      </c>
      <c r="I146" s="21">
        <f>B133</f>
        <v>0.34389690000000001</v>
      </c>
      <c r="J146" s="22">
        <f>B137</f>
        <v>0.42987110000000001</v>
      </c>
    </row>
    <row r="166" spans="1:7" s="1" customFormat="1" x14ac:dyDescent="0.25">
      <c r="A166" s="1" t="s">
        <v>90</v>
      </c>
    </row>
    <row r="168" spans="1:7" x14ac:dyDescent="0.25">
      <c r="A168" s="49"/>
      <c r="B168" s="46" t="s">
        <v>1</v>
      </c>
      <c r="C168" s="47"/>
      <c r="D168" s="47"/>
      <c r="E168" s="47"/>
      <c r="F168" s="47"/>
      <c r="G168" s="47"/>
    </row>
    <row r="169" spans="1:7" x14ac:dyDescent="0.25">
      <c r="A169" s="50" t="s">
        <v>2</v>
      </c>
      <c r="B169" s="48" t="s">
        <v>269</v>
      </c>
      <c r="C169" s="48" t="s">
        <v>270</v>
      </c>
      <c r="D169" s="48" t="s">
        <v>3</v>
      </c>
      <c r="E169" s="48" t="s">
        <v>4</v>
      </c>
      <c r="F169" s="48" t="s">
        <v>271</v>
      </c>
      <c r="G169" s="48" t="s">
        <v>272</v>
      </c>
    </row>
    <row r="170" spans="1:7" x14ac:dyDescent="0.25">
      <c r="A170" s="49"/>
      <c r="B170" s="46"/>
      <c r="C170" s="46"/>
      <c r="D170" s="47"/>
      <c r="E170" s="47"/>
      <c r="F170" s="47"/>
      <c r="G170" s="47"/>
    </row>
    <row r="171" spans="1:7" x14ac:dyDescent="0.25">
      <c r="A171" s="49" t="s">
        <v>74</v>
      </c>
      <c r="B171" s="47"/>
      <c r="C171" s="47"/>
      <c r="D171" s="47"/>
      <c r="E171" s="47"/>
      <c r="F171" s="47"/>
      <c r="G171" s="47"/>
    </row>
    <row r="172" spans="1:7" x14ac:dyDescent="0.25">
      <c r="A172" s="49" t="s">
        <v>75</v>
      </c>
      <c r="B172" s="46">
        <v>0.83724989999999999</v>
      </c>
      <c r="C172" s="46">
        <v>3.8428499999999997E-2</v>
      </c>
      <c r="D172" s="46">
        <v>-3.87</v>
      </c>
      <c r="E172" s="46">
        <v>0</v>
      </c>
      <c r="F172" s="46">
        <v>0.76521989999999995</v>
      </c>
      <c r="G172" s="46">
        <v>0.91606010000000004</v>
      </c>
    </row>
    <row r="173" spans="1:7" x14ac:dyDescent="0.25">
      <c r="A173" s="49" t="s">
        <v>76</v>
      </c>
      <c r="B173" s="46">
        <v>0.61921519999999997</v>
      </c>
      <c r="C173" s="46">
        <v>4.3437200000000002E-2</v>
      </c>
      <c r="D173" s="46">
        <v>-6.83</v>
      </c>
      <c r="E173" s="46">
        <v>0</v>
      </c>
      <c r="F173" s="46">
        <v>0.53967310000000002</v>
      </c>
      <c r="G173" s="46">
        <v>0.71048089999999997</v>
      </c>
    </row>
    <row r="174" spans="1:7" x14ac:dyDescent="0.25">
      <c r="A174" s="49" t="s">
        <v>77</v>
      </c>
      <c r="B174" s="46">
        <v>0.52663740000000003</v>
      </c>
      <c r="C174" s="46">
        <v>4.1196299999999998E-2</v>
      </c>
      <c r="D174" s="46">
        <v>-8.1999999999999993</v>
      </c>
      <c r="E174" s="46">
        <v>0</v>
      </c>
      <c r="F174" s="46">
        <v>0.45177929999999999</v>
      </c>
      <c r="G174" s="46">
        <v>0.61389919999999998</v>
      </c>
    </row>
    <row r="175" spans="1:7" x14ac:dyDescent="0.25">
      <c r="A175" s="49" t="s">
        <v>78</v>
      </c>
      <c r="B175" s="46">
        <v>0.46217150000000001</v>
      </c>
      <c r="C175" s="46">
        <v>4.00475E-2</v>
      </c>
      <c r="D175" s="46">
        <v>-8.91</v>
      </c>
      <c r="E175" s="46">
        <v>0</v>
      </c>
      <c r="F175" s="46">
        <v>0.38998319999999997</v>
      </c>
      <c r="G175" s="46">
        <v>0.54772240000000005</v>
      </c>
    </row>
    <row r="176" spans="1:7" x14ac:dyDescent="0.25">
      <c r="A176" s="49" t="s">
        <v>79</v>
      </c>
      <c r="B176" s="46">
        <v>0.40660069999999998</v>
      </c>
      <c r="C176" s="46">
        <v>3.7201600000000001E-2</v>
      </c>
      <c r="D176" s="46">
        <v>-9.84</v>
      </c>
      <c r="E176" s="46">
        <v>0</v>
      </c>
      <c r="F176" s="46">
        <v>0.3398506</v>
      </c>
      <c r="G176" s="46">
        <v>0.48646119999999998</v>
      </c>
    </row>
    <row r="177" spans="1:7" x14ac:dyDescent="0.25">
      <c r="A177" s="49" t="s">
        <v>80</v>
      </c>
      <c r="B177" s="46">
        <v>0.34254780000000001</v>
      </c>
      <c r="C177" s="46">
        <v>5.1027999999999997E-2</v>
      </c>
      <c r="D177" s="46">
        <v>-7.19</v>
      </c>
      <c r="E177" s="46">
        <v>0</v>
      </c>
      <c r="F177" s="46">
        <v>0.25581209999999999</v>
      </c>
      <c r="G177" s="46">
        <v>0.45869199999999999</v>
      </c>
    </row>
    <row r="178" spans="1:7" x14ac:dyDescent="0.25">
      <c r="A178" s="49" t="s">
        <v>86</v>
      </c>
      <c r="B178" s="46">
        <v>0.24888560000000001</v>
      </c>
      <c r="C178" s="46">
        <v>4.12521E-2</v>
      </c>
      <c r="D178" s="46">
        <v>-8.39</v>
      </c>
      <c r="E178" s="46">
        <v>0</v>
      </c>
      <c r="F178" s="46">
        <v>0.17985200000000001</v>
      </c>
      <c r="G178" s="46">
        <v>0.34441660000000002</v>
      </c>
    </row>
    <row r="179" spans="1:7" x14ac:dyDescent="0.25">
      <c r="A179" s="49" t="s">
        <v>87</v>
      </c>
      <c r="B179" s="46">
        <v>0.15720129999999999</v>
      </c>
      <c r="C179" s="46">
        <v>3.6149899999999999E-2</v>
      </c>
      <c r="D179" s="46">
        <v>-8.0500000000000007</v>
      </c>
      <c r="E179" s="46">
        <v>0</v>
      </c>
      <c r="F179" s="46">
        <v>0.10016460000000001</v>
      </c>
      <c r="G179" s="46">
        <v>0.24671609999999999</v>
      </c>
    </row>
    <row r="180" spans="1:7" x14ac:dyDescent="0.25">
      <c r="A180" s="49" t="s">
        <v>88</v>
      </c>
      <c r="B180" s="46">
        <v>5.2578100000000003E-2</v>
      </c>
      <c r="C180" s="46">
        <v>3.01961E-2</v>
      </c>
      <c r="D180" s="46">
        <v>-5.13</v>
      </c>
      <c r="E180" s="46">
        <v>0</v>
      </c>
      <c r="F180" s="46">
        <v>1.7058899999999998E-2</v>
      </c>
      <c r="G180" s="46">
        <v>0.16205359999999999</v>
      </c>
    </row>
    <row r="181" spans="1:7" x14ac:dyDescent="0.25">
      <c r="A181" s="49"/>
      <c r="B181" s="47"/>
      <c r="C181" s="47"/>
      <c r="D181" s="47"/>
      <c r="E181" s="47"/>
      <c r="F181" s="47"/>
      <c r="G181" s="47"/>
    </row>
    <row r="182" spans="1:7" x14ac:dyDescent="0.25">
      <c r="A182" s="49" t="s">
        <v>113</v>
      </c>
      <c r="B182" s="47"/>
      <c r="C182" s="47"/>
      <c r="D182" s="47"/>
      <c r="E182" s="47"/>
      <c r="F182" s="47"/>
      <c r="G182" s="47"/>
    </row>
    <row r="183" spans="1:7" x14ac:dyDescent="0.25">
      <c r="A183" s="49">
        <v>2</v>
      </c>
      <c r="B183" s="46">
        <v>1.2617080000000001</v>
      </c>
      <c r="C183" s="46">
        <v>8.7641800000000006E-2</v>
      </c>
      <c r="D183" s="46">
        <v>3.35</v>
      </c>
      <c r="E183" s="46">
        <v>1E-3</v>
      </c>
      <c r="F183" s="46">
        <v>1.101113</v>
      </c>
      <c r="G183" s="46">
        <v>1.4457249999999999</v>
      </c>
    </row>
    <row r="184" spans="1:7" x14ac:dyDescent="0.25">
      <c r="A184" s="49">
        <v>3</v>
      </c>
      <c r="B184" s="46">
        <v>1.3813409999999999</v>
      </c>
      <c r="C184" s="46">
        <v>0.1003337</v>
      </c>
      <c r="D184" s="46">
        <v>4.45</v>
      </c>
      <c r="E184" s="46">
        <v>0</v>
      </c>
      <c r="F184" s="46">
        <v>1.1980470000000001</v>
      </c>
      <c r="G184" s="46">
        <v>1.5926769999999999</v>
      </c>
    </row>
    <row r="185" spans="1:7" x14ac:dyDescent="0.25">
      <c r="A185" s="49"/>
      <c r="B185" s="47"/>
      <c r="C185" s="47"/>
      <c r="D185" s="47"/>
      <c r="E185" s="47"/>
      <c r="F185" s="47"/>
      <c r="G185" s="47"/>
    </row>
    <row r="186" spans="1:7" x14ac:dyDescent="0.25">
      <c r="A186" s="49" t="s">
        <v>108</v>
      </c>
      <c r="B186" s="47"/>
      <c r="C186" s="47"/>
      <c r="D186" s="47"/>
      <c r="E186" s="47"/>
      <c r="F186" s="47"/>
      <c r="G186" s="47"/>
    </row>
    <row r="187" spans="1:7" x14ac:dyDescent="0.25">
      <c r="A187" s="49">
        <v>2</v>
      </c>
      <c r="B187" s="46">
        <v>1.10625</v>
      </c>
      <c r="C187" s="46">
        <v>5.1704100000000003E-2</v>
      </c>
      <c r="D187" s="46">
        <v>2.16</v>
      </c>
      <c r="E187" s="46">
        <v>3.1E-2</v>
      </c>
      <c r="F187" s="46">
        <v>1.009415</v>
      </c>
      <c r="G187" s="46">
        <v>1.212375</v>
      </c>
    </row>
    <row r="188" spans="1:7" x14ac:dyDescent="0.25">
      <c r="A188" s="49" t="s">
        <v>109</v>
      </c>
      <c r="B188" s="46">
        <v>1.4617990000000001</v>
      </c>
      <c r="C188" s="46">
        <v>0.1274633</v>
      </c>
      <c r="D188" s="46">
        <v>4.3499999999999996</v>
      </c>
      <c r="E188" s="46">
        <v>0</v>
      </c>
      <c r="F188" s="46">
        <v>1.2321580000000001</v>
      </c>
      <c r="G188" s="46">
        <v>1.73424</v>
      </c>
    </row>
    <row r="189" spans="1:7" x14ac:dyDescent="0.25">
      <c r="A189" s="49"/>
      <c r="B189" s="47"/>
      <c r="C189" s="47"/>
      <c r="D189" s="47"/>
      <c r="E189" s="47"/>
      <c r="F189" s="47"/>
      <c r="G189" s="47"/>
    </row>
    <row r="190" spans="1:7" x14ac:dyDescent="0.25">
      <c r="A190" s="49" t="s">
        <v>85</v>
      </c>
      <c r="B190" s="47"/>
      <c r="C190" s="47"/>
      <c r="D190" s="47"/>
      <c r="E190" s="47"/>
      <c r="F190" s="47"/>
      <c r="G190" s="47"/>
    </row>
    <row r="191" spans="1:7" x14ac:dyDescent="0.25">
      <c r="A191" s="38" t="s">
        <v>315</v>
      </c>
      <c r="B191" s="46">
        <v>0.62747399999999998</v>
      </c>
      <c r="C191" s="46">
        <v>2.6111200000000001E-2</v>
      </c>
      <c r="D191" s="46">
        <v>-11.2</v>
      </c>
      <c r="E191" s="46">
        <v>0</v>
      </c>
      <c r="F191" s="46">
        <v>0.57832850000000002</v>
      </c>
      <c r="G191" s="46">
        <v>0.68079590000000001</v>
      </c>
    </row>
    <row r="192" spans="1:7" x14ac:dyDescent="0.25">
      <c r="A192" s="38" t="s">
        <v>316</v>
      </c>
      <c r="B192" s="46">
        <v>0.36728430000000001</v>
      </c>
      <c r="C192" s="46">
        <v>2.5127E-2</v>
      </c>
      <c r="D192" s="46">
        <v>-14.64</v>
      </c>
      <c r="E192" s="46">
        <v>0</v>
      </c>
      <c r="F192" s="46">
        <v>0.32119530000000002</v>
      </c>
      <c r="G192" s="46">
        <v>0.41998669999999999</v>
      </c>
    </row>
    <row r="193" spans="1:7" x14ac:dyDescent="0.25">
      <c r="A193" s="38" t="s">
        <v>317</v>
      </c>
      <c r="B193" s="46">
        <v>0.34982619999999998</v>
      </c>
      <c r="C193" s="46">
        <v>2.5149600000000001E-2</v>
      </c>
      <c r="D193" s="46">
        <v>-14.61</v>
      </c>
      <c r="E193" s="46">
        <v>0</v>
      </c>
      <c r="F193" s="46">
        <v>0.30384919999999999</v>
      </c>
      <c r="G193" s="46">
        <v>0.40276040000000002</v>
      </c>
    </row>
    <row r="194" spans="1:7" x14ac:dyDescent="0.25">
      <c r="A194" s="38" t="s">
        <v>82</v>
      </c>
      <c r="B194" s="46">
        <v>0.58055420000000002</v>
      </c>
      <c r="C194" s="46">
        <v>4.1882599999999999E-2</v>
      </c>
      <c r="D194" s="46">
        <v>-7.54</v>
      </c>
      <c r="E194" s="46">
        <v>0</v>
      </c>
      <c r="F194" s="46">
        <v>0.50400520000000004</v>
      </c>
      <c r="G194" s="46">
        <v>0.66872960000000004</v>
      </c>
    </row>
    <row r="195" spans="1:7" x14ac:dyDescent="0.25">
      <c r="A195" s="49"/>
      <c r="B195" s="47"/>
      <c r="C195" s="47"/>
      <c r="D195" s="47"/>
      <c r="E195" s="47"/>
      <c r="F195" s="47"/>
      <c r="G195" s="47"/>
    </row>
    <row r="196" spans="1:7" x14ac:dyDescent="0.25">
      <c r="A196" s="49" t="s">
        <v>101</v>
      </c>
      <c r="B196" s="47"/>
      <c r="C196" s="47"/>
      <c r="D196" s="47"/>
      <c r="E196" s="47"/>
      <c r="F196" s="47"/>
      <c r="G196" s="47"/>
    </row>
    <row r="197" spans="1:7" x14ac:dyDescent="0.25">
      <c r="A197" s="49" t="s">
        <v>117</v>
      </c>
      <c r="B197" s="46">
        <v>2.0594060000000001</v>
      </c>
      <c r="C197" s="46">
        <v>0.29622199999999999</v>
      </c>
      <c r="D197" s="46">
        <v>5.0199999999999996</v>
      </c>
      <c r="E197" s="46">
        <v>0</v>
      </c>
      <c r="F197" s="46">
        <f>B197-1.553483</f>
        <v>0.50592300000000012</v>
      </c>
      <c r="G197" s="46">
        <f>2.730094-B197</f>
        <v>0.67068799999999973</v>
      </c>
    </row>
    <row r="198" spans="1:7" x14ac:dyDescent="0.25">
      <c r="A198" s="49" t="s">
        <v>118</v>
      </c>
      <c r="B198" s="46">
        <v>2.2876180000000002</v>
      </c>
      <c r="C198" s="46">
        <v>0.33564569999999999</v>
      </c>
      <c r="D198" s="46">
        <v>5.64</v>
      </c>
      <c r="E198" s="46">
        <v>0</v>
      </c>
      <c r="F198" s="46">
        <f>B198-1.715904</f>
        <v>0.57171400000000006</v>
      </c>
      <c r="G198" s="46">
        <f>3.04982-B198</f>
        <v>0.76220199999999982</v>
      </c>
    </row>
    <row r="199" spans="1:7" x14ac:dyDescent="0.25">
      <c r="A199" s="49" t="s">
        <v>119</v>
      </c>
      <c r="B199" s="46">
        <v>0.41584159999999998</v>
      </c>
      <c r="C199" s="46">
        <v>8.2877500000000007E-2</v>
      </c>
      <c r="D199" s="46">
        <v>-4.4000000000000004</v>
      </c>
      <c r="E199" s="46">
        <v>0</v>
      </c>
      <c r="F199" s="46">
        <f>B199-0.2813733</f>
        <v>0.13446829999999999</v>
      </c>
      <c r="G199" s="46">
        <f>0.6145722-B199</f>
        <v>0.19873060000000003</v>
      </c>
    </row>
    <row r="200" spans="1:7" x14ac:dyDescent="0.25">
      <c r="A200" s="49" t="s">
        <v>120</v>
      </c>
      <c r="B200" s="46">
        <v>0.69791749999999997</v>
      </c>
      <c r="C200" s="46">
        <v>0.12366770000000001</v>
      </c>
      <c r="D200" s="46">
        <v>-2.0299999999999998</v>
      </c>
      <c r="E200" s="46">
        <v>4.2000000000000003E-2</v>
      </c>
      <c r="F200" s="46">
        <f>B200-0.4931456</f>
        <v>0.20477189999999995</v>
      </c>
      <c r="G200" s="46">
        <f>0.987718-B200</f>
        <v>0.28980050000000002</v>
      </c>
    </row>
    <row r="201" spans="1:7" x14ac:dyDescent="0.25">
      <c r="A201" s="49" t="s">
        <v>121</v>
      </c>
      <c r="B201" s="46">
        <v>0.29702970000000001</v>
      </c>
      <c r="C201" s="46">
        <v>6.4898200000000003E-2</v>
      </c>
      <c r="D201" s="46">
        <v>-5.56</v>
      </c>
      <c r="E201" s="46">
        <v>0</v>
      </c>
      <c r="F201" s="46">
        <f>B201-0.1935621</f>
        <v>0.10346760000000002</v>
      </c>
      <c r="G201" s="46">
        <f>0.4558055-B201</f>
        <v>0.15877579999999997</v>
      </c>
    </row>
    <row r="202" spans="1:7" x14ac:dyDescent="0.25">
      <c r="A202" s="49" t="s">
        <v>122</v>
      </c>
      <c r="B202" s="46">
        <v>0.41681180000000001</v>
      </c>
      <c r="C202" s="46">
        <v>8.4881600000000001E-2</v>
      </c>
      <c r="D202" s="46">
        <v>-4.3</v>
      </c>
      <c r="E202" s="46">
        <v>0</v>
      </c>
      <c r="F202" s="46">
        <f>B202-0.2796386</f>
        <v>0.1371732</v>
      </c>
      <c r="G202" s="46">
        <f>0.6212736-B202</f>
        <v>0.20446179999999997</v>
      </c>
    </row>
    <row r="203" spans="1:7" x14ac:dyDescent="0.25">
      <c r="A203" s="49" t="s">
        <v>123</v>
      </c>
      <c r="B203" s="46">
        <v>0.25742569999999998</v>
      </c>
      <c r="C203" s="46">
        <v>6.0288599999999998E-2</v>
      </c>
      <c r="D203" s="46">
        <v>-5.79</v>
      </c>
      <c r="E203" s="46">
        <v>0</v>
      </c>
      <c r="F203" s="46">
        <f>B203-0.162668</f>
        <v>9.4757699999999973E-2</v>
      </c>
      <c r="G203" s="46">
        <f>0.4073819-B203</f>
        <v>0.14995620000000004</v>
      </c>
    </row>
    <row r="204" spans="1:7" x14ac:dyDescent="0.25">
      <c r="A204" s="49" t="s">
        <v>124</v>
      </c>
      <c r="B204" s="46">
        <v>0.41681180000000001</v>
      </c>
      <c r="C204" s="46">
        <v>8.46243E-2</v>
      </c>
      <c r="D204" s="46">
        <v>-4.3099999999999996</v>
      </c>
      <c r="E204" s="46">
        <v>0</v>
      </c>
      <c r="F204" s="46">
        <f>B204-0.2799771</f>
        <v>0.13683470000000003</v>
      </c>
      <c r="G204" s="46">
        <f>0.6205225-B204</f>
        <v>0.20371069999999997</v>
      </c>
    </row>
    <row r="205" spans="1:7" x14ac:dyDescent="0.25">
      <c r="A205" s="49" t="s">
        <v>153</v>
      </c>
      <c r="B205" s="46">
        <v>0.99009899999999995</v>
      </c>
      <c r="C205" s="46">
        <v>0.1596196</v>
      </c>
      <c r="D205" s="46">
        <v>-0.06</v>
      </c>
      <c r="E205" s="46">
        <v>0.95099999999999996</v>
      </c>
      <c r="F205" s="46">
        <f>B205-0.7218576</f>
        <v>0.26824139999999996</v>
      </c>
      <c r="G205" s="46">
        <f>1.358019-B205</f>
        <v>0.36792000000000014</v>
      </c>
    </row>
    <row r="206" spans="1:7" x14ac:dyDescent="0.25">
      <c r="A206" s="49" t="s">
        <v>125</v>
      </c>
      <c r="B206" s="46">
        <v>2.5299510000000001</v>
      </c>
      <c r="C206" s="46">
        <v>0.38068299999999999</v>
      </c>
      <c r="D206" s="46">
        <v>6.17</v>
      </c>
      <c r="E206" s="46">
        <v>0</v>
      </c>
      <c r="F206" s="46">
        <f>B206-1.883785</f>
        <v>0.64616600000000002</v>
      </c>
      <c r="G206" s="46">
        <f>3.397761-B206</f>
        <v>0.86780999999999997</v>
      </c>
    </row>
    <row r="207" spans="1:7" x14ac:dyDescent="0.25">
      <c r="A207" s="49" t="s">
        <v>126</v>
      </c>
      <c r="B207" s="46">
        <v>1</v>
      </c>
      <c r="C207" s="46"/>
      <c r="D207" s="46"/>
      <c r="E207" s="46"/>
      <c r="F207" s="46">
        <v>0</v>
      </c>
      <c r="G207" s="46">
        <v>0</v>
      </c>
    </row>
    <row r="208" spans="1:7" x14ac:dyDescent="0.25">
      <c r="A208" s="49" t="s">
        <v>127</v>
      </c>
      <c r="B208" s="46">
        <v>2.006513</v>
      </c>
      <c r="C208" s="46">
        <v>0.31400899999999998</v>
      </c>
      <c r="D208" s="46">
        <v>4.45</v>
      </c>
      <c r="E208" s="46">
        <v>0</v>
      </c>
      <c r="F208" s="46">
        <f>B208-1.476499</f>
        <v>0.53001399999999999</v>
      </c>
      <c r="G208" s="46">
        <f>2.726783-B208</f>
        <v>0.72027000000000019</v>
      </c>
    </row>
    <row r="209" spans="1:7" x14ac:dyDescent="0.25">
      <c r="A209" s="49" t="s">
        <v>128</v>
      </c>
      <c r="B209" s="46">
        <v>0.62376240000000005</v>
      </c>
      <c r="C209" s="46">
        <v>0.1098174</v>
      </c>
      <c r="D209" s="46">
        <v>-2.68</v>
      </c>
      <c r="E209" s="46">
        <v>7.0000000000000001E-3</v>
      </c>
      <c r="F209" s="46">
        <f>B209-0.4417328</f>
        <v>0.18202960000000007</v>
      </c>
      <c r="G209" s="46">
        <f>0.8808028-B209</f>
        <v>0.25704039999999995</v>
      </c>
    </row>
    <row r="210" spans="1:7" x14ac:dyDescent="0.25">
      <c r="A210" s="49" t="s">
        <v>129</v>
      </c>
      <c r="B210" s="46">
        <v>0.70761070000000004</v>
      </c>
      <c r="C210" s="46">
        <v>0.1247482</v>
      </c>
      <c r="D210" s="46">
        <v>-1.96</v>
      </c>
      <c r="E210" s="46">
        <v>0.05</v>
      </c>
      <c r="F210" s="46">
        <f>B210-0.5008779</f>
        <v>0.20673280000000005</v>
      </c>
      <c r="G210" s="46">
        <f>0.9996708-B210</f>
        <v>0.29206009999999993</v>
      </c>
    </row>
    <row r="211" spans="1:7" x14ac:dyDescent="0.25">
      <c r="A211" s="49" t="s">
        <v>130</v>
      </c>
      <c r="B211" s="46">
        <v>0.55445540000000004</v>
      </c>
      <c r="C211" s="46">
        <v>0.1015286</v>
      </c>
      <c r="D211" s="46">
        <v>-3.22</v>
      </c>
      <c r="E211" s="46">
        <v>1E-3</v>
      </c>
      <c r="F211" s="46">
        <f>B211-0.3872573</f>
        <v>0.16719810000000002</v>
      </c>
      <c r="G211" s="46">
        <f>0.7938413-B211</f>
        <v>0.23938589999999993</v>
      </c>
    </row>
    <row r="212" spans="1:7" x14ac:dyDescent="0.25">
      <c r="A212" s="49" t="s">
        <v>131</v>
      </c>
      <c r="B212" s="46">
        <v>0.73669059999999997</v>
      </c>
      <c r="C212" s="46">
        <v>0.13371259999999999</v>
      </c>
      <c r="D212" s="46">
        <v>-1.68</v>
      </c>
      <c r="E212" s="46">
        <v>9.1999999999999998E-2</v>
      </c>
      <c r="F212" s="46">
        <f>B212-0.5161647</f>
        <v>0.22052589999999994</v>
      </c>
      <c r="G212" s="46">
        <f>1.051434-B212</f>
        <v>0.31474340000000001</v>
      </c>
    </row>
    <row r="213" spans="1:7" x14ac:dyDescent="0.25">
      <c r="A213" s="49" t="s">
        <v>132</v>
      </c>
      <c r="B213" s="46">
        <v>0.56435639999999998</v>
      </c>
      <c r="C213" s="46">
        <v>0.1052927</v>
      </c>
      <c r="D213" s="46">
        <v>-3.07</v>
      </c>
      <c r="E213" s="46">
        <v>2E-3</v>
      </c>
      <c r="F213" s="46">
        <f>B213-0.3915108</f>
        <v>0.17284559999999999</v>
      </c>
      <c r="G213" s="46">
        <f>0.8135107-B213</f>
        <v>0.24915430000000005</v>
      </c>
    </row>
    <row r="214" spans="1:7" x14ac:dyDescent="0.25">
      <c r="A214" s="49" t="s">
        <v>133</v>
      </c>
      <c r="B214" s="46">
        <v>0.63975769999999998</v>
      </c>
      <c r="C214" s="46">
        <v>0.1182453</v>
      </c>
      <c r="D214" s="46">
        <v>-2.42</v>
      </c>
      <c r="E214" s="46">
        <v>1.6E-2</v>
      </c>
      <c r="F214" s="46">
        <f>B214-0.4453376</f>
        <v>0.19442009999999998</v>
      </c>
      <c r="G214" s="46">
        <f>0.9190552-B214</f>
        <v>0.27929749999999998</v>
      </c>
    </row>
    <row r="215" spans="1:7" x14ac:dyDescent="0.25">
      <c r="A215" s="49" t="s">
        <v>134</v>
      </c>
      <c r="B215" s="46">
        <v>2.1197240000000002</v>
      </c>
      <c r="C215" s="46">
        <v>0.33248800000000001</v>
      </c>
      <c r="D215" s="46">
        <v>4.79</v>
      </c>
      <c r="E215" s="46">
        <v>0</v>
      </c>
      <c r="F215" s="46">
        <f>B215-1.558707</f>
        <v>0.5610170000000001</v>
      </c>
      <c r="G215" s="46">
        <f>2.882664-B215</f>
        <v>0.76293999999999995</v>
      </c>
    </row>
    <row r="216" spans="1:7" x14ac:dyDescent="0.25">
      <c r="A216" s="49" t="s">
        <v>135</v>
      </c>
      <c r="B216" s="46">
        <v>2.121966</v>
      </c>
      <c r="C216" s="46">
        <v>0.32082100000000002</v>
      </c>
      <c r="D216" s="46">
        <v>4.9800000000000004</v>
      </c>
      <c r="E216" s="46">
        <v>0</v>
      </c>
      <c r="F216" s="46">
        <f>B216-1.577774</f>
        <v>0.54419200000000001</v>
      </c>
      <c r="G216" s="46">
        <f>2.853855-B216</f>
        <v>0.73188899999999979</v>
      </c>
    </row>
    <row r="217" spans="1:7" x14ac:dyDescent="0.25">
      <c r="A217" s="49" t="s">
        <v>136</v>
      </c>
      <c r="B217" s="46">
        <v>0.4592735</v>
      </c>
      <c r="C217" s="46">
        <v>0.1062951</v>
      </c>
      <c r="D217" s="46">
        <v>-3.36</v>
      </c>
      <c r="E217" s="46">
        <v>1E-3</v>
      </c>
      <c r="F217" s="46">
        <f>B217-0.2917883</f>
        <v>0.1674852</v>
      </c>
      <c r="G217" s="46">
        <f>0.7228946-B217</f>
        <v>0.26362110000000005</v>
      </c>
    </row>
    <row r="218" spans="1:7" x14ac:dyDescent="0.25">
      <c r="A218" s="49" t="s">
        <v>137</v>
      </c>
      <c r="B218" s="46">
        <v>0.64101039999999998</v>
      </c>
      <c r="C218" s="46">
        <v>0.11965430000000001</v>
      </c>
      <c r="D218" s="46">
        <v>-2.38</v>
      </c>
      <c r="E218" s="46">
        <v>1.7000000000000001E-2</v>
      </c>
      <c r="F218" s="46">
        <f>B218-0.4446061</f>
        <v>0.19640429999999998</v>
      </c>
      <c r="G218" s="46">
        <f>0.9241763-B218</f>
        <v>0.28316589999999997</v>
      </c>
    </row>
    <row r="219" spans="1:7" x14ac:dyDescent="0.25">
      <c r="A219" s="49" t="s">
        <v>138</v>
      </c>
      <c r="B219" s="46">
        <v>3.5331500000000002E-2</v>
      </c>
      <c r="C219" s="46">
        <v>2.5317900000000001E-2</v>
      </c>
      <c r="D219" s="46">
        <v>-4.67</v>
      </c>
      <c r="E219" s="46">
        <v>0</v>
      </c>
      <c r="F219" s="46">
        <f>B219-0.0086737</f>
        <v>2.6657800000000002E-2</v>
      </c>
      <c r="G219" s="46">
        <f>0.1439189-B219</f>
        <v>0.10858739999999999</v>
      </c>
    </row>
    <row r="220" spans="1:7" x14ac:dyDescent="0.25">
      <c r="A220" s="49" t="s">
        <v>139</v>
      </c>
      <c r="B220" s="46">
        <v>6.6311400000000006E-2</v>
      </c>
      <c r="C220" s="46">
        <v>2.8313399999999999E-2</v>
      </c>
      <c r="D220" s="46">
        <v>-6.35</v>
      </c>
      <c r="E220" s="46">
        <v>0</v>
      </c>
      <c r="F220" s="46">
        <f>B220-0.0287175</f>
        <v>3.7593900000000006E-2</v>
      </c>
      <c r="G220" s="46">
        <f>0.1531196-B220</f>
        <v>8.6808199999999988E-2</v>
      </c>
    </row>
    <row r="221" spans="1:7" x14ac:dyDescent="0.25">
      <c r="A221" s="49" t="s">
        <v>140</v>
      </c>
      <c r="B221" s="46">
        <v>0.17664369999999999</v>
      </c>
      <c r="C221" s="46">
        <v>5.9482500000000001E-2</v>
      </c>
      <c r="D221" s="46">
        <v>-5.15</v>
      </c>
      <c r="E221" s="46">
        <v>0</v>
      </c>
      <c r="F221" s="46">
        <f>B221-0.0912992</f>
        <v>8.534449999999999E-2</v>
      </c>
      <c r="G221" s="46">
        <f>0.3417664-B221</f>
        <v>0.16512270000000004</v>
      </c>
    </row>
    <row r="222" spans="1:7" x14ac:dyDescent="0.25">
      <c r="A222" s="49" t="s">
        <v>141</v>
      </c>
      <c r="B222" s="46">
        <v>0.27629759999999998</v>
      </c>
      <c r="C222" s="46">
        <v>6.6428299999999996E-2</v>
      </c>
      <c r="D222" s="46">
        <v>-5.35</v>
      </c>
      <c r="E222" s="46">
        <v>0</v>
      </c>
      <c r="F222" s="46">
        <f>B222-0.172476</f>
        <v>0.10382159999999999</v>
      </c>
      <c r="G222" s="46">
        <f>0.4426144-B222</f>
        <v>0.16631680000000004</v>
      </c>
    </row>
    <row r="223" spans="1:7" x14ac:dyDescent="0.25">
      <c r="A223" s="49" t="s">
        <v>142</v>
      </c>
      <c r="B223" s="46">
        <v>1.713444</v>
      </c>
      <c r="C223" s="46">
        <v>0.30180580000000001</v>
      </c>
      <c r="D223" s="46">
        <v>3.06</v>
      </c>
      <c r="E223" s="46">
        <v>2E-3</v>
      </c>
      <c r="F223" s="46">
        <f>B223-1.213219</f>
        <v>0.50022499999999992</v>
      </c>
      <c r="G223" s="46">
        <f>2.419917-B223</f>
        <v>0.70647299999999991</v>
      </c>
    </row>
    <row r="224" spans="1:7" x14ac:dyDescent="0.25">
      <c r="A224" s="49" t="s">
        <v>143</v>
      </c>
      <c r="B224" s="46">
        <v>3.735544</v>
      </c>
      <c r="C224" s="46">
        <v>0.55227499999999996</v>
      </c>
      <c r="D224" s="46">
        <v>8.91</v>
      </c>
      <c r="E224" s="46">
        <v>0</v>
      </c>
      <c r="F224" s="46">
        <f>B224-2.795821</f>
        <v>0.93972299999999986</v>
      </c>
      <c r="G224" s="46">
        <f>4.991123-B224</f>
        <v>1.255579</v>
      </c>
    </row>
    <row r="225" spans="1:21" x14ac:dyDescent="0.25">
      <c r="A225" s="49" t="s">
        <v>144</v>
      </c>
      <c r="B225" s="46">
        <v>2.4730110000000001</v>
      </c>
      <c r="C225" s="46">
        <v>0.38015979999999999</v>
      </c>
      <c r="D225" s="46">
        <v>5.89</v>
      </c>
      <c r="E225" s="46">
        <v>0</v>
      </c>
      <c r="F225" s="46">
        <f>B225-1.829686</f>
        <v>0.64332500000000015</v>
      </c>
      <c r="G225" s="46">
        <f>3.342533-B225</f>
        <v>0.86952199999999991</v>
      </c>
    </row>
    <row r="226" spans="1:21" x14ac:dyDescent="0.25">
      <c r="A226" s="49" t="s">
        <v>145</v>
      </c>
      <c r="B226" s="46">
        <v>3.7134399999999999</v>
      </c>
      <c r="C226" s="46">
        <v>0.54583230000000005</v>
      </c>
      <c r="D226" s="46">
        <v>8.93</v>
      </c>
      <c r="E226" s="46">
        <v>0</v>
      </c>
      <c r="F226" s="46">
        <f>B226-2.783939</f>
        <v>0.92950099999999969</v>
      </c>
      <c r="G226" s="46">
        <f>4.953282-B226</f>
        <v>1.2398419999999999</v>
      </c>
    </row>
    <row r="227" spans="1:21" x14ac:dyDescent="0.25">
      <c r="A227" s="49" t="s">
        <v>146</v>
      </c>
      <c r="B227" s="46">
        <v>0.67124589999999995</v>
      </c>
      <c r="C227" s="46">
        <v>0.1366793</v>
      </c>
      <c r="D227" s="46">
        <v>-1.96</v>
      </c>
      <c r="E227" s="46">
        <v>0.05</v>
      </c>
      <c r="F227" s="46">
        <f>B227-0.4503599</f>
        <v>0.22088599999999997</v>
      </c>
      <c r="G227" s="46">
        <f>1.000469-B227</f>
        <v>0.3292231000000001</v>
      </c>
    </row>
    <row r="228" spans="1:21" x14ac:dyDescent="0.25">
      <c r="A228" s="49" t="s">
        <v>147</v>
      </c>
      <c r="B228" s="46">
        <v>1.1493979999999999</v>
      </c>
      <c r="C228" s="46">
        <v>0.19338250000000001</v>
      </c>
      <c r="D228" s="46">
        <v>0.83</v>
      </c>
      <c r="E228" s="46">
        <v>0.40799999999999997</v>
      </c>
      <c r="F228" s="46">
        <f>B228-0.8265298</f>
        <v>0.32286819999999994</v>
      </c>
      <c r="G228" s="46">
        <f>1.598389-B228</f>
        <v>0.44899100000000014</v>
      </c>
    </row>
    <row r="229" spans="1:21" x14ac:dyDescent="0.25">
      <c r="A229" s="49" t="s">
        <v>148</v>
      </c>
      <c r="B229" s="46">
        <v>0.14131489999999999</v>
      </c>
      <c r="C229" s="46">
        <v>5.30126E-2</v>
      </c>
      <c r="D229" s="46">
        <v>-5.22</v>
      </c>
      <c r="E229" s="46">
        <v>0</v>
      </c>
      <c r="F229" s="46">
        <f>B229-0.0677439</f>
        <v>7.3570999999999998E-2</v>
      </c>
      <c r="G229" s="46">
        <f>0.2947855-B229</f>
        <v>0.15347059999999998</v>
      </c>
    </row>
    <row r="230" spans="1:21" x14ac:dyDescent="0.25">
      <c r="A230" s="49" t="s">
        <v>149</v>
      </c>
      <c r="B230" s="46">
        <v>0.14367479999999999</v>
      </c>
      <c r="C230" s="46">
        <v>4.40901E-2</v>
      </c>
      <c r="D230" s="46">
        <v>-6.32</v>
      </c>
      <c r="E230" s="46">
        <v>0</v>
      </c>
      <c r="F230" s="46">
        <f>B230-0.0787352</f>
        <v>6.4939599999999986E-2</v>
      </c>
      <c r="G230" s="46">
        <f>0.2621756-B230</f>
        <v>0.11850080000000002</v>
      </c>
    </row>
    <row r="231" spans="1:21" x14ac:dyDescent="0.25">
      <c r="A231" s="49" t="s">
        <v>150</v>
      </c>
      <c r="B231" s="46">
        <v>0.40628039999999999</v>
      </c>
      <c r="C231" s="46">
        <v>9.7993899999999995E-2</v>
      </c>
      <c r="D231" s="46">
        <v>-3.73</v>
      </c>
      <c r="E231" s="46">
        <v>0</v>
      </c>
      <c r="F231" s="46">
        <f>B231-0.2532318</f>
        <v>0.15304859999999998</v>
      </c>
      <c r="G231" s="46">
        <f>0.651829-B231</f>
        <v>0.24554860000000001</v>
      </c>
    </row>
    <row r="232" spans="1:21" x14ac:dyDescent="0.25">
      <c r="A232" s="49" t="s">
        <v>151</v>
      </c>
      <c r="B232" s="46">
        <v>0.51943950000000005</v>
      </c>
      <c r="C232" s="46">
        <v>0.10273359999999999</v>
      </c>
      <c r="D232" s="46">
        <v>-3.31</v>
      </c>
      <c r="E232" s="46">
        <v>1E-3</v>
      </c>
      <c r="F232" s="46">
        <f>B232-0.352522</f>
        <v>0.16691750000000005</v>
      </c>
      <c r="G232" s="46">
        <f>0.7653916-B232</f>
        <v>0.2459520999999999</v>
      </c>
    </row>
    <row r="233" spans="1:21" x14ac:dyDescent="0.25">
      <c r="A233" s="49"/>
      <c r="B233" s="47"/>
      <c r="C233" s="47"/>
      <c r="D233" s="47"/>
      <c r="E233" s="47"/>
      <c r="F233" s="47"/>
      <c r="G233" s="47"/>
    </row>
    <row r="234" spans="1:21" x14ac:dyDescent="0.25">
      <c r="A234" s="50" t="s">
        <v>6</v>
      </c>
      <c r="B234" s="48">
        <v>3.3961999999999998E-3</v>
      </c>
      <c r="C234" s="48">
        <v>5.4989999999999998E-4</v>
      </c>
      <c r="D234" s="48">
        <v>-35.11</v>
      </c>
      <c r="E234" s="48">
        <v>0</v>
      </c>
      <c r="F234" s="48">
        <v>2.4727999999999998E-3</v>
      </c>
      <c r="G234" s="48">
        <v>4.6645999999999996E-3</v>
      </c>
    </row>
    <row r="236" spans="1:21" ht="15.75" thickBot="1" x14ac:dyDescent="0.3">
      <c r="M236" s="9"/>
      <c r="N236" s="9"/>
      <c r="O236" s="7"/>
      <c r="P236" s="7"/>
      <c r="Q236" s="7"/>
      <c r="R236" s="7"/>
      <c r="T236" s="46"/>
      <c r="U236" s="46"/>
    </row>
    <row r="237" spans="1:21" x14ac:dyDescent="0.25">
      <c r="A237" s="10"/>
      <c r="B237" s="11"/>
      <c r="C237" s="11" t="s">
        <v>9</v>
      </c>
      <c r="D237" s="11" t="s">
        <v>10</v>
      </c>
      <c r="E237" s="11" t="s">
        <v>40</v>
      </c>
      <c r="F237" s="11" t="s">
        <v>11</v>
      </c>
      <c r="G237" s="11" t="s">
        <v>7</v>
      </c>
      <c r="H237" s="11" t="s">
        <v>8</v>
      </c>
      <c r="I237" s="11" t="s">
        <v>63</v>
      </c>
      <c r="J237" s="11" t="s">
        <v>64</v>
      </c>
      <c r="K237" s="12" t="s">
        <v>65</v>
      </c>
      <c r="M237" s="46">
        <v>0.50592300000000012</v>
      </c>
      <c r="N237" s="46">
        <v>0.67068799999999973</v>
      </c>
      <c r="O237" s="46">
        <v>9.4757699999999973E-2</v>
      </c>
      <c r="P237" s="46">
        <v>0.14995620000000004</v>
      </c>
      <c r="Q237" s="46">
        <v>0.18202960000000007</v>
      </c>
      <c r="R237" s="46">
        <v>0.25704039999999995</v>
      </c>
      <c r="T237" s="46"/>
      <c r="U237" s="46"/>
    </row>
    <row r="238" spans="1:21" x14ac:dyDescent="0.25">
      <c r="A238" s="24" t="s">
        <v>91</v>
      </c>
      <c r="B238" s="7" t="s">
        <v>152</v>
      </c>
      <c r="C238" s="14">
        <f>B197</f>
        <v>2.0594060000000001</v>
      </c>
      <c r="D238" s="15">
        <f>B199</f>
        <v>0.41584159999999998</v>
      </c>
      <c r="E238" s="15">
        <f>B201</f>
        <v>0.29702970000000001</v>
      </c>
      <c r="F238" s="15">
        <f>B203</f>
        <v>0.25742569999999998</v>
      </c>
      <c r="G238" s="15">
        <f>B205</f>
        <v>0.99009899999999995</v>
      </c>
      <c r="H238" s="15">
        <f>B207</f>
        <v>1</v>
      </c>
      <c r="I238" s="16">
        <f>B209</f>
        <v>0.62376240000000005</v>
      </c>
      <c r="J238" s="16">
        <f>B211</f>
        <v>0.55445540000000004</v>
      </c>
      <c r="K238" s="17">
        <f>B213</f>
        <v>0.56435639999999998</v>
      </c>
      <c r="M238" s="46">
        <v>0.57171400000000006</v>
      </c>
      <c r="N238" s="46">
        <v>0.76220199999999982</v>
      </c>
      <c r="O238" s="46">
        <v>0.13683470000000003</v>
      </c>
      <c r="P238" s="46">
        <v>0.20371069999999997</v>
      </c>
      <c r="Q238" s="46">
        <v>0.20673280000000005</v>
      </c>
      <c r="R238" s="46">
        <v>0.29206009999999993</v>
      </c>
      <c r="T238" s="46"/>
      <c r="U238" s="46"/>
    </row>
    <row r="239" spans="1:21" x14ac:dyDescent="0.25">
      <c r="A239" s="24"/>
      <c r="B239" s="7" t="s">
        <v>372</v>
      </c>
      <c r="C239" s="15">
        <f>B198</f>
        <v>2.2876180000000002</v>
      </c>
      <c r="D239" s="15">
        <f>B200</f>
        <v>0.69791749999999997</v>
      </c>
      <c r="E239" s="15">
        <f>B202</f>
        <v>0.41681180000000001</v>
      </c>
      <c r="F239" s="15">
        <f>B204</f>
        <v>0.41681180000000001</v>
      </c>
      <c r="G239" s="15">
        <f>B206</f>
        <v>2.5299510000000001</v>
      </c>
      <c r="H239" s="15">
        <f>B208</f>
        <v>2.006513</v>
      </c>
      <c r="I239" s="16">
        <f>B210</f>
        <v>0.70761070000000004</v>
      </c>
      <c r="J239" s="16">
        <f>B212</f>
        <v>0.73669059999999997</v>
      </c>
      <c r="K239" s="18">
        <f>B214</f>
        <v>0.63975769999999998</v>
      </c>
      <c r="M239" s="46">
        <v>0.5610170000000001</v>
      </c>
      <c r="N239" s="46">
        <v>0.76293999999999995</v>
      </c>
      <c r="O239" s="46">
        <v>8.534449999999999E-2</v>
      </c>
      <c r="P239" s="46">
        <v>0.16512270000000004</v>
      </c>
      <c r="Q239" s="46">
        <v>0.22088599999999997</v>
      </c>
      <c r="R239" s="46">
        <v>0.3292231000000001</v>
      </c>
      <c r="T239" s="46"/>
      <c r="U239" s="46"/>
    </row>
    <row r="240" spans="1:21" x14ac:dyDescent="0.25">
      <c r="A240" s="24" t="s">
        <v>73</v>
      </c>
      <c r="B240" s="7" t="s">
        <v>152</v>
      </c>
      <c r="C240" s="25">
        <f>B215</f>
        <v>2.1197240000000002</v>
      </c>
      <c r="D240" s="15">
        <f>B217</f>
        <v>0.4592735</v>
      </c>
      <c r="E240" s="15">
        <f>B219</f>
        <v>3.5331500000000002E-2</v>
      </c>
      <c r="F240" s="15">
        <f>B221</f>
        <v>0.17664369999999999</v>
      </c>
      <c r="G240" s="15">
        <f>B223</f>
        <v>1.713444</v>
      </c>
      <c r="H240" s="25">
        <f>B225</f>
        <v>2.4730110000000001</v>
      </c>
      <c r="I240" s="16">
        <f>B227</f>
        <v>0.67124589999999995</v>
      </c>
      <c r="J240" s="16">
        <f>B229</f>
        <v>0.14131489999999999</v>
      </c>
      <c r="K240" s="17">
        <f>B231</f>
        <v>0.40628039999999999</v>
      </c>
      <c r="M240" s="46">
        <v>0.54419200000000001</v>
      </c>
      <c r="N240" s="46">
        <v>0.73188899999999979</v>
      </c>
      <c r="O240" s="46">
        <v>0.10382159999999999</v>
      </c>
      <c r="P240" s="46">
        <v>0.16631680000000004</v>
      </c>
      <c r="Q240" s="46">
        <v>0.32286819999999994</v>
      </c>
      <c r="R240" s="46">
        <v>0.44899100000000014</v>
      </c>
      <c r="T240" s="46"/>
      <c r="U240" s="46"/>
    </row>
    <row r="241" spans="1:21" ht="15.75" thickBot="1" x14ac:dyDescent="0.3">
      <c r="A241" s="26"/>
      <c r="B241" s="27" t="s">
        <v>372</v>
      </c>
      <c r="C241" s="28">
        <f>B216</f>
        <v>2.121966</v>
      </c>
      <c r="D241" s="28">
        <f>B218</f>
        <v>0.64101039999999998</v>
      </c>
      <c r="E241" s="29">
        <f>B220</f>
        <v>6.6311400000000006E-2</v>
      </c>
      <c r="F241" s="29">
        <f>B222</f>
        <v>0.27629759999999998</v>
      </c>
      <c r="G241" s="28">
        <f>B224</f>
        <v>3.735544</v>
      </c>
      <c r="H241" s="28">
        <f>B226</f>
        <v>3.7134399999999999</v>
      </c>
      <c r="I241" s="28">
        <f>B228</f>
        <v>1.1493979999999999</v>
      </c>
      <c r="J241" s="29">
        <f>B230</f>
        <v>0.14367479999999999</v>
      </c>
      <c r="K241" s="31">
        <f>B232</f>
        <v>0.51943950000000005</v>
      </c>
      <c r="M241" s="46">
        <v>0.13446829999999999</v>
      </c>
      <c r="N241" s="46">
        <v>0.19873060000000003</v>
      </c>
      <c r="O241" s="46">
        <v>0.26824139999999996</v>
      </c>
      <c r="P241" s="46">
        <v>0.36792000000000014</v>
      </c>
      <c r="Q241" s="46">
        <v>0.16719810000000002</v>
      </c>
      <c r="R241" s="46">
        <v>0.23938589999999993</v>
      </c>
      <c r="T241" s="46"/>
      <c r="U241" s="46"/>
    </row>
    <row r="242" spans="1:21" x14ac:dyDescent="0.25">
      <c r="M242" s="46">
        <v>0.20477189999999995</v>
      </c>
      <c r="N242" s="46">
        <v>0.28980050000000002</v>
      </c>
      <c r="O242" s="46">
        <v>0.64616600000000002</v>
      </c>
      <c r="P242" s="46">
        <v>0.86780999999999997</v>
      </c>
      <c r="Q242" s="46">
        <v>0.22052589999999994</v>
      </c>
      <c r="R242" s="46">
        <v>0.31474340000000001</v>
      </c>
      <c r="T242" s="46"/>
      <c r="U242" s="46"/>
    </row>
    <row r="243" spans="1:21" x14ac:dyDescent="0.25">
      <c r="M243" s="46">
        <v>0.1674852</v>
      </c>
      <c r="N243" s="46">
        <v>0.26362110000000005</v>
      </c>
      <c r="O243" s="46">
        <v>0.50022499999999992</v>
      </c>
      <c r="P243" s="46">
        <v>0.70647299999999991</v>
      </c>
      <c r="Q243" s="46">
        <v>7.3570999999999998E-2</v>
      </c>
      <c r="R243" s="46">
        <v>0.15347059999999998</v>
      </c>
      <c r="T243" s="46"/>
      <c r="U243" s="46"/>
    </row>
    <row r="244" spans="1:21" x14ac:dyDescent="0.25">
      <c r="M244" s="46">
        <v>0.19640429999999998</v>
      </c>
      <c r="N244" s="46">
        <v>0.28316589999999997</v>
      </c>
      <c r="O244" s="46">
        <v>0.93972299999999986</v>
      </c>
      <c r="P244" s="46">
        <v>1.255579</v>
      </c>
      <c r="Q244" s="46">
        <v>6.4939599999999986E-2</v>
      </c>
      <c r="R244" s="46">
        <v>0.11850080000000002</v>
      </c>
      <c r="T244" s="46"/>
      <c r="U244" s="46"/>
    </row>
    <row r="245" spans="1:21" x14ac:dyDescent="0.25">
      <c r="M245" s="46">
        <v>0.10346760000000002</v>
      </c>
      <c r="N245" s="46">
        <v>0.15877579999999997</v>
      </c>
      <c r="O245" s="46">
        <v>0</v>
      </c>
      <c r="P245" s="46">
        <v>0</v>
      </c>
      <c r="Q245" s="46">
        <v>0.17284559999999999</v>
      </c>
      <c r="R245" s="46">
        <v>0.24915430000000005</v>
      </c>
      <c r="T245" s="46"/>
      <c r="U245" s="46"/>
    </row>
    <row r="246" spans="1:21" x14ac:dyDescent="0.25">
      <c r="M246" s="46">
        <v>0.1371732</v>
      </c>
      <c r="N246" s="46">
        <v>0.20446179999999997</v>
      </c>
      <c r="O246" s="46">
        <v>0.53001399999999999</v>
      </c>
      <c r="P246" s="46">
        <v>0.72027000000000019</v>
      </c>
      <c r="Q246" s="46">
        <v>0.19442009999999998</v>
      </c>
      <c r="R246" s="46">
        <v>0.27929749999999998</v>
      </c>
      <c r="T246" s="46"/>
      <c r="U246" s="46"/>
    </row>
    <row r="247" spans="1:21" x14ac:dyDescent="0.25">
      <c r="M247" s="46">
        <v>2.6657800000000002E-2</v>
      </c>
      <c r="N247" s="46">
        <v>0.10858739999999999</v>
      </c>
      <c r="O247" s="46">
        <v>0.64332500000000015</v>
      </c>
      <c r="P247" s="46">
        <v>0.86952199999999991</v>
      </c>
      <c r="Q247" s="46">
        <v>0.15304859999999998</v>
      </c>
      <c r="R247" s="46">
        <v>0.24554860000000001</v>
      </c>
      <c r="T247" s="46"/>
      <c r="U247" s="46"/>
    </row>
    <row r="248" spans="1:21" x14ac:dyDescent="0.25">
      <c r="M248" s="46">
        <v>3.7593900000000006E-2</v>
      </c>
      <c r="N248" s="46">
        <v>8.6808199999999988E-2</v>
      </c>
      <c r="O248" s="46">
        <v>0.92950099999999969</v>
      </c>
      <c r="P248" s="46">
        <v>1.2398419999999999</v>
      </c>
      <c r="Q248" s="46">
        <v>0.16691750000000005</v>
      </c>
      <c r="R248" s="46">
        <v>0.2459520999999999</v>
      </c>
      <c r="T248" s="46"/>
      <c r="U248" s="46"/>
    </row>
    <row r="249" spans="1:21" x14ac:dyDescent="0.25">
      <c r="M249" s="9"/>
      <c r="N249" s="9"/>
      <c r="O249" s="7"/>
      <c r="P249" s="9"/>
      <c r="Q249" s="46"/>
      <c r="R249" s="46"/>
      <c r="T249" s="46"/>
      <c r="U249" s="46"/>
    </row>
    <row r="250" spans="1:21" x14ac:dyDescent="0.25">
      <c r="M250" s="7"/>
      <c r="N250" s="9"/>
      <c r="O250" s="7"/>
      <c r="P250" s="7"/>
      <c r="Q250" s="7"/>
      <c r="R250" s="7"/>
      <c r="T250" s="46"/>
      <c r="U250" s="46"/>
    </row>
    <row r="251" spans="1:21" x14ac:dyDescent="0.25">
      <c r="M251" s="9"/>
      <c r="N251" s="9"/>
      <c r="O251" s="7"/>
      <c r="P251" s="7"/>
      <c r="Q251" s="7"/>
      <c r="R251" s="7"/>
      <c r="T251" s="46"/>
      <c r="U251" s="46"/>
    </row>
    <row r="252" spans="1:21" x14ac:dyDescent="0.25">
      <c r="M252" s="7"/>
      <c r="N252" s="7"/>
      <c r="O252" s="7"/>
      <c r="P252" s="7"/>
      <c r="Q252" s="7"/>
      <c r="R252" s="7"/>
      <c r="T252" s="46"/>
      <c r="U252" s="46"/>
    </row>
    <row r="253" spans="1:21" x14ac:dyDescent="0.25">
      <c r="M253" s="7"/>
      <c r="N253" s="9"/>
      <c r="O253" s="7"/>
      <c r="P253" s="9"/>
      <c r="Q253" s="7"/>
      <c r="R253" s="7"/>
      <c r="T253" s="46"/>
      <c r="U253" s="46"/>
    </row>
    <row r="254" spans="1:21" x14ac:dyDescent="0.25">
      <c r="M254" s="7"/>
      <c r="N254" s="9"/>
      <c r="O254" s="9"/>
      <c r="P254" s="9"/>
      <c r="Q254" s="7"/>
      <c r="R254" s="7"/>
      <c r="T254" s="46"/>
      <c r="U254" s="46"/>
    </row>
    <row r="255" spans="1:21" x14ac:dyDescent="0.25">
      <c r="M255" s="7"/>
      <c r="N255" s="9"/>
      <c r="O255" s="9"/>
      <c r="P255" s="9"/>
      <c r="Q255" s="7"/>
      <c r="R255" s="7"/>
      <c r="T255" s="9"/>
      <c r="U255" s="9"/>
    </row>
    <row r="256" spans="1:21" x14ac:dyDescent="0.25">
      <c r="M256" s="7"/>
      <c r="N256" s="7"/>
      <c r="O256" s="9"/>
      <c r="P256" s="9"/>
      <c r="Q256" s="7"/>
      <c r="R256" s="7"/>
      <c r="T256" s="9"/>
      <c r="U256" s="9"/>
    </row>
    <row r="257" spans="1:21" x14ac:dyDescent="0.25">
      <c r="M257" s="7"/>
      <c r="N257" s="7"/>
      <c r="O257" s="7"/>
      <c r="P257" s="9"/>
      <c r="T257" s="7"/>
      <c r="U257" s="9"/>
    </row>
    <row r="258" spans="1:21" s="1" customFormat="1" x14ac:dyDescent="0.25">
      <c r="A258" s="1" t="s">
        <v>99</v>
      </c>
      <c r="M258" s="33"/>
      <c r="N258" s="33"/>
      <c r="O258" s="32"/>
      <c r="P258" s="32"/>
      <c r="T258" s="32"/>
      <c r="U258" s="32"/>
    </row>
    <row r="259" spans="1:21" s="51" customFormat="1" x14ac:dyDescent="0.25">
      <c r="M259" s="53"/>
      <c r="N259" s="53"/>
      <c r="O259" s="52"/>
      <c r="P259" s="52"/>
      <c r="T259" s="52"/>
      <c r="U259" s="52"/>
    </row>
    <row r="260" spans="1:21" s="51" customFormat="1" x14ac:dyDescent="0.25">
      <c r="A260" s="49"/>
      <c r="B260" s="46" t="s">
        <v>1</v>
      </c>
      <c r="C260" s="47"/>
      <c r="D260" s="47"/>
      <c r="E260" s="47"/>
      <c r="F260" s="47"/>
      <c r="G260" s="47"/>
      <c r="M260" s="53"/>
      <c r="N260" s="53"/>
      <c r="O260" s="52"/>
      <c r="P260" s="52"/>
      <c r="T260" s="52"/>
      <c r="U260" s="52"/>
    </row>
    <row r="261" spans="1:21" s="51" customFormat="1" x14ac:dyDescent="0.25">
      <c r="A261" s="50" t="s">
        <v>2</v>
      </c>
      <c r="B261" s="48" t="s">
        <v>269</v>
      </c>
      <c r="C261" s="48" t="s">
        <v>270</v>
      </c>
      <c r="D261" s="48" t="s">
        <v>3</v>
      </c>
      <c r="E261" s="48" t="s">
        <v>4</v>
      </c>
      <c r="F261" s="48" t="s">
        <v>271</v>
      </c>
      <c r="G261" s="48" t="s">
        <v>272</v>
      </c>
      <c r="M261" s="53"/>
      <c r="N261" s="53"/>
      <c r="O261" s="52"/>
      <c r="P261" s="52"/>
      <c r="T261" s="52"/>
      <c r="U261" s="52"/>
    </row>
    <row r="262" spans="1:21" s="51" customFormat="1" x14ac:dyDescent="0.25">
      <c r="A262" s="49"/>
      <c r="B262" s="46"/>
      <c r="C262" s="46"/>
      <c r="D262" s="47"/>
      <c r="E262" s="47"/>
      <c r="F262" s="47"/>
      <c r="G262" s="47"/>
      <c r="M262" s="53"/>
      <c r="N262" s="53"/>
      <c r="O262" s="52"/>
      <c r="P262" s="52"/>
      <c r="T262" s="52"/>
      <c r="U262" s="52"/>
    </row>
    <row r="263" spans="1:21" s="51" customFormat="1" x14ac:dyDescent="0.25">
      <c r="A263" s="49" t="s">
        <v>72</v>
      </c>
      <c r="B263" s="47"/>
      <c r="C263" s="47"/>
      <c r="D263" s="47"/>
      <c r="E263" s="47"/>
      <c r="F263" s="47"/>
      <c r="G263" s="47"/>
      <c r="M263" s="53"/>
      <c r="N263" s="53"/>
      <c r="O263" s="52"/>
      <c r="P263" s="52"/>
      <c r="T263" s="52"/>
      <c r="U263" s="52"/>
    </row>
    <row r="264" spans="1:21" s="51" customFormat="1" x14ac:dyDescent="0.25">
      <c r="A264" s="49" t="s">
        <v>73</v>
      </c>
      <c r="B264" s="46">
        <v>1.202372</v>
      </c>
      <c r="C264" s="46">
        <v>4.4116200000000001E-2</v>
      </c>
      <c r="D264" s="46">
        <v>5.0199999999999996</v>
      </c>
      <c r="E264" s="46">
        <v>0</v>
      </c>
      <c r="F264" s="46">
        <v>1.118941</v>
      </c>
      <c r="G264" s="46">
        <v>1.2920229999999999</v>
      </c>
      <c r="M264" s="53"/>
      <c r="N264" s="53"/>
      <c r="O264" s="52"/>
      <c r="P264" s="52"/>
      <c r="T264" s="52"/>
      <c r="U264" s="52"/>
    </row>
    <row r="265" spans="1:21" s="51" customFormat="1" x14ac:dyDescent="0.25">
      <c r="A265" s="49"/>
      <c r="B265" s="47"/>
      <c r="C265" s="47"/>
      <c r="D265" s="47"/>
      <c r="E265" s="47"/>
      <c r="F265" s="47"/>
      <c r="G265" s="47"/>
      <c r="M265" s="53"/>
      <c r="N265" s="53"/>
      <c r="O265" s="52"/>
      <c r="P265" s="52"/>
      <c r="T265" s="52"/>
      <c r="U265" s="52"/>
    </row>
    <row r="266" spans="1:21" x14ac:dyDescent="0.25">
      <c r="A266" s="49" t="s">
        <v>113</v>
      </c>
      <c r="B266" s="47"/>
      <c r="C266" s="47"/>
      <c r="D266" s="47"/>
      <c r="E266" s="47"/>
      <c r="F266" s="47"/>
      <c r="G266" s="47"/>
      <c r="M266" s="9"/>
      <c r="N266" s="9"/>
      <c r="O266" s="9"/>
      <c r="P266" s="9"/>
      <c r="T266" s="9"/>
      <c r="U266" s="9"/>
    </row>
    <row r="267" spans="1:21" x14ac:dyDescent="0.25">
      <c r="A267" s="49">
        <v>2</v>
      </c>
      <c r="B267" s="46">
        <v>1.3541209999999999</v>
      </c>
      <c r="C267" s="46">
        <v>9.3682100000000004E-2</v>
      </c>
      <c r="D267" s="46">
        <v>4.38</v>
      </c>
      <c r="E267" s="46">
        <v>0</v>
      </c>
      <c r="F267" s="46">
        <v>1.182412</v>
      </c>
      <c r="G267" s="46">
        <v>1.5507660000000001</v>
      </c>
      <c r="M267" s="9"/>
      <c r="N267" s="9"/>
      <c r="O267" s="7"/>
      <c r="P267" s="9"/>
      <c r="T267" s="9"/>
      <c r="U267" s="9"/>
    </row>
    <row r="268" spans="1:21" x14ac:dyDescent="0.25">
      <c r="A268" s="49">
        <v>3</v>
      </c>
      <c r="B268" s="46">
        <v>1.5040439999999999</v>
      </c>
      <c r="C268" s="46">
        <v>0.1082231</v>
      </c>
      <c r="D268" s="46">
        <v>5.67</v>
      </c>
      <c r="E268" s="46">
        <v>0</v>
      </c>
      <c r="F268" s="46">
        <v>1.306209</v>
      </c>
      <c r="G268" s="46">
        <v>1.731843</v>
      </c>
      <c r="M268" s="7"/>
      <c r="N268" s="9"/>
      <c r="O268" s="7"/>
      <c r="P268" s="7"/>
      <c r="T268" s="7"/>
      <c r="U268" s="7"/>
    </row>
    <row r="269" spans="1:21" x14ac:dyDescent="0.25">
      <c r="A269" s="49"/>
      <c r="B269" s="47"/>
      <c r="C269" s="47"/>
      <c r="D269" s="47"/>
      <c r="E269" s="47"/>
      <c r="F269" s="47"/>
      <c r="G269" s="47"/>
      <c r="M269" s="9"/>
      <c r="N269" s="9"/>
      <c r="O269" s="7"/>
      <c r="P269" s="7"/>
      <c r="T269" s="7"/>
      <c r="U269" s="7"/>
    </row>
    <row r="270" spans="1:21" x14ac:dyDescent="0.25">
      <c r="A270" s="49" t="s">
        <v>108</v>
      </c>
      <c r="B270" s="47"/>
      <c r="C270" s="47"/>
      <c r="D270" s="47"/>
      <c r="E270" s="47"/>
      <c r="F270" s="47"/>
      <c r="G270" s="47"/>
      <c r="M270" s="9"/>
      <c r="N270" s="9"/>
      <c r="O270" s="7"/>
      <c r="P270" s="7"/>
      <c r="T270" s="7"/>
      <c r="U270" s="7"/>
    </row>
    <row r="271" spans="1:21" x14ac:dyDescent="0.25">
      <c r="A271" s="49">
        <v>2</v>
      </c>
      <c r="B271" s="46">
        <v>1.084003</v>
      </c>
      <c r="C271" s="46">
        <v>5.1239199999999999E-2</v>
      </c>
      <c r="D271" s="46">
        <v>1.71</v>
      </c>
      <c r="E271" s="46">
        <v>8.7999999999999995E-2</v>
      </c>
      <c r="F271" s="46">
        <v>0.98808759999999995</v>
      </c>
      <c r="G271" s="46">
        <v>1.1892290000000001</v>
      </c>
      <c r="M271" s="9"/>
      <c r="N271" s="9"/>
      <c r="O271" s="7"/>
      <c r="P271" s="7"/>
      <c r="T271" s="7"/>
      <c r="U271" s="7"/>
    </row>
    <row r="272" spans="1:21" x14ac:dyDescent="0.25">
      <c r="A272" s="49" t="s">
        <v>109</v>
      </c>
      <c r="B272" s="46">
        <v>1.4863299999999999</v>
      </c>
      <c r="C272" s="46">
        <v>0.1269161</v>
      </c>
      <c r="D272" s="46">
        <v>4.6399999999999997</v>
      </c>
      <c r="E272" s="46">
        <v>0</v>
      </c>
      <c r="F272" s="46">
        <v>1.2572810000000001</v>
      </c>
      <c r="G272" s="46">
        <v>1.7571079999999999</v>
      </c>
      <c r="M272" s="7"/>
      <c r="N272" s="9"/>
      <c r="T272" s="7"/>
      <c r="U272" s="7"/>
    </row>
    <row r="273" spans="1:21" x14ac:dyDescent="0.25">
      <c r="A273" s="49"/>
      <c r="B273" s="47"/>
      <c r="C273" s="47"/>
      <c r="D273" s="47"/>
      <c r="E273" s="47"/>
      <c r="F273" s="47"/>
      <c r="G273" s="47"/>
      <c r="M273" s="7"/>
      <c r="N273" s="9"/>
      <c r="T273" s="7"/>
      <c r="U273" s="7"/>
    </row>
    <row r="274" spans="1:21" x14ac:dyDescent="0.25">
      <c r="A274" s="49" t="s">
        <v>85</v>
      </c>
      <c r="B274" s="47"/>
      <c r="C274" s="47"/>
      <c r="D274" s="47"/>
      <c r="E274" s="47"/>
      <c r="F274" s="47"/>
      <c r="G274" s="47"/>
      <c r="M274" s="9"/>
      <c r="N274" s="9"/>
      <c r="T274" s="7"/>
      <c r="U274" s="7"/>
    </row>
    <row r="275" spans="1:21" x14ac:dyDescent="0.25">
      <c r="A275" s="38" t="s">
        <v>315</v>
      </c>
      <c r="B275" s="46">
        <v>0.61755899999999997</v>
      </c>
      <c r="C275" s="46">
        <v>2.5677999999999999E-2</v>
      </c>
      <c r="D275" s="46">
        <v>-11.59</v>
      </c>
      <c r="E275" s="46">
        <v>0</v>
      </c>
      <c r="F275" s="46">
        <v>0.56922720000000004</v>
      </c>
      <c r="G275" s="46">
        <v>0.6699946</v>
      </c>
      <c r="M275" s="7"/>
      <c r="N275" s="9"/>
      <c r="T275" s="7"/>
      <c r="U275" s="7"/>
    </row>
    <row r="276" spans="1:21" x14ac:dyDescent="0.25">
      <c r="A276" s="38" t="s">
        <v>316</v>
      </c>
      <c r="B276" s="46">
        <v>0.34980650000000002</v>
      </c>
      <c r="C276" s="46">
        <v>2.3898800000000001E-2</v>
      </c>
      <c r="D276" s="46">
        <v>-15.37</v>
      </c>
      <c r="E276" s="46">
        <v>0</v>
      </c>
      <c r="F276" s="46">
        <v>0.30596640000000003</v>
      </c>
      <c r="G276" s="46">
        <v>0.39992820000000001</v>
      </c>
      <c r="M276" s="7"/>
      <c r="N276" s="9"/>
    </row>
    <row r="277" spans="1:21" x14ac:dyDescent="0.25">
      <c r="A277" s="38" t="s">
        <v>317</v>
      </c>
      <c r="B277" s="46">
        <v>0.3150387</v>
      </c>
      <c r="C277" s="46">
        <v>2.2480799999999999E-2</v>
      </c>
      <c r="D277" s="46">
        <v>-16.190000000000001</v>
      </c>
      <c r="E277" s="46">
        <v>0</v>
      </c>
      <c r="F277" s="46">
        <v>0.27391959999999999</v>
      </c>
      <c r="G277" s="46">
        <v>0.3623305</v>
      </c>
      <c r="M277" s="9"/>
      <c r="N277" s="9"/>
    </row>
    <row r="278" spans="1:21" x14ac:dyDescent="0.25">
      <c r="A278" s="38" t="s">
        <v>82</v>
      </c>
      <c r="B278" s="46">
        <v>0.52210780000000001</v>
      </c>
      <c r="C278" s="46">
        <v>3.9914400000000003E-2</v>
      </c>
      <c r="D278" s="46">
        <v>-8.5</v>
      </c>
      <c r="E278" s="46">
        <v>0</v>
      </c>
      <c r="F278" s="46">
        <v>0.44945590000000002</v>
      </c>
      <c r="G278" s="46">
        <v>0.60650349999999997</v>
      </c>
      <c r="M278" s="9"/>
      <c r="N278" s="9"/>
    </row>
    <row r="279" spans="1:21" x14ac:dyDescent="0.25">
      <c r="A279" s="49"/>
      <c r="B279" s="47"/>
      <c r="C279" s="47"/>
      <c r="D279" s="47"/>
      <c r="E279" s="47"/>
      <c r="F279" s="47"/>
      <c r="G279" s="47"/>
      <c r="M279" s="7"/>
      <c r="N279" s="9"/>
    </row>
    <row r="280" spans="1:21" x14ac:dyDescent="0.25">
      <c r="A280" s="49" t="s">
        <v>102</v>
      </c>
      <c r="B280" s="47"/>
      <c r="C280" s="47"/>
      <c r="D280" s="47"/>
      <c r="E280" s="47"/>
      <c r="F280" s="47"/>
      <c r="G280" s="47"/>
      <c r="M280" s="7"/>
      <c r="N280" s="7"/>
    </row>
    <row r="281" spans="1:21" x14ac:dyDescent="0.25">
      <c r="A281" s="49" t="s">
        <v>154</v>
      </c>
      <c r="B281" s="46">
        <v>1.359281</v>
      </c>
      <c r="C281" s="46">
        <v>0.14758180000000001</v>
      </c>
      <c r="D281" s="46">
        <v>2.83</v>
      </c>
      <c r="E281" s="46">
        <v>5.0000000000000001E-3</v>
      </c>
      <c r="F281" s="46">
        <f>B281-1.098731</f>
        <v>0.26055000000000006</v>
      </c>
      <c r="G281" s="46">
        <f>1.681617-B281</f>
        <v>0.32233599999999996</v>
      </c>
      <c r="M281" s="7"/>
      <c r="N281" s="7"/>
    </row>
    <row r="282" spans="1:21" x14ac:dyDescent="0.25">
      <c r="A282" s="49" t="s">
        <v>155</v>
      </c>
      <c r="B282" s="46">
        <v>1.422655</v>
      </c>
      <c r="C282" s="46">
        <v>0.14461060000000001</v>
      </c>
      <c r="D282" s="46">
        <v>3.47</v>
      </c>
      <c r="E282" s="46">
        <v>1E-3</v>
      </c>
      <c r="F282" s="46">
        <f>B282-1.165671</f>
        <v>0.2569840000000001</v>
      </c>
      <c r="G282" s="46">
        <f>1.736292-B282</f>
        <v>0.31363699999999994</v>
      </c>
      <c r="M282" s="7"/>
      <c r="N282" s="7"/>
    </row>
    <row r="283" spans="1:21" x14ac:dyDescent="0.25">
      <c r="A283" s="49" t="s">
        <v>156</v>
      </c>
      <c r="B283" s="46">
        <v>0.28143699999999999</v>
      </c>
      <c r="C283" s="46">
        <v>4.7105599999999997E-2</v>
      </c>
      <c r="D283" s="46">
        <v>-7.57</v>
      </c>
      <c r="E283" s="46">
        <v>0</v>
      </c>
      <c r="F283" s="46">
        <f>B283-0.2027269</f>
        <v>7.8710100000000005E-2</v>
      </c>
      <c r="G283" s="46">
        <f>0.3907071-B283</f>
        <v>0.10927009999999998</v>
      </c>
      <c r="M283" s="7"/>
      <c r="N283" s="7"/>
    </row>
    <row r="284" spans="1:21" x14ac:dyDescent="0.25">
      <c r="A284" s="49" t="s">
        <v>157</v>
      </c>
      <c r="B284" s="46">
        <v>0.43490469999999998</v>
      </c>
      <c r="C284" s="46">
        <v>5.5296699999999997E-2</v>
      </c>
      <c r="D284" s="46">
        <v>-6.55</v>
      </c>
      <c r="E284" s="46">
        <v>0</v>
      </c>
      <c r="F284" s="46">
        <f>B284-0.3389742</f>
        <v>9.5930499999999974E-2</v>
      </c>
      <c r="G284" s="46">
        <f>0.5579839-B284</f>
        <v>0.1230792</v>
      </c>
    </row>
    <row r="285" spans="1:21" x14ac:dyDescent="0.25">
      <c r="A285" s="49" t="s">
        <v>158</v>
      </c>
      <c r="B285" s="46">
        <v>0.13173650000000001</v>
      </c>
      <c r="C285" s="46">
        <v>2.9846600000000001E-2</v>
      </c>
      <c r="D285" s="46">
        <v>-8.9499999999999993</v>
      </c>
      <c r="E285" s="46">
        <v>0</v>
      </c>
      <c r="F285" s="46">
        <f>B285-0.0844998</f>
        <v>4.7236700000000006E-2</v>
      </c>
      <c r="G285" s="46">
        <f>0.2053792-B285</f>
        <v>7.3642700000000005E-2</v>
      </c>
    </row>
    <row r="286" spans="1:21" x14ac:dyDescent="0.25">
      <c r="A286" s="49" t="s">
        <v>159</v>
      </c>
      <c r="B286" s="46">
        <v>0.151111</v>
      </c>
      <c r="C286" s="46">
        <v>2.7217700000000001E-2</v>
      </c>
      <c r="D286" s="46">
        <v>-10.49</v>
      </c>
      <c r="E286" s="46">
        <v>0</v>
      </c>
      <c r="F286" s="46">
        <f>B286-0.1061646</f>
        <v>4.4946399999999997E-2</v>
      </c>
      <c r="G286" s="46">
        <f>0.2150861-B286</f>
        <v>6.3975100000000007E-2</v>
      </c>
    </row>
    <row r="287" spans="1:21" x14ac:dyDescent="0.25">
      <c r="A287" s="49" t="s">
        <v>160</v>
      </c>
      <c r="B287" s="46">
        <v>0.1377245</v>
      </c>
      <c r="C287" s="46">
        <v>3.0939500000000002E-2</v>
      </c>
      <c r="D287" s="46">
        <v>-8.82</v>
      </c>
      <c r="E287" s="46">
        <v>0</v>
      </c>
      <c r="F287" s="46">
        <f>B287-0.0886729</f>
        <v>4.9051600000000001E-2</v>
      </c>
      <c r="G287" s="46">
        <f>0.2139102-B287</f>
        <v>7.6185699999999995E-2</v>
      </c>
    </row>
    <row r="288" spans="1:21" x14ac:dyDescent="0.25">
      <c r="A288" s="49" t="s">
        <v>161</v>
      </c>
      <c r="B288" s="46">
        <v>0.21745239999999999</v>
      </c>
      <c r="C288" s="46">
        <v>3.4483899999999998E-2</v>
      </c>
      <c r="D288" s="46">
        <v>-9.6199999999999992</v>
      </c>
      <c r="E288" s="46">
        <v>0</v>
      </c>
      <c r="F288" s="46">
        <f>B288-0.1593601</f>
        <v>5.8092299999999986E-2</v>
      </c>
      <c r="G288" s="46">
        <f>0.2967213-B288</f>
        <v>7.9268900000000031E-2</v>
      </c>
    </row>
    <row r="289" spans="1:7" x14ac:dyDescent="0.25">
      <c r="A289" s="49" t="s">
        <v>189</v>
      </c>
      <c r="B289" s="46">
        <v>0.99401200000000001</v>
      </c>
      <c r="C289" s="46">
        <v>0.1183751</v>
      </c>
      <c r="D289" s="46">
        <v>-0.05</v>
      </c>
      <c r="E289" s="46">
        <v>0.96</v>
      </c>
      <c r="F289" s="46">
        <f>B289-0.7870884</f>
        <v>0.20692359999999999</v>
      </c>
      <c r="G289" s="46">
        <f>1.255335-B289</f>
        <v>0.26132300000000008</v>
      </c>
    </row>
    <row r="290" spans="1:7" x14ac:dyDescent="0.25">
      <c r="A290" s="49" t="s">
        <v>162</v>
      </c>
      <c r="B290" s="46">
        <v>2.0786980000000002</v>
      </c>
      <c r="C290" s="46">
        <v>0.21003930000000001</v>
      </c>
      <c r="D290" s="46">
        <v>7.24</v>
      </c>
      <c r="E290" s="46">
        <v>0</v>
      </c>
      <c r="F290" s="46">
        <f>B290-1.705229</f>
        <v>0.37346900000000005</v>
      </c>
      <c r="G290" s="46">
        <f>2.533961-B290</f>
        <v>0.45526299999999997</v>
      </c>
    </row>
    <row r="291" spans="1:7" x14ac:dyDescent="0.25">
      <c r="A291" s="49" t="s">
        <v>163</v>
      </c>
      <c r="B291" s="46">
        <v>1</v>
      </c>
      <c r="C291" s="46"/>
      <c r="D291" s="46"/>
      <c r="E291" s="46"/>
      <c r="F291" s="46">
        <v>0</v>
      </c>
      <c r="G291" s="46">
        <v>0</v>
      </c>
    </row>
    <row r="292" spans="1:7" x14ac:dyDescent="0.25">
      <c r="A292" s="49" t="s">
        <v>164</v>
      </c>
      <c r="B292" s="46">
        <v>1.7801610000000001</v>
      </c>
      <c r="C292" s="46">
        <v>0.18371670000000001</v>
      </c>
      <c r="D292" s="46">
        <v>5.59</v>
      </c>
      <c r="E292" s="46">
        <v>0</v>
      </c>
      <c r="F292" s="46">
        <f>B292-1.454164</f>
        <v>0.32599700000000009</v>
      </c>
      <c r="G292" s="46">
        <f>2.179241-B292</f>
        <v>0.3990800000000001</v>
      </c>
    </row>
    <row r="293" spans="1:7" x14ac:dyDescent="0.25">
      <c r="A293" s="49" t="s">
        <v>165</v>
      </c>
      <c r="B293" s="46">
        <v>0.31736520000000001</v>
      </c>
      <c r="C293" s="46">
        <v>5.1348299999999999E-2</v>
      </c>
      <c r="D293" s="46">
        <v>-7.09</v>
      </c>
      <c r="E293" s="46">
        <v>0</v>
      </c>
      <c r="F293" s="46">
        <f>B293-0.2311206</f>
        <v>8.6244600000000005E-2</v>
      </c>
      <c r="G293" s="46">
        <f>0.4357927-B293</f>
        <v>0.11842749999999996</v>
      </c>
    </row>
    <row r="294" spans="1:7" x14ac:dyDescent="0.25">
      <c r="A294" s="49" t="s">
        <v>166</v>
      </c>
      <c r="B294" s="46">
        <v>0.52336000000000005</v>
      </c>
      <c r="C294" s="46">
        <v>6.4923400000000006E-2</v>
      </c>
      <c r="D294" s="46">
        <v>-5.22</v>
      </c>
      <c r="E294" s="46">
        <v>0</v>
      </c>
      <c r="F294" s="46">
        <f>B294-0.4104006</f>
        <v>0.11295940000000004</v>
      </c>
      <c r="G294" s="46">
        <f>0.6674105-B294</f>
        <v>0.14405049999999997</v>
      </c>
    </row>
    <row r="295" spans="1:7" x14ac:dyDescent="0.25">
      <c r="A295" s="49" t="s">
        <v>167</v>
      </c>
      <c r="B295" s="46">
        <v>0.25149690000000002</v>
      </c>
      <c r="C295" s="46">
        <v>4.4096200000000002E-2</v>
      </c>
      <c r="D295" s="46">
        <v>-7.87</v>
      </c>
      <c r="E295" s="46">
        <v>0</v>
      </c>
      <c r="F295" s="46">
        <f>B295-0.1783558</f>
        <v>7.3141100000000014E-2</v>
      </c>
      <c r="G295" s="46">
        <f>0.354632-B295</f>
        <v>0.10313509999999998</v>
      </c>
    </row>
    <row r="296" spans="1:7" x14ac:dyDescent="0.25">
      <c r="A296" s="49" t="s">
        <v>168</v>
      </c>
      <c r="B296" s="46">
        <v>0.26168000000000002</v>
      </c>
      <c r="C296" s="46">
        <v>3.9830400000000002E-2</v>
      </c>
      <c r="D296" s="46">
        <v>-8.81</v>
      </c>
      <c r="E296" s="46">
        <v>0</v>
      </c>
      <c r="F296" s="46">
        <f>B296-0.194182</f>
        <v>6.749800000000003E-2</v>
      </c>
      <c r="G296" s="46">
        <f>0.3526405-B296</f>
        <v>9.09605E-2</v>
      </c>
    </row>
    <row r="297" spans="1:7" x14ac:dyDescent="0.25">
      <c r="A297" s="49" t="s">
        <v>169</v>
      </c>
      <c r="B297" s="46">
        <v>0.25748490000000002</v>
      </c>
      <c r="C297" s="46">
        <v>4.5744199999999999E-2</v>
      </c>
      <c r="D297" s="46">
        <v>-7.64</v>
      </c>
      <c r="E297" s="46">
        <v>0</v>
      </c>
      <c r="F297" s="46">
        <f>B297-0.1817729</f>
        <v>7.5712000000000029E-2</v>
      </c>
      <c r="G297" s="46">
        <f>0.3647325-B297</f>
        <v>0.1072476</v>
      </c>
    </row>
    <row r="298" spans="1:7" x14ac:dyDescent="0.25">
      <c r="A298" s="49" t="s">
        <v>170</v>
      </c>
      <c r="B298" s="46">
        <v>0.29853639999999998</v>
      </c>
      <c r="C298" s="46">
        <v>4.2971500000000003E-2</v>
      </c>
      <c r="D298" s="46">
        <v>-8.4</v>
      </c>
      <c r="E298" s="46">
        <v>0</v>
      </c>
      <c r="F298" s="46">
        <f>B298-0.2251515</f>
        <v>7.3384899999999975E-2</v>
      </c>
      <c r="G298" s="46">
        <f>0.3958401-B298</f>
        <v>9.7303699999999993E-2</v>
      </c>
    </row>
    <row r="299" spans="1:7" x14ac:dyDescent="0.25">
      <c r="A299" s="49" t="s">
        <v>171</v>
      </c>
      <c r="B299" s="46">
        <v>0.56196389999999996</v>
      </c>
      <c r="C299" s="46">
        <v>7.4729000000000004E-2</v>
      </c>
      <c r="D299" s="46">
        <v>-4.33</v>
      </c>
      <c r="E299" s="46">
        <v>0</v>
      </c>
      <c r="F299" s="46">
        <f>B299-0.4330291</f>
        <v>0.12893479999999996</v>
      </c>
      <c r="G299" s="46">
        <f>0.7292892-B299</f>
        <v>0.16732530000000001</v>
      </c>
    </row>
    <row r="300" spans="1:7" x14ac:dyDescent="0.25">
      <c r="A300" s="49" t="s">
        <v>172</v>
      </c>
      <c r="B300" s="46">
        <v>0.74742489999999995</v>
      </c>
      <c r="C300" s="46">
        <v>0.1296176</v>
      </c>
      <c r="D300" s="46">
        <v>-1.68</v>
      </c>
      <c r="E300" s="46">
        <v>9.2999999999999999E-2</v>
      </c>
      <c r="F300" s="46">
        <f>B300-0.5320508</f>
        <v>0.2153740999999999</v>
      </c>
      <c r="G300" s="46">
        <f>1.049982-B300</f>
        <v>0.30255710000000002</v>
      </c>
    </row>
    <row r="301" spans="1:7" x14ac:dyDescent="0.25">
      <c r="A301" s="49" t="s">
        <v>173</v>
      </c>
      <c r="B301" s="46">
        <v>0.11569889999999999</v>
      </c>
      <c r="C301" s="46">
        <v>2.6864599999999999E-2</v>
      </c>
      <c r="D301" s="46">
        <v>-9.2899999999999991</v>
      </c>
      <c r="E301" s="46">
        <v>0</v>
      </c>
      <c r="F301" s="46">
        <f>B301-0.0733982</f>
        <v>4.2300699999999997E-2</v>
      </c>
      <c r="G301" s="46">
        <f>0.1823782-B301</f>
        <v>6.6679299999999997E-2</v>
      </c>
    </row>
    <row r="302" spans="1:7" x14ac:dyDescent="0.25">
      <c r="A302" s="49" t="s">
        <v>174</v>
      </c>
      <c r="B302" s="46">
        <v>0.1993133</v>
      </c>
      <c r="C302" s="46">
        <v>6.4202899999999993E-2</v>
      </c>
      <c r="D302" s="46">
        <v>-5.01</v>
      </c>
      <c r="E302" s="46">
        <v>0</v>
      </c>
      <c r="F302" s="46">
        <f>B302-0.10601</f>
        <v>9.3303300000000006E-2</v>
      </c>
      <c r="G302" s="46">
        <f>0.3747361-B302</f>
        <v>0.17542280000000002</v>
      </c>
    </row>
    <row r="303" spans="1:7" x14ac:dyDescent="0.25">
      <c r="A303" s="49" t="s">
        <v>175</v>
      </c>
      <c r="B303" s="46">
        <v>5.5094499999999998E-2</v>
      </c>
      <c r="C303" s="46">
        <v>1.8226599999999999E-2</v>
      </c>
      <c r="D303" s="46">
        <v>-8.76</v>
      </c>
      <c r="E303" s="46">
        <v>0</v>
      </c>
      <c r="F303" s="46">
        <f>B303-0.0288078</f>
        <v>2.6286699999999996E-2</v>
      </c>
      <c r="G303" s="46">
        <f>0.1053675-B303</f>
        <v>5.0273000000000005E-2</v>
      </c>
    </row>
    <row r="304" spans="1:7" x14ac:dyDescent="0.25">
      <c r="A304" s="49" t="s">
        <v>176</v>
      </c>
      <c r="B304" s="46">
        <v>0.13287550000000001</v>
      </c>
      <c r="C304" s="46">
        <v>4.8481099999999999E-2</v>
      </c>
      <c r="D304" s="46">
        <v>-5.53</v>
      </c>
      <c r="E304" s="46">
        <v>0</v>
      </c>
      <c r="F304" s="46">
        <f>B304-0.0649943</f>
        <v>6.7881200000000003E-2</v>
      </c>
      <c r="G304" s="46">
        <f>0.2716534-B304</f>
        <v>0.13877789999999998</v>
      </c>
    </row>
    <row r="305" spans="1:21" x14ac:dyDescent="0.25">
      <c r="A305" s="49" t="s">
        <v>177</v>
      </c>
      <c r="B305" s="46">
        <v>7.1624599999999997E-2</v>
      </c>
      <c r="C305" s="46">
        <v>2.0871299999999999E-2</v>
      </c>
      <c r="D305" s="46">
        <v>-9.0500000000000007</v>
      </c>
      <c r="E305" s="46">
        <v>0</v>
      </c>
      <c r="F305" s="46">
        <f>B305-0.0404598</f>
        <v>3.1164799999999999E-2</v>
      </c>
      <c r="G305" s="46">
        <f>0.1267947-B305</f>
        <v>5.5170100000000014E-2</v>
      </c>
    </row>
    <row r="306" spans="1:21" x14ac:dyDescent="0.25">
      <c r="A306" s="49" t="s">
        <v>178</v>
      </c>
      <c r="B306" s="46">
        <v>0.14948500000000001</v>
      </c>
      <c r="C306" s="46">
        <v>5.1832499999999997E-2</v>
      </c>
      <c r="D306" s="46">
        <v>-5.48</v>
      </c>
      <c r="E306" s="46">
        <v>0</v>
      </c>
      <c r="F306" s="46">
        <f>B306-0.075762</f>
        <v>7.3723000000000011E-2</v>
      </c>
      <c r="G306" s="46">
        <f>0.2949468-B306</f>
        <v>0.1454618</v>
      </c>
    </row>
    <row r="307" spans="1:21" x14ac:dyDescent="0.25">
      <c r="A307" s="49" t="s">
        <v>179</v>
      </c>
      <c r="B307" s="46">
        <v>0.170793</v>
      </c>
      <c r="C307" s="46">
        <v>3.5270500000000003E-2</v>
      </c>
      <c r="D307" s="46">
        <v>-8.56</v>
      </c>
      <c r="E307" s="46">
        <v>0</v>
      </c>
      <c r="F307" s="46">
        <f>B307-0.1139431</f>
        <v>5.6849899999999995E-2</v>
      </c>
      <c r="G307" s="46">
        <f>0.2560071-B307</f>
        <v>8.5214099999999987E-2</v>
      </c>
    </row>
    <row r="308" spans="1:21" x14ac:dyDescent="0.25">
      <c r="A308" s="49" t="s">
        <v>180</v>
      </c>
      <c r="B308" s="46">
        <v>0.59793980000000002</v>
      </c>
      <c r="C308" s="46">
        <v>0.13125149999999999</v>
      </c>
      <c r="D308" s="46">
        <v>-2.34</v>
      </c>
      <c r="E308" s="46">
        <v>1.9E-2</v>
      </c>
      <c r="F308" s="46">
        <f>B308-0.3888781</f>
        <v>0.20906170000000002</v>
      </c>
      <c r="G308" s="46">
        <f>0.9193936-B308</f>
        <v>0.32145380000000001</v>
      </c>
    </row>
    <row r="309" spans="1:21" x14ac:dyDescent="0.25">
      <c r="A309" s="49" t="s">
        <v>181</v>
      </c>
      <c r="B309" s="46">
        <v>0.41320879999999999</v>
      </c>
      <c r="C309" s="46">
        <v>6.8698400000000007E-2</v>
      </c>
      <c r="D309" s="46">
        <v>-5.32</v>
      </c>
      <c r="E309" s="46">
        <v>0</v>
      </c>
      <c r="F309" s="46">
        <f>B309-0.2982993</f>
        <v>0.1149095</v>
      </c>
      <c r="G309" s="46">
        <f>0.5723832-B309</f>
        <v>0.15917439999999999</v>
      </c>
    </row>
    <row r="310" spans="1:21" x14ac:dyDescent="0.25">
      <c r="A310" s="49" t="s">
        <v>182</v>
      </c>
      <c r="B310" s="46">
        <v>0.91351939999999998</v>
      </c>
      <c r="C310" s="46">
        <v>0.1512579</v>
      </c>
      <c r="D310" s="46">
        <v>-0.55000000000000004</v>
      </c>
      <c r="E310" s="46">
        <v>0.58499999999999996</v>
      </c>
      <c r="F310" s="46">
        <f>B310-0.6603563</f>
        <v>0.25316309999999997</v>
      </c>
      <c r="G310" s="46">
        <f>1.263739-B310</f>
        <v>0.35021959999999996</v>
      </c>
    </row>
    <row r="311" spans="1:21" x14ac:dyDescent="0.25">
      <c r="A311" s="49" t="s">
        <v>183</v>
      </c>
      <c r="B311" s="46">
        <v>0.25894410000000001</v>
      </c>
      <c r="C311" s="46">
        <v>4.2537999999999999E-2</v>
      </c>
      <c r="D311" s="46">
        <v>-8.2200000000000006</v>
      </c>
      <c r="E311" s="46">
        <v>0</v>
      </c>
      <c r="F311" s="46">
        <f>B311-0.1876615</f>
        <v>7.1282600000000002E-2</v>
      </c>
      <c r="G311" s="46">
        <f>0.3573033-B311</f>
        <v>9.835919999999998E-2</v>
      </c>
    </row>
    <row r="312" spans="1:21" x14ac:dyDescent="0.25">
      <c r="A312" s="49" t="s">
        <v>184</v>
      </c>
      <c r="B312" s="46">
        <v>0.59793980000000002</v>
      </c>
      <c r="C312" s="46">
        <v>0.1118637</v>
      </c>
      <c r="D312" s="46">
        <v>-2.75</v>
      </c>
      <c r="E312" s="46">
        <v>6.0000000000000001E-3</v>
      </c>
      <c r="F312" s="46">
        <f>B312-0.4143937</f>
        <v>0.18354610000000005</v>
      </c>
      <c r="G312" s="46">
        <f>0.8627836-B312</f>
        <v>0.26484379999999996</v>
      </c>
    </row>
    <row r="313" spans="1:21" x14ac:dyDescent="0.25">
      <c r="A313" s="49" t="s">
        <v>185</v>
      </c>
      <c r="B313" s="46">
        <v>0.11569889999999999</v>
      </c>
      <c r="C313" s="46">
        <v>2.6900799999999999E-2</v>
      </c>
      <c r="D313" s="46">
        <v>-9.2799999999999994</v>
      </c>
      <c r="E313" s="46">
        <v>0</v>
      </c>
      <c r="F313" s="46">
        <f>B313-0.0733532</f>
        <v>4.23457E-2</v>
      </c>
      <c r="G313" s="46">
        <f>0.1824901-B313</f>
        <v>6.6791199999999995E-2</v>
      </c>
    </row>
    <row r="314" spans="1:21" x14ac:dyDescent="0.25">
      <c r="A314" s="49" t="s">
        <v>186</v>
      </c>
      <c r="B314" s="46">
        <v>0.31557940000000001</v>
      </c>
      <c r="C314" s="46">
        <v>8.3423800000000006E-2</v>
      </c>
      <c r="D314" s="46">
        <v>-4.3600000000000003</v>
      </c>
      <c r="E314" s="46">
        <v>0</v>
      </c>
      <c r="F314" s="46">
        <f>B314-0.1879717</f>
        <v>0.12760770000000002</v>
      </c>
      <c r="G314" s="46">
        <f>0.5298156-B314</f>
        <v>0.21423620000000004</v>
      </c>
    </row>
    <row r="315" spans="1:21" x14ac:dyDescent="0.25">
      <c r="A315" s="49" t="s">
        <v>187</v>
      </c>
      <c r="B315" s="46">
        <v>0.20384969999999999</v>
      </c>
      <c r="C315" s="46">
        <v>3.8384000000000001E-2</v>
      </c>
      <c r="D315" s="46">
        <v>-8.4499999999999993</v>
      </c>
      <c r="E315" s="46">
        <v>0</v>
      </c>
      <c r="F315" s="46">
        <f>B315-0.1409395</f>
        <v>6.2910199999999999E-2</v>
      </c>
      <c r="G315" s="46">
        <f>0.2948408-B315</f>
        <v>9.0991100000000019E-2</v>
      </c>
    </row>
    <row r="316" spans="1:21" x14ac:dyDescent="0.25">
      <c r="A316" s="49" t="s">
        <v>188</v>
      </c>
      <c r="B316" s="46">
        <v>0.56472089999999997</v>
      </c>
      <c r="C316" s="46">
        <v>0.1085782</v>
      </c>
      <c r="D316" s="46">
        <v>-2.97</v>
      </c>
      <c r="E316" s="46">
        <v>3.0000000000000001E-3</v>
      </c>
      <c r="F316" s="46">
        <f>B316-0.3874132</f>
        <v>0.17730769999999996</v>
      </c>
      <c r="G316" s="46">
        <f>0.8231772-B316</f>
        <v>0.25845630000000008</v>
      </c>
    </row>
    <row r="317" spans="1:21" x14ac:dyDescent="0.25">
      <c r="A317" s="49"/>
      <c r="B317" s="47"/>
      <c r="C317" s="47"/>
      <c r="D317" s="47"/>
      <c r="E317" s="47"/>
      <c r="F317" s="47"/>
      <c r="G317" s="47"/>
    </row>
    <row r="318" spans="1:21" x14ac:dyDescent="0.25">
      <c r="A318" s="50" t="s">
        <v>6</v>
      </c>
      <c r="B318" s="48">
        <v>4.1032999999999998E-3</v>
      </c>
      <c r="C318" s="48">
        <v>4.6569999999999999E-4</v>
      </c>
      <c r="D318" s="48">
        <v>-48.42</v>
      </c>
      <c r="E318" s="48">
        <v>0</v>
      </c>
      <c r="F318" s="48">
        <v>3.2848999999999999E-3</v>
      </c>
      <c r="G318" s="48">
        <v>5.1256000000000001E-3</v>
      </c>
    </row>
    <row r="319" spans="1:21" x14ac:dyDescent="0.25">
      <c r="T319" s="46"/>
      <c r="U319" s="46"/>
    </row>
    <row r="320" spans="1:21" ht="15.75" thickBot="1" x14ac:dyDescent="0.3">
      <c r="T320" s="46"/>
      <c r="U320" s="46"/>
    </row>
    <row r="321" spans="1:22" x14ac:dyDescent="0.25">
      <c r="A321" s="10"/>
      <c r="B321" s="11"/>
      <c r="C321" s="11" t="s">
        <v>9</v>
      </c>
      <c r="D321" s="11" t="s">
        <v>10</v>
      </c>
      <c r="E321" s="11" t="s">
        <v>40</v>
      </c>
      <c r="F321" s="11" t="s">
        <v>11</v>
      </c>
      <c r="G321" s="11" t="s">
        <v>7</v>
      </c>
      <c r="H321" s="11" t="s">
        <v>8</v>
      </c>
      <c r="I321" s="11" t="s">
        <v>63</v>
      </c>
      <c r="J321" s="11" t="s">
        <v>64</v>
      </c>
      <c r="K321" s="12" t="s">
        <v>65</v>
      </c>
      <c r="M321" s="46">
        <v>0.26055000000000006</v>
      </c>
      <c r="N321" s="46">
        <v>0.32233599999999996</v>
      </c>
      <c r="O321" s="46">
        <v>4.9051600000000001E-2</v>
      </c>
      <c r="P321" s="46">
        <v>7.6185699999999995E-2</v>
      </c>
      <c r="Q321" s="46">
        <v>8.6244600000000005E-2</v>
      </c>
      <c r="R321" s="46">
        <v>0.11842749999999996</v>
      </c>
      <c r="T321" s="46"/>
      <c r="U321" s="46"/>
      <c r="V321" s="7"/>
    </row>
    <row r="322" spans="1:22" x14ac:dyDescent="0.25">
      <c r="A322" s="24" t="s">
        <v>94</v>
      </c>
      <c r="B322" s="7" t="s">
        <v>152</v>
      </c>
      <c r="C322" s="14">
        <f>B281</f>
        <v>1.359281</v>
      </c>
      <c r="D322" s="15">
        <f>B283</f>
        <v>0.28143699999999999</v>
      </c>
      <c r="E322" s="15">
        <f>B285</f>
        <v>0.13173650000000001</v>
      </c>
      <c r="F322" s="15">
        <f>B287</f>
        <v>0.1377245</v>
      </c>
      <c r="G322" s="15">
        <f>B289</f>
        <v>0.99401200000000001</v>
      </c>
      <c r="H322" s="15">
        <f>B291</f>
        <v>1</v>
      </c>
      <c r="I322" s="16">
        <f>B293</f>
        <v>0.31736520000000001</v>
      </c>
      <c r="J322" s="16">
        <f>B295</f>
        <v>0.25149690000000002</v>
      </c>
      <c r="K322" s="17">
        <f>B297</f>
        <v>0.25748490000000002</v>
      </c>
      <c r="M322" s="46">
        <v>0.2569840000000001</v>
      </c>
      <c r="N322" s="46">
        <v>0.31363699999999994</v>
      </c>
      <c r="O322" s="46">
        <v>5.8092299999999986E-2</v>
      </c>
      <c r="P322" s="46">
        <v>7.9268900000000031E-2</v>
      </c>
      <c r="Q322" s="46">
        <v>0.11295940000000004</v>
      </c>
      <c r="R322" s="46">
        <v>0.14405049999999997</v>
      </c>
      <c r="T322" s="46"/>
      <c r="U322" s="46"/>
      <c r="V322" s="9"/>
    </row>
    <row r="323" spans="1:22" x14ac:dyDescent="0.25">
      <c r="A323" s="24"/>
      <c r="B323" s="7" t="s">
        <v>372</v>
      </c>
      <c r="C323" s="15">
        <f>B282</f>
        <v>1.422655</v>
      </c>
      <c r="D323" s="15">
        <f>B284</f>
        <v>0.43490469999999998</v>
      </c>
      <c r="E323" s="15">
        <f>B286</f>
        <v>0.151111</v>
      </c>
      <c r="F323" s="15">
        <f>B288</f>
        <v>0.21745239999999999</v>
      </c>
      <c r="G323" s="15">
        <f>B290</f>
        <v>2.0786980000000002</v>
      </c>
      <c r="H323" s="15">
        <f>B292</f>
        <v>1.7801610000000001</v>
      </c>
      <c r="I323" s="16">
        <f>B294</f>
        <v>0.52336000000000005</v>
      </c>
      <c r="J323" s="16">
        <f>B296</f>
        <v>0.26168000000000002</v>
      </c>
      <c r="K323" s="18">
        <f>B298</f>
        <v>0.29853639999999998</v>
      </c>
      <c r="M323" s="46">
        <v>0.12893479999999996</v>
      </c>
      <c r="N323" s="46">
        <v>0.16732530000000001</v>
      </c>
      <c r="O323" s="46">
        <v>3.1164799999999999E-2</v>
      </c>
      <c r="P323" s="46">
        <v>5.5170100000000014E-2</v>
      </c>
      <c r="Q323" s="46">
        <v>7.1282600000000002E-2</v>
      </c>
      <c r="R323" s="46">
        <v>9.835919999999998E-2</v>
      </c>
      <c r="T323" s="46"/>
      <c r="U323" s="46"/>
      <c r="V323" s="7"/>
    </row>
    <row r="324" spans="1:22" x14ac:dyDescent="0.25">
      <c r="A324" s="24" t="s">
        <v>95</v>
      </c>
      <c r="B324" s="7" t="s">
        <v>152</v>
      </c>
      <c r="C324" s="15">
        <f>B299</f>
        <v>0.56196389999999996</v>
      </c>
      <c r="D324" s="15">
        <f>B301</f>
        <v>0.11569889999999999</v>
      </c>
      <c r="E324" s="15">
        <f>B303</f>
        <v>5.5094499999999998E-2</v>
      </c>
      <c r="F324" s="15">
        <f>B305</f>
        <v>7.1624599999999997E-2</v>
      </c>
      <c r="G324" s="15">
        <f>B307</f>
        <v>0.170793</v>
      </c>
      <c r="H324" s="15">
        <f>B309</f>
        <v>0.41320879999999999</v>
      </c>
      <c r="I324" s="16">
        <f>B311</f>
        <v>0.25894410000000001</v>
      </c>
      <c r="J324" s="16">
        <f>B313</f>
        <v>0.11569889999999999</v>
      </c>
      <c r="K324" s="17">
        <f>B315</f>
        <v>0.20384969999999999</v>
      </c>
      <c r="M324" s="46">
        <v>0.2153740999999999</v>
      </c>
      <c r="N324" s="46">
        <v>0.30255710000000002</v>
      </c>
      <c r="O324" s="46">
        <v>7.3723000000000011E-2</v>
      </c>
      <c r="P324" s="46">
        <v>0.1454618</v>
      </c>
      <c r="Q324" s="46">
        <v>0.18354610000000005</v>
      </c>
      <c r="R324" s="46">
        <v>0.26484379999999996</v>
      </c>
      <c r="T324" s="46"/>
      <c r="U324" s="46"/>
      <c r="V324" s="7"/>
    </row>
    <row r="325" spans="1:22" ht="15.75" thickBot="1" x14ac:dyDescent="0.3">
      <c r="A325" s="26"/>
      <c r="B325" s="27" t="s">
        <v>372</v>
      </c>
      <c r="C325" s="29">
        <f>B300</f>
        <v>0.74742489999999995</v>
      </c>
      <c r="D325" s="30">
        <f>B302</f>
        <v>0.1993133</v>
      </c>
      <c r="E325" s="29">
        <f>B304</f>
        <v>0.13287550000000001</v>
      </c>
      <c r="F325" s="30">
        <f>B306</f>
        <v>0.14948500000000001</v>
      </c>
      <c r="G325" s="30">
        <f>B308</f>
        <v>0.59793980000000002</v>
      </c>
      <c r="H325" s="28">
        <f>B310</f>
        <v>0.91351939999999998</v>
      </c>
      <c r="I325" s="30">
        <f>B312</f>
        <v>0.59793980000000002</v>
      </c>
      <c r="J325" s="29">
        <f>B314</f>
        <v>0.31557940000000001</v>
      </c>
      <c r="K325" s="31">
        <f>B316</f>
        <v>0.56472089999999997</v>
      </c>
      <c r="M325" s="46">
        <v>7.8710100000000005E-2</v>
      </c>
      <c r="N325" s="46">
        <v>0.10927009999999998</v>
      </c>
      <c r="O325" s="46">
        <v>0.20692359999999999</v>
      </c>
      <c r="P325" s="46">
        <v>0.26132300000000008</v>
      </c>
      <c r="Q325" s="46">
        <v>7.3141100000000014E-2</v>
      </c>
      <c r="R325" s="46">
        <v>0.10313509999999998</v>
      </c>
      <c r="T325" s="46"/>
      <c r="U325" s="46"/>
      <c r="V325" s="7"/>
    </row>
    <row r="326" spans="1:22" x14ac:dyDescent="0.25">
      <c r="M326" s="46">
        <v>9.5930499999999974E-2</v>
      </c>
      <c r="N326" s="46">
        <v>0.1230792</v>
      </c>
      <c r="O326" s="46">
        <v>0.37346900000000005</v>
      </c>
      <c r="P326" s="46">
        <v>0.45526299999999997</v>
      </c>
      <c r="Q326" s="46">
        <v>6.749800000000003E-2</v>
      </c>
      <c r="R326" s="46">
        <v>9.09605E-2</v>
      </c>
      <c r="T326" s="46"/>
      <c r="U326" s="46"/>
      <c r="V326" s="7"/>
    </row>
    <row r="327" spans="1:22" x14ac:dyDescent="0.25">
      <c r="M327" s="46">
        <v>4.2300699999999997E-2</v>
      </c>
      <c r="N327" s="46">
        <v>6.6679299999999997E-2</v>
      </c>
      <c r="O327" s="46">
        <v>5.6849899999999995E-2</v>
      </c>
      <c r="P327" s="46">
        <v>8.5214099999999987E-2</v>
      </c>
      <c r="Q327" s="46">
        <v>4.23457E-2</v>
      </c>
      <c r="R327" s="46">
        <v>6.6791199999999995E-2</v>
      </c>
      <c r="T327" s="46"/>
      <c r="U327" s="46"/>
      <c r="V327" s="7"/>
    </row>
    <row r="328" spans="1:22" x14ac:dyDescent="0.25">
      <c r="M328" s="46">
        <v>9.3303300000000006E-2</v>
      </c>
      <c r="N328" s="46">
        <v>0.17542280000000002</v>
      </c>
      <c r="O328" s="46">
        <v>0.20906170000000002</v>
      </c>
      <c r="P328" s="46">
        <v>0.32145380000000001</v>
      </c>
      <c r="Q328" s="46">
        <v>0.12760770000000002</v>
      </c>
      <c r="R328" s="46">
        <v>0.21423620000000004</v>
      </c>
      <c r="T328" s="46"/>
      <c r="U328" s="46"/>
      <c r="V328" s="9"/>
    </row>
    <row r="329" spans="1:22" x14ac:dyDescent="0.25">
      <c r="M329" s="46">
        <v>4.7236700000000006E-2</v>
      </c>
      <c r="N329" s="46">
        <v>7.3642700000000005E-2</v>
      </c>
      <c r="O329" s="46">
        <v>0</v>
      </c>
      <c r="P329" s="46">
        <v>0</v>
      </c>
      <c r="Q329" s="46">
        <v>7.5712000000000029E-2</v>
      </c>
      <c r="R329" s="46">
        <v>0.1072476</v>
      </c>
      <c r="T329" s="46"/>
      <c r="U329" s="46"/>
      <c r="V329" s="7"/>
    </row>
    <row r="330" spans="1:22" x14ac:dyDescent="0.25">
      <c r="M330" s="46">
        <v>4.4946399999999997E-2</v>
      </c>
      <c r="N330" s="46">
        <v>6.3975100000000007E-2</v>
      </c>
      <c r="O330" s="46">
        <v>0.32599700000000009</v>
      </c>
      <c r="P330" s="46">
        <v>0.3990800000000001</v>
      </c>
      <c r="Q330" s="46">
        <v>7.3384899999999975E-2</v>
      </c>
      <c r="R330" s="46">
        <v>9.7303699999999993E-2</v>
      </c>
      <c r="T330" s="46"/>
      <c r="U330" s="46"/>
      <c r="V330" s="7"/>
    </row>
    <row r="331" spans="1:22" x14ac:dyDescent="0.25">
      <c r="M331" s="46">
        <v>2.6286699999999996E-2</v>
      </c>
      <c r="N331" s="46">
        <v>5.0273000000000005E-2</v>
      </c>
      <c r="O331" s="46">
        <v>0.1149095</v>
      </c>
      <c r="P331" s="46">
        <v>0.15917439999999999</v>
      </c>
      <c r="Q331" s="46">
        <v>6.2910199999999999E-2</v>
      </c>
      <c r="R331" s="46">
        <v>9.0991100000000019E-2</v>
      </c>
      <c r="T331" s="46"/>
      <c r="U331" s="46"/>
      <c r="V331" s="7"/>
    </row>
    <row r="332" spans="1:22" x14ac:dyDescent="0.25">
      <c r="M332" s="46">
        <v>6.7881200000000003E-2</v>
      </c>
      <c r="N332" s="46">
        <v>0.13877789999999998</v>
      </c>
      <c r="O332" s="46">
        <v>0.25316309999999997</v>
      </c>
      <c r="P332" s="46">
        <v>0.35021959999999996</v>
      </c>
      <c r="Q332" s="46">
        <v>0.17730769999999996</v>
      </c>
      <c r="R332" s="46">
        <v>0.25845630000000008</v>
      </c>
      <c r="T332" s="46"/>
      <c r="U332" s="46"/>
      <c r="V332" s="23"/>
    </row>
    <row r="333" spans="1:22" x14ac:dyDescent="0.25">
      <c r="M333" s="7"/>
      <c r="N333" s="7"/>
      <c r="O333" s="7"/>
      <c r="P333" s="7"/>
      <c r="Q333" s="7"/>
      <c r="R333" s="7"/>
      <c r="T333" s="46"/>
      <c r="U333" s="46"/>
      <c r="V333" s="7"/>
    </row>
    <row r="334" spans="1:22" x14ac:dyDescent="0.25">
      <c r="M334" s="9"/>
      <c r="N334" s="9"/>
      <c r="O334" s="7"/>
      <c r="P334" s="7"/>
      <c r="Q334" s="7"/>
      <c r="R334" s="7"/>
      <c r="T334" s="46"/>
      <c r="U334" s="46"/>
      <c r="V334" s="7"/>
    </row>
    <row r="335" spans="1:22" x14ac:dyDescent="0.25">
      <c r="M335" s="9"/>
      <c r="N335" s="9"/>
      <c r="O335" s="7"/>
      <c r="P335" s="7"/>
      <c r="Q335" s="7"/>
      <c r="R335" s="7"/>
      <c r="T335" s="46"/>
      <c r="U335" s="46"/>
      <c r="V335" s="9"/>
    </row>
    <row r="336" spans="1:22" x14ac:dyDescent="0.25">
      <c r="M336" s="9"/>
      <c r="N336" s="9"/>
      <c r="O336" s="7"/>
      <c r="P336" s="7"/>
      <c r="Q336" s="7"/>
      <c r="R336" s="7"/>
      <c r="T336" s="46"/>
      <c r="U336" s="46"/>
      <c r="V336" s="23"/>
    </row>
    <row r="337" spans="1:22" x14ac:dyDescent="0.25">
      <c r="M337" s="7"/>
      <c r="N337" s="7"/>
      <c r="O337" s="7"/>
      <c r="P337" s="7"/>
      <c r="Q337" s="7"/>
      <c r="R337" s="7"/>
      <c r="T337" s="46"/>
      <c r="U337" s="46"/>
      <c r="V337" s="7"/>
    </row>
    <row r="338" spans="1:22" x14ac:dyDescent="0.25">
      <c r="M338" s="7"/>
      <c r="N338" s="7"/>
      <c r="O338" s="7"/>
      <c r="P338" s="9"/>
      <c r="Q338" s="7"/>
      <c r="R338" s="7"/>
      <c r="T338" s="46"/>
      <c r="U338" s="46"/>
      <c r="V338" s="9"/>
    </row>
    <row r="339" spans="1:22" x14ac:dyDescent="0.25">
      <c r="M339" s="7"/>
      <c r="N339" s="7"/>
      <c r="O339" s="9"/>
      <c r="P339" s="9"/>
      <c r="Q339" s="7"/>
      <c r="R339" s="7"/>
      <c r="U339" s="9"/>
      <c r="V339" s="9"/>
    </row>
    <row r="340" spans="1:22" x14ac:dyDescent="0.25">
      <c r="M340" s="7"/>
      <c r="N340" s="7"/>
      <c r="O340" s="7"/>
      <c r="P340" s="9"/>
      <c r="Q340" s="7"/>
      <c r="R340" s="9"/>
      <c r="U340" s="7"/>
      <c r="V340" s="9"/>
    </row>
    <row r="341" spans="1:22" x14ac:dyDescent="0.25">
      <c r="M341" s="7"/>
      <c r="N341" s="7"/>
      <c r="O341" s="7"/>
      <c r="P341" s="7"/>
      <c r="U341" s="7"/>
      <c r="V341" s="7"/>
    </row>
    <row r="342" spans="1:22" x14ac:dyDescent="0.25">
      <c r="M342" s="7"/>
      <c r="N342" s="7"/>
      <c r="O342" s="7"/>
      <c r="P342" s="7"/>
      <c r="U342" s="7"/>
      <c r="V342" s="9"/>
    </row>
    <row r="343" spans="1:22" x14ac:dyDescent="0.25">
      <c r="M343" s="7"/>
      <c r="N343" s="9"/>
      <c r="O343" s="7"/>
      <c r="P343" s="7"/>
      <c r="U343" s="7"/>
      <c r="V343" s="7"/>
    </row>
    <row r="344" spans="1:22" s="1" customFormat="1" x14ac:dyDescent="0.25">
      <c r="A344" s="1" t="s">
        <v>103</v>
      </c>
      <c r="M344" s="32"/>
      <c r="N344" s="32"/>
      <c r="O344" s="33"/>
      <c r="P344" s="33"/>
      <c r="U344" s="33"/>
      <c r="V344" s="33"/>
    </row>
    <row r="345" spans="1:22" x14ac:dyDescent="0.25">
      <c r="M345" s="9"/>
      <c r="N345" s="9"/>
      <c r="O345" s="7"/>
      <c r="P345" s="7"/>
      <c r="U345" s="7"/>
      <c r="V345" s="9"/>
    </row>
    <row r="346" spans="1:22" x14ac:dyDescent="0.25">
      <c r="A346" s="49"/>
      <c r="B346" s="46" t="s">
        <v>1</v>
      </c>
      <c r="C346" s="47"/>
      <c r="D346" s="47"/>
      <c r="E346" s="47"/>
      <c r="F346" s="47"/>
      <c r="G346" s="47"/>
      <c r="M346" s="9"/>
      <c r="N346" s="9"/>
      <c r="O346" s="7"/>
      <c r="P346" s="7"/>
      <c r="U346" s="7"/>
      <c r="V346" s="9"/>
    </row>
    <row r="347" spans="1:22" x14ac:dyDescent="0.25">
      <c r="A347" s="50" t="s">
        <v>2</v>
      </c>
      <c r="B347" s="48" t="s">
        <v>269</v>
      </c>
      <c r="C347" s="48" t="s">
        <v>270</v>
      </c>
      <c r="D347" s="48" t="s">
        <v>3</v>
      </c>
      <c r="E347" s="48" t="s">
        <v>4</v>
      </c>
      <c r="F347" s="48" t="s">
        <v>271</v>
      </c>
      <c r="G347" s="48" t="s">
        <v>272</v>
      </c>
      <c r="M347" s="9"/>
      <c r="N347" s="9"/>
      <c r="O347" s="7"/>
      <c r="P347" s="7"/>
      <c r="U347" s="7"/>
      <c r="V347" s="9"/>
    </row>
    <row r="348" spans="1:22" x14ac:dyDescent="0.25">
      <c r="A348" s="49"/>
      <c r="B348" s="46"/>
      <c r="C348" s="46"/>
      <c r="D348" s="47"/>
      <c r="E348" s="47"/>
      <c r="F348" s="47"/>
      <c r="G348" s="47"/>
      <c r="M348" s="9"/>
      <c r="N348" s="9"/>
      <c r="O348" s="7"/>
      <c r="P348" s="7"/>
      <c r="U348" s="7"/>
      <c r="V348" s="9"/>
    </row>
    <row r="349" spans="1:22" x14ac:dyDescent="0.25">
      <c r="A349" s="49" t="s">
        <v>72</v>
      </c>
      <c r="B349" s="47"/>
      <c r="C349" s="47"/>
      <c r="D349" s="47"/>
      <c r="E349" s="47"/>
      <c r="F349" s="47"/>
      <c r="G349" s="47"/>
      <c r="M349" s="9"/>
      <c r="N349" s="9"/>
      <c r="O349" s="7"/>
      <c r="P349" s="7"/>
      <c r="U349" s="7"/>
      <c r="V349" s="9"/>
    </row>
    <row r="350" spans="1:22" x14ac:dyDescent="0.25">
      <c r="A350" s="49" t="s">
        <v>73</v>
      </c>
      <c r="B350" s="46">
        <v>1.2011879999999999</v>
      </c>
      <c r="C350" s="46">
        <v>4.4084100000000001E-2</v>
      </c>
      <c r="D350" s="46">
        <v>4.99</v>
      </c>
      <c r="E350" s="46">
        <v>0</v>
      </c>
      <c r="F350" s="46">
        <v>1.1178189999999999</v>
      </c>
      <c r="G350" s="46">
        <v>1.2907740000000001</v>
      </c>
      <c r="M350" s="9"/>
      <c r="N350" s="9"/>
      <c r="O350" s="7"/>
      <c r="P350" s="7"/>
      <c r="U350" s="7"/>
      <c r="V350" s="9"/>
    </row>
    <row r="351" spans="1:22" x14ac:dyDescent="0.25">
      <c r="A351" s="49"/>
      <c r="B351" s="47"/>
      <c r="C351" s="47"/>
      <c r="D351" s="47"/>
      <c r="E351" s="47"/>
      <c r="F351" s="47"/>
      <c r="G351" s="47"/>
      <c r="M351" s="7"/>
      <c r="N351" s="7"/>
      <c r="U351" s="7"/>
      <c r="V351" s="7"/>
    </row>
    <row r="352" spans="1:22" x14ac:dyDescent="0.25">
      <c r="A352" s="49" t="s">
        <v>74</v>
      </c>
      <c r="B352" s="47"/>
      <c r="C352" s="47"/>
      <c r="D352" s="47"/>
      <c r="E352" s="47"/>
      <c r="F352" s="47"/>
      <c r="G352" s="47"/>
      <c r="M352" s="7"/>
      <c r="N352" s="7"/>
      <c r="U352" s="7"/>
      <c r="V352" s="7"/>
    </row>
    <row r="353" spans="1:22" x14ac:dyDescent="0.25">
      <c r="A353" s="49" t="s">
        <v>75</v>
      </c>
      <c r="B353" s="46">
        <v>0.83368759999999997</v>
      </c>
      <c r="C353" s="46">
        <v>3.8774900000000001E-2</v>
      </c>
      <c r="D353" s="46">
        <v>-3.91</v>
      </c>
      <c r="E353" s="46">
        <v>0</v>
      </c>
      <c r="F353" s="46">
        <v>0.76105109999999998</v>
      </c>
      <c r="G353" s="46">
        <v>0.91325659999999997</v>
      </c>
      <c r="M353" s="7"/>
      <c r="N353" s="9"/>
      <c r="U353" s="7"/>
      <c r="V353" s="7"/>
    </row>
    <row r="354" spans="1:22" x14ac:dyDescent="0.25">
      <c r="A354" s="49" t="s">
        <v>76</v>
      </c>
      <c r="B354" s="46">
        <v>0.63653139999999997</v>
      </c>
      <c r="C354" s="46">
        <v>4.4330899999999999E-2</v>
      </c>
      <c r="D354" s="46">
        <v>-6.49</v>
      </c>
      <c r="E354" s="46">
        <v>0</v>
      </c>
      <c r="F354" s="46">
        <v>0.55531359999999996</v>
      </c>
      <c r="G354" s="46">
        <v>0.72962780000000005</v>
      </c>
      <c r="M354" s="7"/>
      <c r="N354" s="9"/>
      <c r="U354" s="7"/>
      <c r="V354" s="9"/>
    </row>
    <row r="355" spans="1:22" x14ac:dyDescent="0.25">
      <c r="A355" s="49" t="s">
        <v>77</v>
      </c>
      <c r="B355" s="46">
        <v>0.52101459999999999</v>
      </c>
      <c r="C355" s="46">
        <v>4.02034E-2</v>
      </c>
      <c r="D355" s="46">
        <v>-8.4499999999999993</v>
      </c>
      <c r="E355" s="46">
        <v>0</v>
      </c>
      <c r="F355" s="46">
        <v>0.44788660000000002</v>
      </c>
      <c r="G355" s="46">
        <v>0.60608249999999997</v>
      </c>
      <c r="M355" s="7"/>
      <c r="N355" s="7"/>
    </row>
    <row r="356" spans="1:22" x14ac:dyDescent="0.25">
      <c r="A356" s="49" t="s">
        <v>78</v>
      </c>
      <c r="B356" s="46">
        <v>0.4848597</v>
      </c>
      <c r="C356" s="46">
        <v>4.2204899999999997E-2</v>
      </c>
      <c r="D356" s="46">
        <v>-8.32</v>
      </c>
      <c r="E356" s="46">
        <v>0</v>
      </c>
      <c r="F356" s="46">
        <v>0.40881109999999998</v>
      </c>
      <c r="G356" s="46">
        <v>0.57505519999999999</v>
      </c>
      <c r="M356" s="7"/>
      <c r="N356" s="7"/>
    </row>
    <row r="357" spans="1:22" x14ac:dyDescent="0.25">
      <c r="A357" s="49" t="s">
        <v>79</v>
      </c>
      <c r="B357" s="46">
        <v>0.34937299999999999</v>
      </c>
      <c r="C357" s="46">
        <v>3.3524699999999998E-2</v>
      </c>
      <c r="D357" s="46">
        <v>-10.96</v>
      </c>
      <c r="E357" s="46">
        <v>0</v>
      </c>
      <c r="F357" s="46">
        <v>0.28947479999999998</v>
      </c>
      <c r="G357" s="46">
        <v>0.42166520000000002</v>
      </c>
      <c r="M357" s="7"/>
      <c r="N357" s="7"/>
    </row>
    <row r="358" spans="1:22" x14ac:dyDescent="0.25">
      <c r="A358" s="49" t="s">
        <v>80</v>
      </c>
      <c r="B358" s="46">
        <v>0.43766840000000001</v>
      </c>
      <c r="C358" s="46">
        <v>5.3580799999999998E-2</v>
      </c>
      <c r="D358" s="46">
        <v>-6.75</v>
      </c>
      <c r="E358" s="46">
        <v>0</v>
      </c>
      <c r="F358" s="46">
        <v>0.34430100000000002</v>
      </c>
      <c r="G358" s="46">
        <v>0.55635520000000005</v>
      </c>
      <c r="M358" s="7"/>
      <c r="N358" s="7"/>
    </row>
    <row r="359" spans="1:22" x14ac:dyDescent="0.25">
      <c r="A359" s="49" t="s">
        <v>86</v>
      </c>
      <c r="B359" s="46">
        <v>0.28177089999999999</v>
      </c>
      <c r="C359" s="46">
        <v>4.7188800000000003E-2</v>
      </c>
      <c r="D359" s="46">
        <v>-7.56</v>
      </c>
      <c r="E359" s="46">
        <v>0</v>
      </c>
      <c r="F359" s="46">
        <v>0.20292879999999999</v>
      </c>
      <c r="G359" s="46">
        <v>0.39124490000000001</v>
      </c>
      <c r="M359" s="7"/>
      <c r="N359" s="7"/>
    </row>
    <row r="360" spans="1:22" x14ac:dyDescent="0.25">
      <c r="A360" s="49" t="s">
        <v>87</v>
      </c>
      <c r="B360" s="46">
        <v>0.19183900000000001</v>
      </c>
      <c r="C360" s="46">
        <v>4.17393E-2</v>
      </c>
      <c r="D360" s="46">
        <v>-7.59</v>
      </c>
      <c r="E360" s="46">
        <v>0</v>
      </c>
      <c r="F360" s="46">
        <v>0.12523819999999999</v>
      </c>
      <c r="G360" s="46">
        <v>0.2938576</v>
      </c>
      <c r="M360" s="7"/>
      <c r="N360" s="7"/>
    </row>
    <row r="361" spans="1:22" x14ac:dyDescent="0.25">
      <c r="A361" s="49" t="s">
        <v>88</v>
      </c>
      <c r="B361" s="46">
        <v>1.20351E-2</v>
      </c>
      <c r="C361" s="46">
        <v>1.21899E-2</v>
      </c>
      <c r="D361" s="46">
        <v>-4.3600000000000003</v>
      </c>
      <c r="E361" s="46">
        <v>0</v>
      </c>
      <c r="F361" s="46">
        <v>1.6531E-3</v>
      </c>
      <c r="G361" s="46">
        <v>8.7619600000000006E-2</v>
      </c>
      <c r="M361" s="7"/>
      <c r="N361" s="7"/>
    </row>
    <row r="362" spans="1:22" x14ac:dyDescent="0.25">
      <c r="A362" s="49"/>
      <c r="B362" s="47"/>
      <c r="C362" s="47"/>
      <c r="D362" s="47"/>
      <c r="E362" s="47"/>
      <c r="F362" s="47"/>
      <c r="G362" s="47"/>
      <c r="M362" s="7"/>
      <c r="N362" s="7"/>
    </row>
    <row r="363" spans="1:22" x14ac:dyDescent="0.25">
      <c r="A363" s="49" t="s">
        <v>108</v>
      </c>
      <c r="B363" s="47"/>
      <c r="C363" s="47"/>
      <c r="D363" s="47"/>
      <c r="E363" s="47"/>
      <c r="F363" s="47"/>
      <c r="G363" s="47"/>
    </row>
    <row r="364" spans="1:22" x14ac:dyDescent="0.25">
      <c r="A364" s="49">
        <v>2</v>
      </c>
      <c r="B364" s="46">
        <v>1.096754</v>
      </c>
      <c r="C364" s="46">
        <v>5.15322E-2</v>
      </c>
      <c r="D364" s="46">
        <v>1.97</v>
      </c>
      <c r="E364" s="46">
        <v>4.9000000000000002E-2</v>
      </c>
      <c r="F364" s="46">
        <v>1.0002629999999999</v>
      </c>
      <c r="G364" s="46">
        <v>1.2025520000000001</v>
      </c>
    </row>
    <row r="365" spans="1:22" x14ac:dyDescent="0.25">
      <c r="A365" s="49" t="s">
        <v>109</v>
      </c>
      <c r="B365" s="46">
        <v>1.493072</v>
      </c>
      <c r="C365" s="46">
        <v>0.1292066</v>
      </c>
      <c r="D365" s="46">
        <v>4.63</v>
      </c>
      <c r="E365" s="46">
        <v>0</v>
      </c>
      <c r="F365" s="46">
        <v>1.2601439999999999</v>
      </c>
      <c r="G365" s="46">
        <v>1.769056</v>
      </c>
    </row>
    <row r="366" spans="1:22" x14ac:dyDescent="0.25">
      <c r="A366" s="49"/>
      <c r="B366" s="47"/>
      <c r="C366" s="47"/>
      <c r="D366" s="47"/>
      <c r="E366" s="47"/>
      <c r="F366" s="47"/>
      <c r="G366" s="47"/>
    </row>
    <row r="367" spans="1:22" x14ac:dyDescent="0.25">
      <c r="A367" s="49" t="s">
        <v>85</v>
      </c>
      <c r="B367" s="47"/>
      <c r="C367" s="47"/>
      <c r="D367" s="47"/>
      <c r="E367" s="47"/>
      <c r="F367" s="47"/>
      <c r="G367" s="47"/>
    </row>
    <row r="368" spans="1:22" x14ac:dyDescent="0.25">
      <c r="A368" s="38" t="s">
        <v>315</v>
      </c>
      <c r="B368" s="46">
        <v>0.63156109999999999</v>
      </c>
      <c r="C368" s="46">
        <v>2.6262899999999999E-2</v>
      </c>
      <c r="D368" s="46">
        <v>-11.05</v>
      </c>
      <c r="E368" s="46">
        <v>0</v>
      </c>
      <c r="F368" s="46">
        <v>0.58212870000000005</v>
      </c>
      <c r="G368" s="46">
        <v>0.6851912</v>
      </c>
    </row>
    <row r="369" spans="1:7" x14ac:dyDescent="0.25">
      <c r="A369" s="38" t="s">
        <v>316</v>
      </c>
      <c r="B369" s="46">
        <v>0.36986439999999998</v>
      </c>
      <c r="C369" s="46">
        <v>2.53923E-2</v>
      </c>
      <c r="D369" s="46">
        <v>-14.49</v>
      </c>
      <c r="E369" s="46">
        <v>0</v>
      </c>
      <c r="F369" s="46">
        <v>0.32329950000000002</v>
      </c>
      <c r="G369" s="46">
        <v>0.42313600000000001</v>
      </c>
    </row>
    <row r="370" spans="1:7" x14ac:dyDescent="0.25">
      <c r="A370" s="38" t="s">
        <v>317</v>
      </c>
      <c r="B370" s="46">
        <v>0.34274349999999998</v>
      </c>
      <c r="C370" s="46">
        <v>2.47929E-2</v>
      </c>
      <c r="D370" s="46">
        <v>-14.8</v>
      </c>
      <c r="E370" s="46">
        <v>0</v>
      </c>
      <c r="F370" s="46">
        <v>0.29743789999999998</v>
      </c>
      <c r="G370" s="46">
        <v>0.39495000000000002</v>
      </c>
    </row>
    <row r="371" spans="1:7" x14ac:dyDescent="0.25">
      <c r="A371" s="38" t="s">
        <v>82</v>
      </c>
      <c r="B371" s="46">
        <v>0.57377440000000002</v>
      </c>
      <c r="C371" s="46">
        <v>4.12982E-2</v>
      </c>
      <c r="D371" s="46">
        <v>-7.72</v>
      </c>
      <c r="E371" s="46">
        <v>0</v>
      </c>
      <c r="F371" s="46">
        <v>0.49828149999999999</v>
      </c>
      <c r="G371" s="46">
        <v>0.66070499999999999</v>
      </c>
    </row>
    <row r="372" spans="1:7" x14ac:dyDescent="0.25">
      <c r="A372" s="49"/>
      <c r="B372" s="47"/>
      <c r="C372" s="47"/>
      <c r="D372" s="47"/>
      <c r="E372" s="47"/>
      <c r="F372" s="47"/>
      <c r="G372" s="47"/>
    </row>
    <row r="373" spans="1:7" x14ac:dyDescent="0.25">
      <c r="A373" s="49" t="s">
        <v>104</v>
      </c>
      <c r="B373" s="47"/>
      <c r="C373" s="47"/>
      <c r="D373" s="47"/>
      <c r="E373" s="47"/>
      <c r="F373" s="47"/>
      <c r="G373" s="47"/>
    </row>
    <row r="374" spans="1:7" x14ac:dyDescent="0.25">
      <c r="A374" s="49" t="s">
        <v>154</v>
      </c>
      <c r="B374" s="46">
        <v>0.08</v>
      </c>
      <c r="C374" s="46">
        <v>6.1520699999999998E-2</v>
      </c>
      <c r="D374" s="46">
        <v>-3.28</v>
      </c>
      <c r="E374" s="46">
        <v>1E-3</v>
      </c>
      <c r="F374" s="46">
        <f>B374-0.0177218</f>
        <v>6.2278200000000006E-2</v>
      </c>
      <c r="G374" s="46">
        <f>0.3611368-B374</f>
        <v>0.28113679999999996</v>
      </c>
    </row>
    <row r="375" spans="1:7" x14ac:dyDescent="0.25">
      <c r="A375" s="49" t="s">
        <v>155</v>
      </c>
      <c r="B375" s="46">
        <v>0.36534430000000001</v>
      </c>
      <c r="C375" s="46">
        <v>0.18333289999999999</v>
      </c>
      <c r="D375" s="46">
        <v>-2.0099999999999998</v>
      </c>
      <c r="E375" s="46">
        <v>4.4999999999999998E-2</v>
      </c>
      <c r="F375" s="46">
        <f>B375-0.136635</f>
        <v>0.2287093</v>
      </c>
      <c r="G375" s="46">
        <f>0.9768832-B375</f>
        <v>0.6115389</v>
      </c>
    </row>
    <row r="376" spans="1:7" x14ac:dyDescent="0.25">
      <c r="A376" s="49" t="s">
        <v>156</v>
      </c>
      <c r="B376" s="46">
        <v>0.24</v>
      </c>
      <c r="C376" s="46">
        <v>0.1218914</v>
      </c>
      <c r="D376" s="46">
        <v>-2.81</v>
      </c>
      <c r="E376" s="46">
        <v>5.0000000000000001E-3</v>
      </c>
      <c r="F376" s="46">
        <f>B376-0.0886956</f>
        <v>0.15130440000000001</v>
      </c>
      <c r="G376" s="46">
        <f>0.6494119-B376</f>
        <v>0.40941190000000005</v>
      </c>
    </row>
    <row r="377" spans="1:7" x14ac:dyDescent="0.25">
      <c r="A377" s="49" t="s">
        <v>157</v>
      </c>
      <c r="B377" s="46">
        <v>0.2435629</v>
      </c>
      <c r="C377" s="46">
        <v>0.14251810000000001</v>
      </c>
      <c r="D377" s="46">
        <v>-2.41</v>
      </c>
      <c r="E377" s="46">
        <v>1.6E-2</v>
      </c>
      <c r="F377" s="46">
        <f>B377-0.0773642</f>
        <v>0.1661987</v>
      </c>
      <c r="G377" s="46">
        <f>0.7667999-B377</f>
        <v>0.52323699999999995</v>
      </c>
    </row>
    <row r="378" spans="1:7" x14ac:dyDescent="0.25">
      <c r="A378" s="49" t="s">
        <v>158</v>
      </c>
      <c r="B378" s="46">
        <v>0.08</v>
      </c>
      <c r="C378" s="46">
        <v>6.1520699999999998E-2</v>
      </c>
      <c r="D378" s="46">
        <v>-3.28</v>
      </c>
      <c r="E378" s="46">
        <v>1E-3</v>
      </c>
      <c r="F378" s="46">
        <f>B378-0.0177218</f>
        <v>6.2278200000000006E-2</v>
      </c>
      <c r="G378" s="46">
        <f>0.3611368-B378</f>
        <v>0.28113679999999996</v>
      </c>
    </row>
    <row r="379" spans="1:7" x14ac:dyDescent="0.25">
      <c r="A379" s="49" t="s">
        <v>159</v>
      </c>
      <c r="B379" s="46">
        <v>0.30445359999999999</v>
      </c>
      <c r="C379" s="46">
        <v>0.1649794</v>
      </c>
      <c r="D379" s="46">
        <v>-2.19</v>
      </c>
      <c r="E379" s="46">
        <v>2.8000000000000001E-2</v>
      </c>
      <c r="F379" s="46">
        <f>B379-0.1052607</f>
        <v>0.19919290000000001</v>
      </c>
      <c r="G379" s="46">
        <f>0.8805947-B379</f>
        <v>0.57614109999999996</v>
      </c>
    </row>
    <row r="380" spans="1:7" x14ac:dyDescent="0.25">
      <c r="A380" s="49" t="s">
        <v>160</v>
      </c>
      <c r="B380" s="46">
        <v>0.2</v>
      </c>
      <c r="C380" s="46">
        <v>0.10794189999999999</v>
      </c>
      <c r="D380" s="46">
        <v>-2.98</v>
      </c>
      <c r="E380" s="46">
        <v>3.0000000000000001E-3</v>
      </c>
      <c r="F380" s="46">
        <f>B380-0.069443</f>
        <v>0.13055700000000001</v>
      </c>
      <c r="G380" s="46">
        <f>0.5760119-B380</f>
        <v>0.37601190000000001</v>
      </c>
    </row>
    <row r="381" spans="1:7" x14ac:dyDescent="0.25">
      <c r="A381" s="49" t="s">
        <v>161</v>
      </c>
      <c r="B381" s="46">
        <v>0.42623499999999998</v>
      </c>
      <c r="C381" s="46">
        <v>0.2064349</v>
      </c>
      <c r="D381" s="46">
        <v>-1.76</v>
      </c>
      <c r="E381" s="46">
        <v>7.8E-2</v>
      </c>
      <c r="F381" s="46">
        <f>B381-0.1649657</f>
        <v>0.26126929999999998</v>
      </c>
      <c r="G381" s="46">
        <f>1.101297-B381</f>
        <v>0.67506200000000005</v>
      </c>
    </row>
    <row r="382" spans="1:7" x14ac:dyDescent="0.25">
      <c r="A382" s="49" t="s">
        <v>189</v>
      </c>
      <c r="B382" s="46">
        <v>0.2</v>
      </c>
      <c r="C382" s="46">
        <v>0.10794189999999999</v>
      </c>
      <c r="D382" s="46">
        <v>-2.98</v>
      </c>
      <c r="E382" s="46">
        <v>3.0000000000000001E-3</v>
      </c>
      <c r="F382" s="46">
        <f>B382-0.069443</f>
        <v>0.13055700000000001</v>
      </c>
      <c r="G382" s="46">
        <f>0.5760119-B382</f>
        <v>0.37601190000000001</v>
      </c>
    </row>
    <row r="383" spans="1:7" x14ac:dyDescent="0.25">
      <c r="A383" s="49" t="s">
        <v>162</v>
      </c>
      <c r="B383" s="46">
        <v>1.1569240000000001</v>
      </c>
      <c r="C383" s="46">
        <v>0.44465589999999999</v>
      </c>
      <c r="D383" s="46">
        <v>0.38</v>
      </c>
      <c r="E383" s="46">
        <v>0.70399999999999996</v>
      </c>
      <c r="F383" s="46">
        <f>B383-0.544692</f>
        <v>0.61223200000000011</v>
      </c>
      <c r="G383" s="46">
        <f>2.457301-B383</f>
        <v>1.3003770000000001</v>
      </c>
    </row>
    <row r="384" spans="1:7" x14ac:dyDescent="0.25">
      <c r="A384" s="49" t="s">
        <v>163</v>
      </c>
      <c r="B384" s="46">
        <v>1</v>
      </c>
      <c r="C384" s="46"/>
      <c r="D384" s="46"/>
      <c r="E384" s="46"/>
      <c r="F384" s="46">
        <v>0</v>
      </c>
      <c r="G384" s="46">
        <v>0</v>
      </c>
    </row>
    <row r="385" spans="1:7" x14ac:dyDescent="0.25">
      <c r="A385" s="49" t="s">
        <v>164</v>
      </c>
      <c r="B385" s="46">
        <v>1.339596</v>
      </c>
      <c r="C385" s="46">
        <v>0.4917975</v>
      </c>
      <c r="D385" s="46">
        <v>0.8</v>
      </c>
      <c r="E385" s="46">
        <v>0.42599999999999999</v>
      </c>
      <c r="F385" s="46">
        <f>B385-0.6523451</f>
        <v>0.6872509</v>
      </c>
      <c r="G385" s="46">
        <f>2.75087-B385</f>
        <v>1.4112739999999999</v>
      </c>
    </row>
    <row r="386" spans="1:7" x14ac:dyDescent="0.25">
      <c r="A386" s="49" t="s">
        <v>165</v>
      </c>
      <c r="B386" s="46">
        <v>0.68</v>
      </c>
      <c r="C386" s="46">
        <v>0.2634225</v>
      </c>
      <c r="D386" s="46">
        <v>-1</v>
      </c>
      <c r="E386" s="46">
        <v>0.31900000000000001</v>
      </c>
      <c r="F386" s="46">
        <f>B386-0.3182477</f>
        <v>0.36175230000000003</v>
      </c>
      <c r="G386" s="46">
        <f>1.452956-B386</f>
        <v>0.77295599999999987</v>
      </c>
    </row>
    <row r="387" spans="1:7" x14ac:dyDescent="0.25">
      <c r="A387" s="49" t="s">
        <v>166</v>
      </c>
      <c r="B387" s="46">
        <v>1.278705</v>
      </c>
      <c r="C387" s="46">
        <v>0.47805730000000002</v>
      </c>
      <c r="D387" s="46">
        <v>0.66</v>
      </c>
      <c r="E387" s="46">
        <v>0.51100000000000001</v>
      </c>
      <c r="F387" s="46">
        <f>B387-0.6145252</f>
        <v>0.66417979999999999</v>
      </c>
      <c r="G387" s="46">
        <f>2.660731-B387</f>
        <v>1.3820260000000002</v>
      </c>
    </row>
    <row r="388" spans="1:7" x14ac:dyDescent="0.25">
      <c r="A388" s="49" t="s">
        <v>167</v>
      </c>
      <c r="B388" s="46">
        <v>0.64</v>
      </c>
      <c r="C388" s="46">
        <v>0.25094650000000002</v>
      </c>
      <c r="D388" s="46">
        <v>-1.1399999999999999</v>
      </c>
      <c r="E388" s="46">
        <v>0.255</v>
      </c>
      <c r="F388" s="46">
        <f>B388-0.2967704</f>
        <v>0.34322960000000002</v>
      </c>
      <c r="G388" s="46">
        <f>1.380192-B388</f>
        <v>0.74019200000000007</v>
      </c>
    </row>
    <row r="389" spans="1:7" x14ac:dyDescent="0.25">
      <c r="A389" s="49" t="s">
        <v>168</v>
      </c>
      <c r="B389" s="46">
        <v>0.97425139999999999</v>
      </c>
      <c r="C389" s="46">
        <v>0.38916499999999998</v>
      </c>
      <c r="D389" s="46">
        <v>-7.0000000000000007E-2</v>
      </c>
      <c r="E389" s="46">
        <v>0.94799999999999995</v>
      </c>
      <c r="F389" s="46">
        <f>B389-0.4453058</f>
        <v>0.52894560000000002</v>
      </c>
      <c r="G389" s="46">
        <f>2.131492-B389</f>
        <v>1.1572406000000002</v>
      </c>
    </row>
    <row r="390" spans="1:7" x14ac:dyDescent="0.25">
      <c r="A390" s="49" t="s">
        <v>169</v>
      </c>
      <c r="B390" s="46">
        <v>0.6</v>
      </c>
      <c r="C390" s="46">
        <v>0.2384299</v>
      </c>
      <c r="D390" s="46">
        <v>-1.29</v>
      </c>
      <c r="E390" s="46">
        <v>0.19900000000000001</v>
      </c>
      <c r="F390" s="46">
        <f>B390-0.2753582</f>
        <v>0.32464179999999998</v>
      </c>
      <c r="G390" s="46">
        <f>1.307388-B390</f>
        <v>0.70738800000000002</v>
      </c>
    </row>
    <row r="391" spans="1:7" x14ac:dyDescent="0.25">
      <c r="A391" s="49" t="s">
        <v>170</v>
      </c>
      <c r="B391" s="46">
        <v>1.278705</v>
      </c>
      <c r="C391" s="46">
        <v>0.47842309999999999</v>
      </c>
      <c r="D391" s="46">
        <v>0.66</v>
      </c>
      <c r="E391" s="46">
        <v>0.51100000000000001</v>
      </c>
      <c r="F391" s="46">
        <f>B391-0.6141808</f>
        <v>0.66452420000000001</v>
      </c>
      <c r="G391" s="46">
        <f>2.662223-B391</f>
        <v>1.383518</v>
      </c>
    </row>
    <row r="392" spans="1:7" x14ac:dyDescent="0.25">
      <c r="A392" s="49" t="s">
        <v>171</v>
      </c>
      <c r="B392" s="46">
        <v>0.89722100000000005</v>
      </c>
      <c r="C392" s="46">
        <v>0.28507179999999999</v>
      </c>
      <c r="D392" s="46">
        <v>-0.34</v>
      </c>
      <c r="E392" s="46">
        <v>0.73299999999999998</v>
      </c>
      <c r="F392" s="46">
        <f>B392-0.4813371</f>
        <v>0.41588390000000003</v>
      </c>
      <c r="G392" s="46">
        <f>1.672436-B392</f>
        <v>0.77521499999999999</v>
      </c>
    </row>
    <row r="393" spans="1:7" x14ac:dyDescent="0.25">
      <c r="A393" s="49" t="s">
        <v>172</v>
      </c>
      <c r="B393" s="46">
        <v>1.237819</v>
      </c>
      <c r="C393" s="46">
        <v>0.39010719999999999</v>
      </c>
      <c r="D393" s="46">
        <v>0.68</v>
      </c>
      <c r="E393" s="46">
        <v>0.498</v>
      </c>
      <c r="F393" s="46">
        <f>B393-0.6674133</f>
        <v>0.57040570000000002</v>
      </c>
      <c r="G393" s="46">
        <f>2.295721-B393</f>
        <v>1.0579019999999999</v>
      </c>
    </row>
    <row r="394" spans="1:7" x14ac:dyDescent="0.25">
      <c r="A394" s="49" t="s">
        <v>173</v>
      </c>
      <c r="B394" s="46">
        <v>0.38198520000000002</v>
      </c>
      <c r="C394" s="46">
        <v>0.12898860000000001</v>
      </c>
      <c r="D394" s="46">
        <v>-2.85</v>
      </c>
      <c r="E394" s="46">
        <v>4.0000000000000001E-3</v>
      </c>
      <c r="F394" s="46">
        <f>B394-0.1970667</f>
        <v>0.18491850000000001</v>
      </c>
      <c r="G394" s="46">
        <f>0.740423-B394</f>
        <v>0.35843780000000003</v>
      </c>
    </row>
    <row r="395" spans="1:7" x14ac:dyDescent="0.25">
      <c r="A395" s="49" t="s">
        <v>174</v>
      </c>
      <c r="B395" s="46">
        <v>0.62916740000000004</v>
      </c>
      <c r="C395" s="46">
        <v>0.20353740000000001</v>
      </c>
      <c r="D395" s="46">
        <v>-1.43</v>
      </c>
      <c r="E395" s="46">
        <v>0.152</v>
      </c>
      <c r="F395" s="46">
        <f>B395-0.3337338</f>
        <v>0.29543360000000002</v>
      </c>
      <c r="G395" s="46">
        <f>1.18613-B395</f>
        <v>0.55696259999999986</v>
      </c>
    </row>
    <row r="396" spans="1:7" x14ac:dyDescent="0.25">
      <c r="A396" s="49" t="s">
        <v>175</v>
      </c>
      <c r="B396" s="46">
        <v>0.20431769999999999</v>
      </c>
      <c r="C396" s="46">
        <v>7.4758000000000005E-2</v>
      </c>
      <c r="D396" s="46">
        <v>-4.34</v>
      </c>
      <c r="E396" s="46">
        <v>0</v>
      </c>
      <c r="F396" s="46">
        <f>B396-0.0997376</f>
        <v>0.1045801</v>
      </c>
      <c r="G396" s="46">
        <f>0.4185554-B396</f>
        <v>0.21423770000000003</v>
      </c>
    </row>
    <row r="397" spans="1:7" x14ac:dyDescent="0.25">
      <c r="A397" s="49" t="s">
        <v>176</v>
      </c>
      <c r="B397" s="46">
        <v>0.22567960000000001</v>
      </c>
      <c r="C397" s="46">
        <v>7.9504599999999995E-2</v>
      </c>
      <c r="D397" s="46">
        <v>-4.2300000000000004</v>
      </c>
      <c r="E397" s="46">
        <v>0</v>
      </c>
      <c r="F397" s="46">
        <f>B397-0.1131418</f>
        <v>0.11253780000000001</v>
      </c>
      <c r="G397" s="46">
        <f>0.4501547-B397</f>
        <v>0.22447510000000001</v>
      </c>
    </row>
    <row r="398" spans="1:7" x14ac:dyDescent="0.25">
      <c r="A398" s="49" t="s">
        <v>177</v>
      </c>
      <c r="B398" s="46">
        <v>0.2309678</v>
      </c>
      <c r="C398" s="46">
        <v>8.3036600000000002E-2</v>
      </c>
      <c r="D398" s="46">
        <v>-4.08</v>
      </c>
      <c r="E398" s="46">
        <v>0</v>
      </c>
      <c r="F398" s="46">
        <f>B398-0.1141645</f>
        <v>0.1168033</v>
      </c>
      <c r="G398" s="46">
        <f>0.4672742-B398</f>
        <v>0.23630639999999997</v>
      </c>
    </row>
    <row r="399" spans="1:7" x14ac:dyDescent="0.25">
      <c r="A399" s="49" t="s">
        <v>178</v>
      </c>
      <c r="B399" s="46">
        <v>0.30774489999999999</v>
      </c>
      <c r="C399" s="46">
        <v>0.1047255</v>
      </c>
      <c r="D399" s="46">
        <v>-3.46</v>
      </c>
      <c r="E399" s="46">
        <v>1E-3</v>
      </c>
      <c r="F399" s="46">
        <f>B399-0.1579528</f>
        <v>0.14979209999999998</v>
      </c>
      <c r="G399" s="46">
        <f>0.5995903-B399</f>
        <v>0.29184540000000003</v>
      </c>
    </row>
    <row r="400" spans="1:7" x14ac:dyDescent="0.25">
      <c r="A400" s="49" t="s">
        <v>179</v>
      </c>
      <c r="B400" s="46">
        <v>0.96828809999999998</v>
      </c>
      <c r="C400" s="46">
        <v>0.3075331</v>
      </c>
      <c r="D400" s="46">
        <v>-0.1</v>
      </c>
      <c r="E400" s="46">
        <v>0.91900000000000004</v>
      </c>
      <c r="F400" s="46">
        <f>B400-0.5195876</f>
        <v>0.44870049999999995</v>
      </c>
      <c r="G400" s="46">
        <f>1.804473-B400</f>
        <v>0.83618490000000001</v>
      </c>
    </row>
    <row r="401" spans="1:7" x14ac:dyDescent="0.25">
      <c r="A401" s="49" t="s">
        <v>180</v>
      </c>
      <c r="B401" s="46">
        <v>2.1610529999999999</v>
      </c>
      <c r="C401" s="46">
        <v>0.67649959999999998</v>
      </c>
      <c r="D401" s="46">
        <v>2.46</v>
      </c>
      <c r="E401" s="46">
        <v>1.4E-2</v>
      </c>
      <c r="F401" s="46">
        <f>B401-1.170049</f>
        <v>0.991004</v>
      </c>
      <c r="G401" s="46">
        <f>3.991416-B401</f>
        <v>1.8303630000000002</v>
      </c>
    </row>
    <row r="402" spans="1:7" x14ac:dyDescent="0.25">
      <c r="A402" s="49" t="s">
        <v>181</v>
      </c>
      <c r="B402" s="46">
        <v>1.1548389999999999</v>
      </c>
      <c r="C402" s="46">
        <v>0.3653708</v>
      </c>
      <c r="D402" s="46">
        <v>0.46</v>
      </c>
      <c r="E402" s="46">
        <v>0.64900000000000002</v>
      </c>
      <c r="F402" s="46">
        <f>B402-0.6211782</f>
        <v>0.53366079999999994</v>
      </c>
      <c r="G402" s="46">
        <f>2.146973-B402</f>
        <v>0.99213400000000007</v>
      </c>
    </row>
    <row r="403" spans="1:7" x14ac:dyDescent="0.25">
      <c r="A403" s="49" t="s">
        <v>182</v>
      </c>
      <c r="B403" s="46">
        <v>1.73021</v>
      </c>
      <c r="C403" s="46">
        <v>0.54408440000000002</v>
      </c>
      <c r="D403" s="46">
        <v>1.74</v>
      </c>
      <c r="E403" s="46">
        <v>8.1000000000000003E-2</v>
      </c>
      <c r="F403" s="46">
        <f>B403-0.9341764</f>
        <v>0.79603360000000001</v>
      </c>
      <c r="G403" s="46">
        <f>3.204564-B403</f>
        <v>1.4743539999999999</v>
      </c>
    </row>
    <row r="404" spans="1:7" x14ac:dyDescent="0.25">
      <c r="A404" s="49" t="s">
        <v>183</v>
      </c>
      <c r="B404" s="46">
        <v>0.60406959999999998</v>
      </c>
      <c r="C404" s="46">
        <v>0.19558909999999999</v>
      </c>
      <c r="D404" s="46">
        <v>-1.56</v>
      </c>
      <c r="E404" s="46">
        <v>0.12</v>
      </c>
      <c r="F404" s="46">
        <f>B404-0.3202433</f>
        <v>0.28382629999999998</v>
      </c>
      <c r="G404" s="46">
        <f>1.139447-B404</f>
        <v>0.53537740000000011</v>
      </c>
    </row>
    <row r="405" spans="1:7" x14ac:dyDescent="0.25">
      <c r="A405" s="49" t="s">
        <v>184</v>
      </c>
      <c r="B405" s="46">
        <v>0.74542660000000005</v>
      </c>
      <c r="C405" s="46">
        <v>0.2395022</v>
      </c>
      <c r="D405" s="46">
        <v>-0.91</v>
      </c>
      <c r="E405" s="46">
        <v>0.36</v>
      </c>
      <c r="F405" s="46">
        <f>B405-0.3971162</f>
        <v>0.34831040000000008</v>
      </c>
      <c r="G405" s="46">
        <f>1.39924-B405</f>
        <v>0.65381339999999999</v>
      </c>
    </row>
    <row r="406" spans="1:7" x14ac:dyDescent="0.25">
      <c r="A406" s="49" t="s">
        <v>185</v>
      </c>
      <c r="B406" s="46">
        <v>0.31980160000000002</v>
      </c>
      <c r="C406" s="46">
        <v>0.10970299999999999</v>
      </c>
      <c r="D406" s="46">
        <v>-3.32</v>
      </c>
      <c r="E406" s="46">
        <v>1E-3</v>
      </c>
      <c r="F406" s="46">
        <f>B406-0.1632634</f>
        <v>0.15653820000000002</v>
      </c>
      <c r="G406" s="46">
        <f>0.6264295-B406</f>
        <v>0.30662789999999995</v>
      </c>
    </row>
    <row r="407" spans="1:7" x14ac:dyDescent="0.25">
      <c r="A407" s="49" t="s">
        <v>186</v>
      </c>
      <c r="B407" s="46">
        <v>0.42400409999999999</v>
      </c>
      <c r="C407" s="46">
        <v>0.14186579999999999</v>
      </c>
      <c r="D407" s="46">
        <v>-2.56</v>
      </c>
      <c r="E407" s="46">
        <v>0.01</v>
      </c>
      <c r="F407" s="46">
        <f>B407-0.2200747</f>
        <v>0.20392939999999998</v>
      </c>
      <c r="G407" s="46">
        <f>0.8169022-B407</f>
        <v>0.39289810000000003</v>
      </c>
    </row>
    <row r="408" spans="1:7" x14ac:dyDescent="0.25">
      <c r="A408" s="49" t="s">
        <v>187</v>
      </c>
      <c r="B408" s="46">
        <v>0.50635249999999998</v>
      </c>
      <c r="C408" s="46">
        <v>0.1670741</v>
      </c>
      <c r="D408" s="46">
        <v>-2.06</v>
      </c>
      <c r="E408" s="46">
        <v>3.9E-2</v>
      </c>
      <c r="F408" s="46">
        <f>B408-0.2652123</f>
        <v>0.24114019999999997</v>
      </c>
      <c r="G408" s="46">
        <f>0.9667455-B408</f>
        <v>0.46039300000000005</v>
      </c>
    </row>
    <row r="409" spans="1:7" x14ac:dyDescent="0.25">
      <c r="A409" s="49" t="s">
        <v>188</v>
      </c>
      <c r="B409" s="46">
        <v>0.54710210000000004</v>
      </c>
      <c r="C409" s="46">
        <v>0.1785939</v>
      </c>
      <c r="D409" s="46">
        <v>-1.85</v>
      </c>
      <c r="E409" s="46">
        <v>6.5000000000000002E-2</v>
      </c>
      <c r="F409" s="46">
        <f>B409-0.2885396</f>
        <v>0.25856250000000003</v>
      </c>
      <c r="G409" s="46">
        <f>1.037364-B409</f>
        <v>0.49026189999999992</v>
      </c>
    </row>
    <row r="410" spans="1:7" x14ac:dyDescent="0.25">
      <c r="A410" s="49" t="s">
        <v>273</v>
      </c>
      <c r="B410" s="46">
        <v>2.9863279999999999</v>
      </c>
      <c r="C410" s="46">
        <v>0.92245639999999995</v>
      </c>
      <c r="D410" s="46">
        <v>3.54</v>
      </c>
      <c r="E410" s="46">
        <v>0</v>
      </c>
      <c r="F410" s="46">
        <f>B410-1.630073</f>
        <v>1.3562549999999998</v>
      </c>
      <c r="G410" s="46">
        <f>5.471015-B410</f>
        <v>2.4846870000000005</v>
      </c>
    </row>
    <row r="411" spans="1:7" x14ac:dyDescent="0.25">
      <c r="A411" s="49" t="s">
        <v>274</v>
      </c>
      <c r="B411" s="46">
        <v>2.3899469999999998</v>
      </c>
      <c r="C411" s="46">
        <v>0.75085100000000005</v>
      </c>
      <c r="D411" s="46">
        <v>2.77</v>
      </c>
      <c r="E411" s="46">
        <v>6.0000000000000001E-3</v>
      </c>
      <c r="F411" s="46">
        <f>B411-1.291117</f>
        <v>1.0988299999999998</v>
      </c>
      <c r="G411" s="46">
        <f>4.423955-B411</f>
        <v>2.0340080000000005</v>
      </c>
    </row>
    <row r="412" spans="1:7" x14ac:dyDescent="0.25">
      <c r="A412" s="49" t="s">
        <v>275</v>
      </c>
      <c r="B412" s="46">
        <v>0.25106299999999998</v>
      </c>
      <c r="C412" s="46">
        <v>9.4785499999999995E-2</v>
      </c>
      <c r="D412" s="46">
        <v>-3.66</v>
      </c>
      <c r="E412" s="46">
        <v>0</v>
      </c>
      <c r="F412" s="46">
        <f>B412-0.1197906</f>
        <v>0.13127239999999998</v>
      </c>
      <c r="G412" s="46">
        <f>0.5261899-B412</f>
        <v>0.27512690000000001</v>
      </c>
    </row>
    <row r="413" spans="1:7" x14ac:dyDescent="0.25">
      <c r="A413" s="49" t="s">
        <v>276</v>
      </c>
      <c r="B413" s="46">
        <v>0.33302540000000003</v>
      </c>
      <c r="C413" s="46">
        <v>0.11721330000000001</v>
      </c>
      <c r="D413" s="46">
        <v>-3.12</v>
      </c>
      <c r="E413" s="46">
        <v>2E-3</v>
      </c>
      <c r="F413" s="46">
        <f>B413-0.1670644</f>
        <v>0.16596100000000003</v>
      </c>
      <c r="G413" s="46">
        <f>0.6638511-B413</f>
        <v>0.3308257</v>
      </c>
    </row>
    <row r="414" spans="1:7" x14ac:dyDescent="0.25">
      <c r="A414" s="49" t="s">
        <v>277</v>
      </c>
      <c r="B414" s="46">
        <v>9.2496900000000007E-2</v>
      </c>
      <c r="C414" s="46">
        <v>4.4629200000000001E-2</v>
      </c>
      <c r="D414" s="46">
        <v>-4.93</v>
      </c>
      <c r="E414" s="46">
        <v>0</v>
      </c>
      <c r="F414" s="46">
        <f>B414-0.0359275</f>
        <v>5.6569400000000006E-2</v>
      </c>
      <c r="G414" s="46">
        <f>0.2381369-B414</f>
        <v>0.14563999999999999</v>
      </c>
    </row>
    <row r="415" spans="1:7" x14ac:dyDescent="0.25">
      <c r="A415" s="49" t="s">
        <v>278</v>
      </c>
      <c r="B415" s="46">
        <v>0.10774350000000001</v>
      </c>
      <c r="C415" s="46">
        <v>4.6339100000000001E-2</v>
      </c>
      <c r="D415" s="46">
        <v>-5.18</v>
      </c>
      <c r="E415" s="46">
        <v>0</v>
      </c>
      <c r="F415" s="46">
        <f>B415-0.0463767</f>
        <v>6.1366800000000006E-2</v>
      </c>
      <c r="G415" s="46">
        <f>0.2503123-B415</f>
        <v>0.1425688</v>
      </c>
    </row>
    <row r="416" spans="1:7" x14ac:dyDescent="0.25">
      <c r="A416" s="49" t="s">
        <v>279</v>
      </c>
      <c r="B416" s="46">
        <v>6.6069199999999995E-2</v>
      </c>
      <c r="C416" s="46">
        <v>3.55614E-2</v>
      </c>
      <c r="D416" s="46">
        <v>-5.05</v>
      </c>
      <c r="E416" s="46">
        <v>0</v>
      </c>
      <c r="F416" s="46">
        <f>B416-0.0230062</f>
        <v>4.306299999999999E-2</v>
      </c>
      <c r="G416" s="46">
        <f>0.1897375-B416</f>
        <v>0.12366830000000001</v>
      </c>
    </row>
    <row r="417" spans="1:22" x14ac:dyDescent="0.25">
      <c r="A417" s="49" t="s">
        <v>280</v>
      </c>
      <c r="B417" s="46">
        <v>0.15671779999999999</v>
      </c>
      <c r="C417" s="46">
        <v>6.21267E-2</v>
      </c>
      <c r="D417" s="46">
        <v>-4.68</v>
      </c>
      <c r="E417" s="46">
        <v>0</v>
      </c>
      <c r="F417" s="46">
        <f>B417-0.0720579</f>
        <v>8.4659899999999996E-2</v>
      </c>
      <c r="G417" s="46">
        <f>0.3408435-B417</f>
        <v>0.18412570000000003</v>
      </c>
    </row>
    <row r="418" spans="1:22" x14ac:dyDescent="0.25">
      <c r="A418" s="49" t="s">
        <v>281</v>
      </c>
      <c r="B418" s="46">
        <v>1.096749</v>
      </c>
      <c r="C418" s="46">
        <v>0.36113079999999997</v>
      </c>
      <c r="D418" s="46">
        <v>0.28000000000000003</v>
      </c>
      <c r="E418" s="46">
        <v>0.77900000000000003</v>
      </c>
      <c r="F418" s="46">
        <f>B418-0.575213</f>
        <v>0.521536</v>
      </c>
      <c r="G418" s="46">
        <f>2.091152-B418</f>
        <v>0.99440300000000015</v>
      </c>
    </row>
    <row r="419" spans="1:22" x14ac:dyDescent="0.25">
      <c r="A419" s="49" t="s">
        <v>282</v>
      </c>
      <c r="B419" s="46">
        <v>2.5956389999999998</v>
      </c>
      <c r="C419" s="46">
        <v>0.81952400000000003</v>
      </c>
      <c r="D419" s="46">
        <v>3.02</v>
      </c>
      <c r="E419" s="46">
        <v>3.0000000000000001E-3</v>
      </c>
      <c r="F419" s="46">
        <f>B419-1.397956</f>
        <v>1.1976829999999998</v>
      </c>
      <c r="G419" s="46">
        <f>4.819424-B419</f>
        <v>2.2237849999999999</v>
      </c>
    </row>
    <row r="420" spans="1:22" x14ac:dyDescent="0.25">
      <c r="A420" s="49" t="s">
        <v>283</v>
      </c>
      <c r="B420" s="46">
        <v>1.1496040000000001</v>
      </c>
      <c r="C420" s="46">
        <v>0.37078630000000001</v>
      </c>
      <c r="D420" s="46">
        <v>0.43</v>
      </c>
      <c r="E420" s="46">
        <v>0.66600000000000004</v>
      </c>
      <c r="F420" s="46">
        <f>B420-0.6109518</f>
        <v>0.53865220000000003</v>
      </c>
      <c r="G420" s="46">
        <f>2.163165-B420</f>
        <v>1.0135609999999997</v>
      </c>
    </row>
    <row r="421" spans="1:22" x14ac:dyDescent="0.25">
      <c r="A421" s="49" t="s">
        <v>284</v>
      </c>
      <c r="B421" s="46">
        <v>2.5760489999999998</v>
      </c>
      <c r="C421" s="46">
        <v>0.8143338</v>
      </c>
      <c r="D421" s="46">
        <v>2.99</v>
      </c>
      <c r="E421" s="46">
        <v>3.0000000000000001E-3</v>
      </c>
      <c r="F421" s="46">
        <f>B421-1.386355</f>
        <v>1.1896939999999998</v>
      </c>
      <c r="G421" s="46">
        <f>4.786673-B421</f>
        <v>2.2106240000000006</v>
      </c>
    </row>
    <row r="422" spans="1:22" x14ac:dyDescent="0.25">
      <c r="A422" s="49" t="s">
        <v>285</v>
      </c>
      <c r="B422" s="46">
        <v>0.19820760000000001</v>
      </c>
      <c r="C422" s="46">
        <v>7.8263100000000002E-2</v>
      </c>
      <c r="D422" s="46">
        <v>-4.0999999999999996</v>
      </c>
      <c r="E422" s="46">
        <v>0</v>
      </c>
      <c r="F422" s="46">
        <f>B422-0.0914155</f>
        <v>0.10679210000000001</v>
      </c>
      <c r="G422" s="46">
        <f>0.4297548-B422</f>
        <v>0.23154719999999998</v>
      </c>
    </row>
    <row r="423" spans="1:22" x14ac:dyDescent="0.25">
      <c r="A423" s="49" t="s">
        <v>286</v>
      </c>
      <c r="B423" s="46">
        <v>0.4701535</v>
      </c>
      <c r="C423" s="46">
        <v>0.16058020000000001</v>
      </c>
      <c r="D423" s="46">
        <v>-2.21</v>
      </c>
      <c r="E423" s="46">
        <v>2.7E-2</v>
      </c>
      <c r="F423" s="46">
        <f>B423-0.2407205</f>
        <v>0.229433</v>
      </c>
      <c r="G423" s="46">
        <f>0.918261-B423</f>
        <v>0.44810749999999999</v>
      </c>
    </row>
    <row r="424" spans="1:22" x14ac:dyDescent="0.25">
      <c r="A424" s="49" t="s">
        <v>287</v>
      </c>
      <c r="B424" s="46">
        <v>0.14535219999999999</v>
      </c>
      <c r="C424" s="46">
        <v>6.1534400000000003E-2</v>
      </c>
      <c r="D424" s="46">
        <v>-4.5599999999999996</v>
      </c>
      <c r="E424" s="46">
        <v>0</v>
      </c>
      <c r="F424" s="46">
        <f>B424-0.063397</f>
        <v>8.1955199999999992E-2</v>
      </c>
      <c r="G424" s="46">
        <f>0.3332537-B424</f>
        <v>0.1879015</v>
      </c>
    </row>
    <row r="425" spans="1:22" x14ac:dyDescent="0.25">
      <c r="A425" s="49" t="s">
        <v>288</v>
      </c>
      <c r="B425" s="46">
        <v>0.1175384</v>
      </c>
      <c r="C425" s="46">
        <v>4.9554800000000003E-2</v>
      </c>
      <c r="D425" s="46">
        <v>-5.08</v>
      </c>
      <c r="E425" s="46">
        <v>0</v>
      </c>
      <c r="F425" s="46">
        <f>B425-0.0514409</f>
        <v>6.6097500000000003E-2</v>
      </c>
      <c r="G425" s="46">
        <f>0.2685658-B425</f>
        <v>0.15102740000000003</v>
      </c>
    </row>
    <row r="426" spans="1:22" x14ac:dyDescent="0.25">
      <c r="A426" s="49" t="s">
        <v>289</v>
      </c>
      <c r="B426" s="46">
        <v>0.1057107</v>
      </c>
      <c r="C426" s="46">
        <v>4.89741E-2</v>
      </c>
      <c r="D426" s="46">
        <v>-4.8499999999999996</v>
      </c>
      <c r="E426" s="46">
        <v>0</v>
      </c>
      <c r="F426" s="46">
        <f>B426-0.0426354</f>
        <v>6.3075300000000001E-2</v>
      </c>
      <c r="G426" s="46">
        <f>0.2621003-B426</f>
        <v>0.15638960000000002</v>
      </c>
    </row>
    <row r="427" spans="1:22" x14ac:dyDescent="0.25">
      <c r="A427" s="49" t="s">
        <v>290</v>
      </c>
      <c r="B427" s="46">
        <v>0.1371281</v>
      </c>
      <c r="C427" s="46">
        <v>5.5846699999999999E-2</v>
      </c>
      <c r="D427" s="46">
        <v>-4.88</v>
      </c>
      <c r="E427" s="46">
        <v>0</v>
      </c>
      <c r="F427" s="46">
        <f>B427-0.0617258</f>
        <v>7.5402300000000005E-2</v>
      </c>
      <c r="G427" s="46">
        <f>0.3046397-B427</f>
        <v>0.16751160000000001</v>
      </c>
    </row>
    <row r="428" spans="1:22" x14ac:dyDescent="0.25">
      <c r="A428" s="49"/>
      <c r="B428" s="47"/>
      <c r="C428" s="47"/>
      <c r="D428" s="47"/>
      <c r="E428" s="47"/>
      <c r="F428" s="47"/>
      <c r="G428" s="47"/>
    </row>
    <row r="429" spans="1:22" x14ac:dyDescent="0.25">
      <c r="A429" s="50" t="s">
        <v>6</v>
      </c>
      <c r="B429" s="48">
        <v>5.4669999999999996E-3</v>
      </c>
      <c r="C429" s="48">
        <v>1.6841E-3</v>
      </c>
      <c r="D429" s="48">
        <v>-16.91</v>
      </c>
      <c r="E429" s="48">
        <v>0</v>
      </c>
      <c r="F429" s="48">
        <v>2.9891000000000002E-3</v>
      </c>
      <c r="G429" s="48">
        <v>9.9991999999999998E-3</v>
      </c>
      <c r="U429" s="46"/>
      <c r="V429" s="46"/>
    </row>
    <row r="430" spans="1:22" x14ac:dyDescent="0.25">
      <c r="U430" s="46"/>
      <c r="V430" s="46"/>
    </row>
    <row r="431" spans="1:22" ht="15.75" thickBot="1" x14ac:dyDescent="0.3">
      <c r="N431" s="46">
        <v>6.2278200000000006E-2</v>
      </c>
      <c r="O431" s="46">
        <v>0.28113679999999996</v>
      </c>
      <c r="P431" s="46">
        <v>0.13055700000000001</v>
      </c>
      <c r="Q431" s="46">
        <v>0.37601190000000001</v>
      </c>
      <c r="R431" s="46">
        <v>0.36175230000000003</v>
      </c>
      <c r="S431" s="46">
        <v>0.77295599999999987</v>
      </c>
      <c r="T431" s="9"/>
      <c r="U431" s="46"/>
      <c r="V431" s="46"/>
    </row>
    <row r="432" spans="1:22" x14ac:dyDescent="0.25">
      <c r="A432" s="10"/>
      <c r="B432" s="11"/>
      <c r="C432" s="11" t="s">
        <v>9</v>
      </c>
      <c r="D432" s="11" t="s">
        <v>10</v>
      </c>
      <c r="E432" s="11" t="s">
        <v>40</v>
      </c>
      <c r="F432" s="11" t="s">
        <v>11</v>
      </c>
      <c r="G432" s="11" t="s">
        <v>7</v>
      </c>
      <c r="H432" s="11" t="s">
        <v>8</v>
      </c>
      <c r="I432" s="11" t="s">
        <v>63</v>
      </c>
      <c r="J432" s="11" t="s">
        <v>64</v>
      </c>
      <c r="K432" s="12" t="s">
        <v>65</v>
      </c>
      <c r="M432" s="7"/>
      <c r="N432" s="46">
        <v>0.2287093</v>
      </c>
      <c r="O432" s="46">
        <v>0.6115389</v>
      </c>
      <c r="P432" s="46">
        <v>0.26126929999999998</v>
      </c>
      <c r="Q432" s="46">
        <v>0.67506200000000005</v>
      </c>
      <c r="R432" s="46">
        <v>0.66417979999999999</v>
      </c>
      <c r="S432" s="46">
        <v>1.3820260000000002</v>
      </c>
      <c r="T432" s="9"/>
      <c r="U432" s="46"/>
      <c r="V432" s="46"/>
    </row>
    <row r="433" spans="1:22" x14ac:dyDescent="0.25">
      <c r="A433" s="24" t="s">
        <v>105</v>
      </c>
      <c r="B433" s="7" t="s">
        <v>152</v>
      </c>
      <c r="C433" s="14">
        <f>B374</f>
        <v>0.08</v>
      </c>
      <c r="D433" s="15">
        <f>B376</f>
        <v>0.24</v>
      </c>
      <c r="E433" s="15">
        <f>B378</f>
        <v>0.08</v>
      </c>
      <c r="F433" s="15">
        <f>B380</f>
        <v>0.2</v>
      </c>
      <c r="G433" s="15">
        <f>B382</f>
        <v>0.2</v>
      </c>
      <c r="H433" s="15">
        <f>B384</f>
        <v>1</v>
      </c>
      <c r="I433" s="16">
        <f>B386</f>
        <v>0.68</v>
      </c>
      <c r="J433" s="16">
        <f>B388</f>
        <v>0.64</v>
      </c>
      <c r="K433" s="18">
        <f>B390</f>
        <v>0.6</v>
      </c>
      <c r="M433" s="7"/>
      <c r="N433" s="46">
        <v>1.3562549999999998</v>
      </c>
      <c r="O433" s="46">
        <v>2.4846870000000005</v>
      </c>
      <c r="P433" s="46">
        <v>4.306299999999999E-2</v>
      </c>
      <c r="Q433" s="46">
        <v>0.12366830000000001</v>
      </c>
      <c r="R433" s="46">
        <v>0.10679210000000001</v>
      </c>
      <c r="S433" s="46">
        <v>0.23154719999999998</v>
      </c>
      <c r="T433" s="9"/>
      <c r="U433" s="46"/>
      <c r="V433" s="46"/>
    </row>
    <row r="434" spans="1:22" x14ac:dyDescent="0.25">
      <c r="A434" s="24"/>
      <c r="B434" s="7" t="s">
        <v>372</v>
      </c>
      <c r="C434" s="15">
        <f>B375</f>
        <v>0.36534430000000001</v>
      </c>
      <c r="D434" s="15">
        <f>B377</f>
        <v>0.2435629</v>
      </c>
      <c r="E434" s="15">
        <f>B379</f>
        <v>0.30445359999999999</v>
      </c>
      <c r="F434" s="15">
        <f>B381</f>
        <v>0.42623499999999998</v>
      </c>
      <c r="G434" s="15">
        <f>B383</f>
        <v>1.1569240000000001</v>
      </c>
      <c r="H434" s="15">
        <f>B385</f>
        <v>1.339596</v>
      </c>
      <c r="I434" s="16">
        <f>B387</f>
        <v>1.278705</v>
      </c>
      <c r="J434" s="16">
        <f>B389</f>
        <v>0.97425139999999999</v>
      </c>
      <c r="K434" s="18">
        <f>B391</f>
        <v>1.278705</v>
      </c>
      <c r="M434" s="9"/>
      <c r="N434" s="46">
        <v>1.0988299999999998</v>
      </c>
      <c r="O434" s="46">
        <v>2.0340080000000005</v>
      </c>
      <c r="P434" s="46">
        <v>8.4659899999999996E-2</v>
      </c>
      <c r="Q434" s="46">
        <v>0.18412570000000003</v>
      </c>
      <c r="R434" s="46">
        <v>0.229433</v>
      </c>
      <c r="S434" s="46">
        <v>0.44810749999999999</v>
      </c>
      <c r="T434" s="9"/>
      <c r="U434" s="46"/>
      <c r="V434" s="46"/>
    </row>
    <row r="435" spans="1:22" x14ac:dyDescent="0.25">
      <c r="A435" s="24" t="s">
        <v>106</v>
      </c>
      <c r="B435" s="7" t="s">
        <v>152</v>
      </c>
      <c r="C435" s="25">
        <f>B410</f>
        <v>2.9863279999999999</v>
      </c>
      <c r="D435" s="25">
        <f>B412</f>
        <v>0.25106299999999998</v>
      </c>
      <c r="E435" s="15">
        <f>B414</f>
        <v>9.2496900000000007E-2</v>
      </c>
      <c r="F435" s="42">
        <f>B416</f>
        <v>6.6069199999999995E-2</v>
      </c>
      <c r="G435" s="25">
        <f>B418</f>
        <v>1.096749</v>
      </c>
      <c r="H435" s="25">
        <f>B420</f>
        <v>1.1496040000000001</v>
      </c>
      <c r="I435" s="16">
        <f>B422</f>
        <v>0.19820760000000001</v>
      </c>
      <c r="J435" s="16">
        <f>B424</f>
        <v>0.14535219999999999</v>
      </c>
      <c r="K435" s="39">
        <f>B426</f>
        <v>0.1057107</v>
      </c>
      <c r="M435" s="9"/>
      <c r="N435" s="46">
        <v>0.15130440000000001</v>
      </c>
      <c r="O435" s="46">
        <v>0.40941190000000005</v>
      </c>
      <c r="P435" s="46">
        <v>0.13055700000000001</v>
      </c>
      <c r="Q435" s="46">
        <v>0.37601190000000001</v>
      </c>
      <c r="R435" s="46">
        <v>0.34322960000000002</v>
      </c>
      <c r="S435" s="46">
        <v>0.74019200000000007</v>
      </c>
      <c r="T435" s="9"/>
      <c r="U435" s="46"/>
      <c r="V435" s="46"/>
    </row>
    <row r="436" spans="1:22" ht="15.75" thickBot="1" x14ac:dyDescent="0.3">
      <c r="A436" s="26"/>
      <c r="B436" s="27" t="s">
        <v>372</v>
      </c>
      <c r="C436" s="28">
        <f>B411</f>
        <v>2.3899469999999998</v>
      </c>
      <c r="D436" s="28">
        <f>B413</f>
        <v>0.33302540000000003</v>
      </c>
      <c r="E436" s="30">
        <f>B415</f>
        <v>0.10774350000000001</v>
      </c>
      <c r="F436" s="29">
        <f>B417</f>
        <v>0.15671779999999999</v>
      </c>
      <c r="G436" s="28">
        <f>B419</f>
        <v>2.5956389999999998</v>
      </c>
      <c r="H436" s="28">
        <f>B421</f>
        <v>2.5760489999999998</v>
      </c>
      <c r="I436" s="28">
        <f>B423</f>
        <v>0.4701535</v>
      </c>
      <c r="J436" s="28">
        <f>B425</f>
        <v>0.1175384</v>
      </c>
      <c r="K436" s="31">
        <f>B427</f>
        <v>0.1371281</v>
      </c>
      <c r="M436" s="7"/>
      <c r="N436" s="46">
        <v>0.1661987</v>
      </c>
      <c r="O436" s="46">
        <v>0.52323699999999995</v>
      </c>
      <c r="P436" s="46">
        <v>0.61223200000000011</v>
      </c>
      <c r="Q436" s="46">
        <v>1.3003770000000001</v>
      </c>
      <c r="R436" s="46">
        <v>0.52894560000000002</v>
      </c>
      <c r="S436" s="46">
        <v>1.1572406000000002</v>
      </c>
      <c r="T436" s="9"/>
      <c r="U436" s="46"/>
      <c r="V436" s="46"/>
    </row>
    <row r="437" spans="1:22" x14ac:dyDescent="0.25">
      <c r="M437" s="9"/>
      <c r="N437" s="46">
        <v>0.13127239999999998</v>
      </c>
      <c r="O437" s="46">
        <v>0.27512690000000001</v>
      </c>
      <c r="P437" s="46">
        <v>0.521536</v>
      </c>
      <c r="Q437" s="46">
        <v>0.99440300000000015</v>
      </c>
      <c r="R437" s="46">
        <v>8.1955199999999992E-2</v>
      </c>
      <c r="S437" s="46">
        <v>0.1879015</v>
      </c>
      <c r="T437" s="9"/>
      <c r="U437" s="46"/>
      <c r="V437" s="46"/>
    </row>
    <row r="438" spans="1:22" x14ac:dyDescent="0.25">
      <c r="M438" s="7"/>
      <c r="N438" s="46">
        <v>0.16596100000000003</v>
      </c>
      <c r="O438" s="46">
        <v>0.3308257</v>
      </c>
      <c r="P438" s="46">
        <v>1.1976829999999998</v>
      </c>
      <c r="Q438" s="46">
        <v>2.2237849999999999</v>
      </c>
      <c r="R438" s="46">
        <v>6.6097500000000003E-2</v>
      </c>
      <c r="S438" s="46">
        <v>0.15102740000000003</v>
      </c>
      <c r="T438" s="7"/>
      <c r="U438" s="46"/>
      <c r="V438" s="46"/>
    </row>
    <row r="439" spans="1:22" x14ac:dyDescent="0.25">
      <c r="M439" s="9"/>
      <c r="N439" s="46">
        <v>6.2278200000000006E-2</v>
      </c>
      <c r="O439" s="46">
        <v>0.28113679999999996</v>
      </c>
      <c r="P439" s="46">
        <v>0</v>
      </c>
      <c r="Q439" s="46">
        <v>0</v>
      </c>
      <c r="R439" s="46">
        <v>0.32464179999999998</v>
      </c>
      <c r="S439" s="46">
        <v>0.70738800000000002</v>
      </c>
      <c r="T439" s="9"/>
      <c r="U439" s="46"/>
      <c r="V439" s="46"/>
    </row>
    <row r="440" spans="1:22" x14ac:dyDescent="0.25">
      <c r="M440" s="7"/>
      <c r="N440" s="46">
        <v>0.19919290000000001</v>
      </c>
      <c r="O440" s="46">
        <v>0.57614109999999996</v>
      </c>
      <c r="P440" s="46">
        <v>0.6872509</v>
      </c>
      <c r="Q440" s="46">
        <v>1.4112739999999999</v>
      </c>
      <c r="R440" s="46">
        <v>0.66452420000000001</v>
      </c>
      <c r="S440" s="46">
        <v>1.383518</v>
      </c>
      <c r="T440" s="9"/>
      <c r="U440" s="46"/>
      <c r="V440" s="46"/>
    </row>
    <row r="441" spans="1:22" x14ac:dyDescent="0.25">
      <c r="M441" s="9"/>
      <c r="N441" s="46">
        <v>5.6569400000000006E-2</v>
      </c>
      <c r="O441" s="46">
        <v>0.14563999999999999</v>
      </c>
      <c r="P441" s="46">
        <v>0.53865220000000003</v>
      </c>
      <c r="Q441" s="46">
        <v>1.0135609999999997</v>
      </c>
      <c r="R441" s="46">
        <v>6.3075300000000001E-2</v>
      </c>
      <c r="S441" s="46">
        <v>0.15638960000000002</v>
      </c>
      <c r="T441" s="23"/>
      <c r="U441" s="46"/>
      <c r="V441" s="46"/>
    </row>
    <row r="442" spans="1:22" x14ac:dyDescent="0.25">
      <c r="M442" s="7"/>
      <c r="N442" s="46">
        <v>6.1366800000000006E-2</v>
      </c>
      <c r="O442" s="46">
        <v>0.1425688</v>
      </c>
      <c r="P442" s="46">
        <v>1.1896939999999998</v>
      </c>
      <c r="Q442" s="46">
        <v>2.2106240000000006</v>
      </c>
      <c r="R442" s="46">
        <v>7.5402300000000005E-2</v>
      </c>
      <c r="S442" s="46">
        <v>0.16751160000000001</v>
      </c>
      <c r="T442" s="7"/>
      <c r="U442" s="46"/>
      <c r="V442" s="46"/>
    </row>
    <row r="443" spans="1:22" x14ac:dyDescent="0.25">
      <c r="M443" s="7"/>
      <c r="N443" s="7"/>
      <c r="O443" s="9"/>
      <c r="P443" s="9"/>
      <c r="Q443" s="7"/>
      <c r="R443" s="7"/>
      <c r="T443" s="9"/>
      <c r="U443" s="46"/>
      <c r="V443" s="46"/>
    </row>
    <row r="444" spans="1:22" x14ac:dyDescent="0.25">
      <c r="M444" s="7"/>
      <c r="N444" s="9"/>
      <c r="O444" s="9"/>
      <c r="P444" s="9"/>
      <c r="Q444" s="9"/>
      <c r="R444" s="9"/>
      <c r="T444" s="7"/>
      <c r="U444" s="46"/>
      <c r="V444" s="46"/>
    </row>
    <row r="445" spans="1:22" x14ac:dyDescent="0.25">
      <c r="M445" s="9"/>
      <c r="N445" s="9"/>
      <c r="O445" s="9"/>
      <c r="P445" s="9"/>
      <c r="Q445" s="9"/>
      <c r="R445" s="9"/>
      <c r="T445" s="9"/>
      <c r="U445" s="46"/>
      <c r="V445" s="46"/>
    </row>
    <row r="446" spans="1:22" x14ac:dyDescent="0.25">
      <c r="M446" s="9"/>
      <c r="N446" s="9"/>
      <c r="O446" s="9"/>
      <c r="P446" s="9"/>
      <c r="Q446" s="9"/>
      <c r="R446" s="9"/>
      <c r="T446" s="7"/>
      <c r="U446" s="46"/>
      <c r="V446" s="46"/>
    </row>
    <row r="447" spans="1:22" x14ac:dyDescent="0.25">
      <c r="M447" s="9"/>
      <c r="N447" s="9"/>
      <c r="O447" s="9"/>
      <c r="P447" s="9"/>
      <c r="Q447" s="9"/>
      <c r="R447" s="23"/>
      <c r="T447" s="7"/>
      <c r="U447" s="46"/>
      <c r="V447" s="46"/>
    </row>
    <row r="448" spans="1:22" x14ac:dyDescent="0.25">
      <c r="M448" s="9"/>
      <c r="N448" s="9"/>
      <c r="O448" s="9"/>
      <c r="P448" s="9"/>
      <c r="Q448" s="23"/>
      <c r="R448" s="23"/>
      <c r="T448" s="23"/>
      <c r="U448" s="2"/>
      <c r="V448" s="2"/>
    </row>
    <row r="449" spans="13:22" x14ac:dyDescent="0.25">
      <c r="M449" s="9"/>
      <c r="N449" s="9"/>
      <c r="O449" s="9"/>
      <c r="P449" s="9"/>
      <c r="Q449" s="23"/>
      <c r="R449" s="23"/>
      <c r="T449" s="7"/>
      <c r="U449" s="7"/>
      <c r="V449" s="9"/>
    </row>
    <row r="450" spans="13:22" x14ac:dyDescent="0.25">
      <c r="M450" s="9"/>
      <c r="N450" s="9"/>
      <c r="O450" s="9"/>
      <c r="P450" s="9"/>
      <c r="Q450" s="7"/>
      <c r="R450" s="9"/>
      <c r="U450" s="9"/>
      <c r="V450" s="9"/>
    </row>
    <row r="451" spans="13:22" x14ac:dyDescent="0.25">
      <c r="M451" s="9"/>
      <c r="N451" s="9"/>
      <c r="O451" s="9"/>
      <c r="P451" s="9"/>
      <c r="Q451" s="7"/>
      <c r="R451" s="9"/>
      <c r="U451" s="9"/>
      <c r="V451" s="9"/>
    </row>
    <row r="452" spans="13:22" x14ac:dyDescent="0.25">
      <c r="M452" s="9"/>
      <c r="N452" s="9"/>
      <c r="O452" s="9"/>
      <c r="P452" s="9"/>
      <c r="U452" s="7"/>
      <c r="V452" s="9"/>
    </row>
    <row r="453" spans="13:22" x14ac:dyDescent="0.25">
      <c r="M453" s="9"/>
      <c r="N453" s="9"/>
      <c r="O453" s="9"/>
      <c r="P453" s="9"/>
      <c r="U453" s="9"/>
      <c r="V453" s="9"/>
    </row>
    <row r="454" spans="13:22" x14ac:dyDescent="0.25">
      <c r="M454" s="9"/>
      <c r="N454" s="9"/>
      <c r="O454" s="9"/>
      <c r="P454" s="9"/>
      <c r="U454" s="9"/>
      <c r="V454" s="9"/>
    </row>
    <row r="455" spans="13:22" x14ac:dyDescent="0.25">
      <c r="M455" s="9"/>
      <c r="N455" s="9"/>
      <c r="O455" s="9"/>
      <c r="P455" s="9"/>
      <c r="U455" s="9"/>
      <c r="V455" s="9"/>
    </row>
    <row r="456" spans="13:22" x14ac:dyDescent="0.25">
      <c r="M456" s="9"/>
      <c r="N456" s="9"/>
      <c r="O456" s="9"/>
      <c r="P456" s="9"/>
      <c r="U456" s="7"/>
      <c r="V456" s="9"/>
    </row>
    <row r="457" spans="13:22" x14ac:dyDescent="0.25">
      <c r="M457" s="9"/>
      <c r="N457" s="9"/>
      <c r="O457" s="9"/>
      <c r="P457" s="9"/>
      <c r="U457" s="9"/>
      <c r="V457" s="9"/>
    </row>
    <row r="458" spans="13:22" x14ac:dyDescent="0.25">
      <c r="M458" s="9"/>
      <c r="N458" s="9"/>
      <c r="O458" s="9"/>
      <c r="P458" s="9"/>
      <c r="U458" s="7"/>
      <c r="V458" s="9"/>
    </row>
    <row r="459" spans="13:22" x14ac:dyDescent="0.25">
      <c r="M459" s="23"/>
      <c r="N459" s="23"/>
      <c r="O459" s="23"/>
      <c r="P459" s="23"/>
      <c r="U459" s="23"/>
      <c r="V459" s="9"/>
    </row>
    <row r="460" spans="13:22" x14ac:dyDescent="0.25">
      <c r="M460" s="9"/>
      <c r="N460" s="9"/>
      <c r="U460" s="23"/>
      <c r="V460" s="23"/>
    </row>
    <row r="461" spans="13:22" x14ac:dyDescent="0.25">
      <c r="M461" s="9"/>
      <c r="N461" s="9"/>
      <c r="U461" s="23"/>
      <c r="V461" s="23"/>
    </row>
    <row r="462" spans="13:22" x14ac:dyDescent="0.25">
      <c r="M462" s="9"/>
      <c r="N462" s="9"/>
      <c r="U462" s="7"/>
      <c r="V462" s="9"/>
    </row>
    <row r="463" spans="13:22" x14ac:dyDescent="0.25">
      <c r="M463" s="23"/>
      <c r="N463" s="23"/>
      <c r="U463" s="7"/>
      <c r="V463" s="9"/>
    </row>
    <row r="464" spans="13:22" x14ac:dyDescent="0.25">
      <c r="M464" s="9"/>
      <c r="N464" s="9"/>
    </row>
    <row r="465" spans="13:14" x14ac:dyDescent="0.25">
      <c r="M465" s="9"/>
      <c r="N465" s="9"/>
    </row>
    <row r="466" spans="13:14" x14ac:dyDescent="0.25">
      <c r="M466" s="9"/>
      <c r="N466" s="9"/>
    </row>
    <row r="467" spans="13:14" x14ac:dyDescent="0.25">
      <c r="M467" s="9"/>
      <c r="N467" s="9"/>
    </row>
    <row r="468" spans="13:14" x14ac:dyDescent="0.25">
      <c r="M468" s="9"/>
      <c r="N468" s="9"/>
    </row>
    <row r="469" spans="13:14" x14ac:dyDescent="0.25">
      <c r="M469" s="9"/>
      <c r="N469" s="9"/>
    </row>
    <row r="470" spans="13:14" x14ac:dyDescent="0.25">
      <c r="M470" s="9"/>
      <c r="N470" s="9"/>
    </row>
    <row r="471" spans="13:14" x14ac:dyDescent="0.25">
      <c r="M471" s="23"/>
      <c r="N471" s="23"/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122C-AC36-4B87-ACCF-04045F2CD6B1}">
  <dimension ref="A1:V469"/>
  <sheetViews>
    <sheetView topLeftCell="A319" workbookViewId="0">
      <selection activeCell="N336" sqref="N336"/>
    </sheetView>
  </sheetViews>
  <sheetFormatPr defaultColWidth="8.7109375" defaultRowHeight="15" x14ac:dyDescent="0.25"/>
  <cols>
    <col min="1" max="1" width="8.7109375" style="4"/>
    <col min="2" max="2" width="9.42578125" style="4" bestFit="1" customWidth="1"/>
    <col min="3" max="5" width="8.7109375" style="4"/>
    <col min="6" max="7" width="10.42578125" style="4" bestFit="1" customWidth="1"/>
    <col min="8" max="16384" width="8.7109375" style="4"/>
  </cols>
  <sheetData>
    <row r="1" spans="1:7" s="1" customFormat="1" x14ac:dyDescent="0.25">
      <c r="A1" s="1" t="s">
        <v>38</v>
      </c>
    </row>
    <row r="2" spans="1:7" s="1" customFormat="1" x14ac:dyDescent="0.25">
      <c r="A2" s="1" t="s">
        <v>323</v>
      </c>
    </row>
    <row r="4" spans="1:7" x14ac:dyDescent="0.25">
      <c r="A4" s="36"/>
      <c r="B4" s="2" t="s">
        <v>1</v>
      </c>
      <c r="C4" s="3"/>
      <c r="D4" s="3"/>
      <c r="E4" s="3"/>
      <c r="F4" s="3"/>
      <c r="G4" s="3"/>
    </row>
    <row r="5" spans="1:7" x14ac:dyDescent="0.25">
      <c r="A5" s="5" t="s">
        <v>2</v>
      </c>
      <c r="B5" s="6" t="s">
        <v>269</v>
      </c>
      <c r="C5" s="6" t="s">
        <v>270</v>
      </c>
      <c r="D5" s="6" t="s">
        <v>3</v>
      </c>
      <c r="E5" s="6" t="s">
        <v>4</v>
      </c>
      <c r="F5" s="6" t="s">
        <v>271</v>
      </c>
      <c r="G5" s="6" t="s">
        <v>272</v>
      </c>
    </row>
    <row r="6" spans="1:7" x14ac:dyDescent="0.25">
      <c r="A6" s="36"/>
      <c r="B6" s="2"/>
      <c r="C6" s="2"/>
      <c r="D6" s="3"/>
      <c r="E6" s="3"/>
      <c r="F6" s="3"/>
      <c r="G6" s="3"/>
    </row>
    <row r="7" spans="1:7" x14ac:dyDescent="0.25">
      <c r="A7" s="36" t="s">
        <v>39</v>
      </c>
      <c r="B7" s="3"/>
      <c r="C7" s="3"/>
      <c r="D7" s="3"/>
      <c r="E7" s="3"/>
      <c r="F7" s="3"/>
      <c r="G7" s="3"/>
    </row>
    <row r="8" spans="1:7" x14ac:dyDescent="0.25">
      <c r="A8" s="36" t="s">
        <v>46</v>
      </c>
      <c r="B8" s="2">
        <v>0.14285709999999999</v>
      </c>
      <c r="C8" s="2">
        <v>2.7448E-2</v>
      </c>
      <c r="D8" s="2">
        <v>-10.130000000000001</v>
      </c>
      <c r="E8" s="2">
        <v>0</v>
      </c>
      <c r="F8" s="2">
        <v>9.80293E-2</v>
      </c>
      <c r="G8" s="2">
        <v>0.20818439999999999</v>
      </c>
    </row>
    <row r="9" spans="1:7" x14ac:dyDescent="0.25">
      <c r="A9" s="36" t="s">
        <v>16</v>
      </c>
      <c r="B9" s="2">
        <v>0.3192199</v>
      </c>
      <c r="C9" s="2">
        <v>5.8299299999999998E-2</v>
      </c>
      <c r="D9" s="2">
        <v>-6.25</v>
      </c>
      <c r="E9" s="2">
        <v>0</v>
      </c>
      <c r="F9" s="2">
        <v>0.22316929999999999</v>
      </c>
      <c r="G9" s="2">
        <v>0.45661000000000002</v>
      </c>
    </row>
    <row r="10" spans="1:7" x14ac:dyDescent="0.25">
      <c r="A10" s="36" t="s">
        <v>17</v>
      </c>
      <c r="B10" s="2">
        <v>0.4993496</v>
      </c>
      <c r="C10" s="2">
        <v>6.4074699999999998E-2</v>
      </c>
      <c r="D10" s="2">
        <v>-5.41</v>
      </c>
      <c r="E10" s="2">
        <v>0</v>
      </c>
      <c r="F10" s="2">
        <v>0.38831280000000001</v>
      </c>
      <c r="G10" s="2">
        <v>0.64213710000000002</v>
      </c>
    </row>
    <row r="11" spans="1:7" x14ac:dyDescent="0.25">
      <c r="A11" s="36" t="s">
        <v>18</v>
      </c>
      <c r="B11" s="2">
        <v>0.63214119999999996</v>
      </c>
      <c r="C11" s="2">
        <v>0.13163420000000001</v>
      </c>
      <c r="D11" s="2">
        <v>-2.2000000000000002</v>
      </c>
      <c r="E11" s="2">
        <v>2.8000000000000001E-2</v>
      </c>
      <c r="F11" s="2">
        <v>0.42030410000000001</v>
      </c>
      <c r="G11" s="2">
        <v>0.95074590000000003</v>
      </c>
    </row>
    <row r="12" spans="1:7" x14ac:dyDescent="0.25">
      <c r="A12" s="36" t="s">
        <v>19</v>
      </c>
      <c r="B12" s="2">
        <v>0.68663589999999997</v>
      </c>
      <c r="C12" s="2">
        <v>7.5286800000000001E-2</v>
      </c>
      <c r="D12" s="2">
        <v>-3.43</v>
      </c>
      <c r="E12" s="2">
        <v>1E-3</v>
      </c>
      <c r="F12" s="2">
        <v>0.55385459999999997</v>
      </c>
      <c r="G12" s="2">
        <v>0.85125030000000002</v>
      </c>
    </row>
    <row r="13" spans="1:7" x14ac:dyDescent="0.25">
      <c r="A13" s="36" t="s">
        <v>20</v>
      </c>
      <c r="B13" s="2">
        <v>2.0926640000000001</v>
      </c>
      <c r="C13" s="2">
        <v>0.21689649999999999</v>
      </c>
      <c r="D13" s="2">
        <v>7.12</v>
      </c>
      <c r="E13" s="2">
        <v>0</v>
      </c>
      <c r="F13" s="2">
        <v>1.7079519999999999</v>
      </c>
      <c r="G13" s="2">
        <v>2.5640309999999999</v>
      </c>
    </row>
    <row r="14" spans="1:7" x14ac:dyDescent="0.25">
      <c r="A14" s="36" t="s">
        <v>21</v>
      </c>
      <c r="B14" s="2">
        <v>2.1036429999999999</v>
      </c>
      <c r="C14" s="2">
        <v>0.19362470000000001</v>
      </c>
      <c r="D14" s="2">
        <v>8.08</v>
      </c>
      <c r="E14" s="2">
        <v>0</v>
      </c>
      <c r="F14" s="2">
        <v>1.7564070000000001</v>
      </c>
      <c r="G14" s="2">
        <v>2.5195259999999999</v>
      </c>
    </row>
    <row r="15" spans="1:7" x14ac:dyDescent="0.25">
      <c r="A15" s="36" t="s">
        <v>22</v>
      </c>
      <c r="B15" s="2">
        <v>2.7626909999999998</v>
      </c>
      <c r="C15" s="2">
        <v>0.34198529999999999</v>
      </c>
      <c r="D15" s="2">
        <v>8.2100000000000009</v>
      </c>
      <c r="E15" s="2">
        <v>0</v>
      </c>
      <c r="F15" s="2">
        <v>2.1675270000000002</v>
      </c>
      <c r="G15" s="2">
        <v>3.5212759999999999</v>
      </c>
    </row>
    <row r="16" spans="1:7" x14ac:dyDescent="0.25">
      <c r="A16" s="36" t="s">
        <v>23</v>
      </c>
      <c r="B16" s="2">
        <v>0.21198159999999999</v>
      </c>
      <c r="C16" s="2">
        <v>3.4633200000000003E-2</v>
      </c>
      <c r="D16" s="2">
        <v>-9.49</v>
      </c>
      <c r="E16" s="2">
        <v>0</v>
      </c>
      <c r="F16" s="2">
        <v>0.15389700000000001</v>
      </c>
      <c r="G16" s="2">
        <v>0.29198869999999999</v>
      </c>
    </row>
    <row r="17" spans="1:7" x14ac:dyDescent="0.25">
      <c r="A17" s="36" t="s">
        <v>24</v>
      </c>
      <c r="B17" s="2">
        <v>0.25714939999999997</v>
      </c>
      <c r="C17" s="2">
        <v>5.3683500000000002E-2</v>
      </c>
      <c r="D17" s="2">
        <v>-6.51</v>
      </c>
      <c r="E17" s="2">
        <v>0</v>
      </c>
      <c r="F17" s="2">
        <v>0.17079910000000001</v>
      </c>
      <c r="G17" s="2">
        <v>0.38715549999999999</v>
      </c>
    </row>
    <row r="18" spans="1:7" x14ac:dyDescent="0.25">
      <c r="A18" s="36" t="s">
        <v>25</v>
      </c>
      <c r="B18" s="2">
        <v>0.28686040000000002</v>
      </c>
      <c r="C18" s="2">
        <v>4.45037E-2</v>
      </c>
      <c r="D18" s="2">
        <v>-8.0500000000000007</v>
      </c>
      <c r="E18" s="2">
        <v>0</v>
      </c>
      <c r="F18" s="2">
        <v>0.21164820000000001</v>
      </c>
      <c r="G18" s="2">
        <v>0.38880029999999999</v>
      </c>
    </row>
    <row r="19" spans="1:7" x14ac:dyDescent="0.25">
      <c r="A19" s="36" t="s">
        <v>26</v>
      </c>
      <c r="B19" s="2">
        <v>0.30436429999999998</v>
      </c>
      <c r="C19" s="2">
        <v>8.7933999999999998E-2</v>
      </c>
      <c r="D19" s="2">
        <v>-4.12</v>
      </c>
      <c r="E19" s="2">
        <v>0</v>
      </c>
      <c r="F19" s="2">
        <v>0.1727717</v>
      </c>
      <c r="G19" s="2">
        <v>0.53618489999999996</v>
      </c>
    </row>
    <row r="20" spans="1:7" x14ac:dyDescent="0.25">
      <c r="A20" s="36" t="s">
        <v>27</v>
      </c>
      <c r="B20" s="2">
        <v>0.21198159999999999</v>
      </c>
      <c r="C20" s="2">
        <v>3.4633200000000003E-2</v>
      </c>
      <c r="D20" s="2">
        <v>-9.49</v>
      </c>
      <c r="E20" s="2">
        <v>0</v>
      </c>
      <c r="F20" s="2">
        <v>0.15389700000000001</v>
      </c>
      <c r="G20" s="2">
        <v>0.29198869999999999</v>
      </c>
    </row>
    <row r="21" spans="1:7" x14ac:dyDescent="0.25">
      <c r="A21" s="36" t="s">
        <v>28</v>
      </c>
      <c r="B21" s="2">
        <v>0.56750210000000001</v>
      </c>
      <c r="C21" s="2">
        <v>8.5184599999999999E-2</v>
      </c>
      <c r="D21" s="2">
        <v>-3.77</v>
      </c>
      <c r="E21" s="2">
        <v>0</v>
      </c>
      <c r="F21" s="2">
        <v>0.42286170000000001</v>
      </c>
      <c r="G21" s="2">
        <v>0.76161699999999999</v>
      </c>
    </row>
    <row r="22" spans="1:7" x14ac:dyDescent="0.25">
      <c r="A22" s="36" t="s">
        <v>29</v>
      </c>
      <c r="B22" s="2">
        <v>0.6215309</v>
      </c>
      <c r="C22" s="2">
        <v>7.5380100000000005E-2</v>
      </c>
      <c r="D22" s="2">
        <v>-3.92</v>
      </c>
      <c r="E22" s="2">
        <v>0</v>
      </c>
      <c r="F22" s="2">
        <v>0.49003580000000002</v>
      </c>
      <c r="G22" s="2">
        <v>0.78831099999999998</v>
      </c>
    </row>
    <row r="23" spans="1:7" x14ac:dyDescent="0.25">
      <c r="A23" s="36" t="s">
        <v>30</v>
      </c>
      <c r="B23" s="2">
        <v>0.86626749999999997</v>
      </c>
      <c r="C23" s="2">
        <v>0.1571188</v>
      </c>
      <c r="D23" s="2">
        <v>-0.79</v>
      </c>
      <c r="E23" s="2">
        <v>0.42899999999999999</v>
      </c>
      <c r="F23" s="2">
        <v>0.60710779999999998</v>
      </c>
      <c r="G23" s="2">
        <v>1.236056</v>
      </c>
    </row>
    <row r="24" spans="1:7" x14ac:dyDescent="0.25">
      <c r="A24" s="36" t="s">
        <v>67</v>
      </c>
      <c r="B24" s="2">
        <v>0.71428570000000002</v>
      </c>
      <c r="C24" s="2">
        <v>7.7807500000000002E-2</v>
      </c>
      <c r="D24" s="2">
        <v>-3.09</v>
      </c>
      <c r="E24" s="2">
        <v>2E-3</v>
      </c>
      <c r="F24" s="2">
        <v>0.57696590000000003</v>
      </c>
      <c r="G24" s="2">
        <v>0.88428799999999996</v>
      </c>
    </row>
    <row r="25" spans="1:7" x14ac:dyDescent="0.25">
      <c r="A25" s="36" t="s">
        <v>31</v>
      </c>
      <c r="B25" s="2">
        <v>2.8020420000000001</v>
      </c>
      <c r="C25" s="2">
        <v>0.28825410000000001</v>
      </c>
      <c r="D25" s="2">
        <v>10.02</v>
      </c>
      <c r="E25" s="2">
        <v>0</v>
      </c>
      <c r="F25" s="2">
        <v>2.2903880000000001</v>
      </c>
      <c r="G25" s="2">
        <v>3.4279950000000001</v>
      </c>
    </row>
    <row r="26" spans="1:7" x14ac:dyDescent="0.25">
      <c r="A26" s="36" t="s">
        <v>32</v>
      </c>
      <c r="B26" s="2">
        <v>3.8673030000000002</v>
      </c>
      <c r="C26" s="2">
        <v>0.34230690000000003</v>
      </c>
      <c r="D26" s="2">
        <v>15.28</v>
      </c>
      <c r="E26" s="2">
        <v>0</v>
      </c>
      <c r="F26" s="2">
        <v>3.2513649999999998</v>
      </c>
      <c r="G26" s="2">
        <v>4.5999249999999998</v>
      </c>
    </row>
    <row r="27" spans="1:7" x14ac:dyDescent="0.25">
      <c r="A27" s="36" t="s">
        <v>33</v>
      </c>
      <c r="B27" s="2">
        <v>7.3749799999999999</v>
      </c>
      <c r="C27" s="2">
        <v>0.77373409999999998</v>
      </c>
      <c r="D27" s="2">
        <v>19.05</v>
      </c>
      <c r="E27" s="2">
        <v>0</v>
      </c>
      <c r="F27" s="2">
        <v>6.0042450000000001</v>
      </c>
      <c r="G27" s="2">
        <v>9.0586459999999995</v>
      </c>
    </row>
    <row r="28" spans="1:7" x14ac:dyDescent="0.25">
      <c r="A28" s="36" t="s">
        <v>34</v>
      </c>
      <c r="B28" s="2">
        <v>1</v>
      </c>
      <c r="C28" s="2"/>
      <c r="D28" s="2"/>
      <c r="E28" s="2"/>
      <c r="F28" s="2"/>
      <c r="G28" s="2"/>
    </row>
    <row r="29" spans="1:7" x14ac:dyDescent="0.25">
      <c r="A29" s="36" t="s">
        <v>35</v>
      </c>
      <c r="B29" s="2">
        <v>3.9902489999999999</v>
      </c>
      <c r="C29" s="2">
        <v>0.39264290000000002</v>
      </c>
      <c r="D29" s="2">
        <v>14.06</v>
      </c>
      <c r="E29" s="2">
        <v>0</v>
      </c>
      <c r="F29" s="2">
        <v>3.2903440000000002</v>
      </c>
      <c r="G29" s="2">
        <v>4.839035</v>
      </c>
    </row>
    <row r="30" spans="1:7" x14ac:dyDescent="0.25">
      <c r="A30" s="36" t="s">
        <v>36</v>
      </c>
      <c r="B30" s="2">
        <v>3.8407420000000001</v>
      </c>
      <c r="C30" s="2">
        <v>0.33795560000000002</v>
      </c>
      <c r="D30" s="2">
        <v>15.29</v>
      </c>
      <c r="E30" s="2">
        <v>0</v>
      </c>
      <c r="F30" s="2">
        <v>3.232332</v>
      </c>
      <c r="G30" s="2">
        <v>4.5636710000000003</v>
      </c>
    </row>
    <row r="31" spans="1:7" x14ac:dyDescent="0.25">
      <c r="A31" s="36" t="s">
        <v>37</v>
      </c>
      <c r="B31" s="2">
        <v>13.602740000000001</v>
      </c>
      <c r="C31" s="2">
        <v>1.342098</v>
      </c>
      <c r="D31" s="2">
        <v>26.46</v>
      </c>
      <c r="E31" s="2">
        <v>0</v>
      </c>
      <c r="F31" s="2">
        <v>11.210979999999999</v>
      </c>
      <c r="G31" s="2">
        <v>16.504760000000001</v>
      </c>
    </row>
    <row r="32" spans="1:7" x14ac:dyDescent="0.25">
      <c r="A32" s="36" t="s">
        <v>50</v>
      </c>
      <c r="B32" s="2">
        <v>0.2165899</v>
      </c>
      <c r="C32" s="2">
        <v>3.4946699999999997E-2</v>
      </c>
      <c r="D32" s="2">
        <v>-9.48</v>
      </c>
      <c r="E32" s="2">
        <v>0</v>
      </c>
      <c r="F32" s="2">
        <v>0.15786900000000001</v>
      </c>
      <c r="G32" s="2">
        <v>0.29715239999999998</v>
      </c>
    </row>
    <row r="33" spans="1:10" x14ac:dyDescent="0.25">
      <c r="A33" s="36" t="s">
        <v>51</v>
      </c>
      <c r="B33" s="2">
        <v>0.44336100000000001</v>
      </c>
      <c r="C33" s="2">
        <v>6.9447900000000007E-2</v>
      </c>
      <c r="D33" s="2">
        <v>-5.19</v>
      </c>
      <c r="E33" s="2">
        <v>0</v>
      </c>
      <c r="F33" s="2">
        <v>0.3261561</v>
      </c>
      <c r="G33" s="2">
        <v>0.60268370000000004</v>
      </c>
    </row>
    <row r="34" spans="1:10" x14ac:dyDescent="0.25">
      <c r="A34" s="36" t="s">
        <v>52</v>
      </c>
      <c r="B34" s="2">
        <v>1.227125</v>
      </c>
      <c r="C34" s="2">
        <v>0.12457029999999999</v>
      </c>
      <c r="D34" s="2">
        <v>2.02</v>
      </c>
      <c r="E34" s="2">
        <v>4.3999999999999997E-2</v>
      </c>
      <c r="F34" s="2">
        <v>1.005727</v>
      </c>
      <c r="G34" s="2">
        <v>1.4972620000000001</v>
      </c>
    </row>
    <row r="35" spans="1:10" x14ac:dyDescent="0.25">
      <c r="A35" s="36" t="s">
        <v>53</v>
      </c>
      <c r="B35" s="2">
        <v>1.076981</v>
      </c>
      <c r="C35" s="2">
        <v>0.1862857</v>
      </c>
      <c r="D35" s="2">
        <v>0.43</v>
      </c>
      <c r="E35" s="2">
        <v>0.66800000000000004</v>
      </c>
      <c r="F35" s="2">
        <v>0.76731839999999996</v>
      </c>
      <c r="G35" s="2">
        <v>1.5116130000000001</v>
      </c>
    </row>
    <row r="36" spans="1:10" x14ac:dyDescent="0.25">
      <c r="A36" s="36" t="s">
        <v>54</v>
      </c>
      <c r="B36" s="2">
        <v>0.24884790000000001</v>
      </c>
      <c r="C36" s="2">
        <v>3.81243E-2</v>
      </c>
      <c r="D36" s="2">
        <v>-9.08</v>
      </c>
      <c r="E36" s="2">
        <v>0</v>
      </c>
      <c r="F36" s="2">
        <v>0.18430079999999999</v>
      </c>
      <c r="G36" s="2">
        <v>0.3360013</v>
      </c>
    </row>
    <row r="37" spans="1:10" x14ac:dyDescent="0.25">
      <c r="A37" s="36" t="s">
        <v>55</v>
      </c>
      <c r="B37" s="2">
        <v>0.40789209999999998</v>
      </c>
      <c r="C37" s="2">
        <v>6.9458599999999995E-2</v>
      </c>
      <c r="D37" s="2">
        <v>-5.27</v>
      </c>
      <c r="E37" s="2">
        <v>0</v>
      </c>
      <c r="F37" s="2">
        <v>0.29214410000000002</v>
      </c>
      <c r="G37" s="2">
        <v>0.5694998</v>
      </c>
    </row>
    <row r="38" spans="1:10" x14ac:dyDescent="0.25">
      <c r="A38" s="36" t="s">
        <v>56</v>
      </c>
      <c r="B38" s="2">
        <v>0.55247190000000002</v>
      </c>
      <c r="C38" s="2">
        <v>6.9595500000000005E-2</v>
      </c>
      <c r="D38" s="2">
        <v>-4.71</v>
      </c>
      <c r="E38" s="2">
        <v>0</v>
      </c>
      <c r="F38" s="2">
        <v>0.43160199999999999</v>
      </c>
      <c r="G38" s="2">
        <v>0.70719140000000003</v>
      </c>
    </row>
    <row r="39" spans="1:10" x14ac:dyDescent="0.25">
      <c r="A39" s="36" t="s">
        <v>57</v>
      </c>
      <c r="B39" s="2">
        <v>0.56190329999999999</v>
      </c>
      <c r="C39" s="2">
        <v>0.123222</v>
      </c>
      <c r="D39" s="2">
        <v>-2.63</v>
      </c>
      <c r="E39" s="2">
        <v>8.9999999999999993E-3</v>
      </c>
      <c r="F39" s="2">
        <v>0.36559330000000001</v>
      </c>
      <c r="G39" s="2">
        <v>0.86362439999999996</v>
      </c>
    </row>
    <row r="40" spans="1:10" x14ac:dyDescent="0.25">
      <c r="A40" s="36" t="s">
        <v>58</v>
      </c>
      <c r="B40" s="2">
        <v>0.41013820000000001</v>
      </c>
      <c r="C40" s="2">
        <v>5.3061400000000002E-2</v>
      </c>
      <c r="D40" s="2">
        <v>-6.89</v>
      </c>
      <c r="E40" s="2">
        <v>0</v>
      </c>
      <c r="F40" s="2">
        <v>0.31827800000000001</v>
      </c>
      <c r="G40" s="2">
        <v>0.52851079999999995</v>
      </c>
    </row>
    <row r="41" spans="1:10" x14ac:dyDescent="0.25">
      <c r="A41" s="36" t="s">
        <v>59</v>
      </c>
      <c r="B41" s="2">
        <v>0.79804980000000003</v>
      </c>
      <c r="C41" s="2">
        <v>0.1051537</v>
      </c>
      <c r="D41" s="2">
        <v>-1.71</v>
      </c>
      <c r="E41" s="2">
        <v>8.6999999999999994E-2</v>
      </c>
      <c r="F41" s="2">
        <v>0.61641449999999998</v>
      </c>
      <c r="G41" s="2">
        <v>1.033207</v>
      </c>
    </row>
    <row r="42" spans="1:10" x14ac:dyDescent="0.25">
      <c r="A42" s="36" t="s">
        <v>60</v>
      </c>
      <c r="B42" s="2">
        <v>1.296184</v>
      </c>
      <c r="C42" s="2">
        <v>0.12993830000000001</v>
      </c>
      <c r="D42" s="2">
        <v>2.59</v>
      </c>
      <c r="E42" s="2">
        <v>0.01</v>
      </c>
      <c r="F42" s="2">
        <v>1.0649679999999999</v>
      </c>
      <c r="G42" s="2">
        <v>1.5775999999999999</v>
      </c>
    </row>
    <row r="43" spans="1:10" x14ac:dyDescent="0.25">
      <c r="A43" s="36" t="s">
        <v>61</v>
      </c>
      <c r="B43" s="2">
        <v>2.2242000000000002</v>
      </c>
      <c r="C43" s="2">
        <v>0.30046210000000001</v>
      </c>
      <c r="D43" s="2">
        <v>5.92</v>
      </c>
      <c r="E43" s="2">
        <v>0</v>
      </c>
      <c r="F43" s="2">
        <v>1.706817</v>
      </c>
      <c r="G43" s="2">
        <v>2.8984160000000001</v>
      </c>
    </row>
    <row r="44" spans="1:10" x14ac:dyDescent="0.25">
      <c r="A44" s="36"/>
      <c r="B44" s="3"/>
      <c r="C44" s="3"/>
      <c r="D44" s="3"/>
      <c r="E44" s="3"/>
      <c r="F44" s="3"/>
      <c r="G44" s="3"/>
    </row>
    <row r="45" spans="1:10" x14ac:dyDescent="0.25">
      <c r="A45" s="5" t="s">
        <v>6</v>
      </c>
      <c r="B45" s="6">
        <v>2.6543999999999999E-3</v>
      </c>
      <c r="C45" s="6">
        <v>2.0110000000000001E-4</v>
      </c>
      <c r="D45" s="6">
        <v>-78.28</v>
      </c>
      <c r="E45" s="6">
        <v>0</v>
      </c>
      <c r="F45" s="6">
        <v>2.2880999999999999E-3</v>
      </c>
      <c r="G45" s="6">
        <v>3.0793999999999999E-3</v>
      </c>
    </row>
    <row r="46" spans="1:10" x14ac:dyDescent="0.25">
      <c r="A46" s="7"/>
      <c r="B46" s="15"/>
      <c r="C46" s="7"/>
      <c r="D46" s="7"/>
      <c r="E46" s="7"/>
      <c r="F46" s="9"/>
      <c r="G46" s="9"/>
    </row>
    <row r="47" spans="1:10" ht="15.75" thickBot="1" x14ac:dyDescent="0.3"/>
    <row r="48" spans="1:10" x14ac:dyDescent="0.25">
      <c r="A48" s="10"/>
      <c r="B48" s="11" t="s">
        <v>9</v>
      </c>
      <c r="C48" s="11" t="s">
        <v>10</v>
      </c>
      <c r="D48" s="11" t="s">
        <v>40</v>
      </c>
      <c r="E48" s="11" t="s">
        <v>11</v>
      </c>
      <c r="F48" s="11" t="s">
        <v>7</v>
      </c>
      <c r="G48" s="11" t="s">
        <v>8</v>
      </c>
      <c r="H48" s="11" t="s">
        <v>62</v>
      </c>
      <c r="I48" s="11" t="s">
        <v>64</v>
      </c>
      <c r="J48" s="12" t="s">
        <v>65</v>
      </c>
    </row>
    <row r="49" spans="1:10" x14ac:dyDescent="0.25">
      <c r="A49" s="13" t="s">
        <v>12</v>
      </c>
      <c r="B49" s="14">
        <f>B8</f>
        <v>0.14285709999999999</v>
      </c>
      <c r="C49" s="15">
        <f>B12</f>
        <v>0.68663589999999997</v>
      </c>
      <c r="D49" s="15">
        <f>B16</f>
        <v>0.21198159999999999</v>
      </c>
      <c r="E49" s="15">
        <f>B20</f>
        <v>0.21198159999999999</v>
      </c>
      <c r="F49" s="15">
        <f>B24</f>
        <v>0.71428570000000002</v>
      </c>
      <c r="G49" s="15">
        <f>B28</f>
        <v>1</v>
      </c>
      <c r="H49" s="16">
        <f>B32</f>
        <v>0.2165899</v>
      </c>
      <c r="I49" s="16">
        <f>B36</f>
        <v>0.24884790000000001</v>
      </c>
      <c r="J49" s="17">
        <f>B40</f>
        <v>0.41013820000000001</v>
      </c>
    </row>
    <row r="50" spans="1:10" x14ac:dyDescent="0.25">
      <c r="A50" s="13" t="s">
        <v>13</v>
      </c>
      <c r="B50" s="15">
        <f>B9</f>
        <v>0.3192199</v>
      </c>
      <c r="C50" s="15">
        <f>B13</f>
        <v>2.0926640000000001</v>
      </c>
      <c r="D50" s="15">
        <f>B17</f>
        <v>0.25714939999999997</v>
      </c>
      <c r="E50" s="15">
        <f>B21</f>
        <v>0.56750210000000001</v>
      </c>
      <c r="F50" s="15">
        <f>B25</f>
        <v>2.8020420000000001</v>
      </c>
      <c r="G50" s="15">
        <f>B29</f>
        <v>3.9902489999999999</v>
      </c>
      <c r="H50" s="16">
        <f>B33</f>
        <v>0.44336100000000001</v>
      </c>
      <c r="I50" s="16">
        <f>B37</f>
        <v>0.40789209999999998</v>
      </c>
      <c r="J50" s="17">
        <f>B41</f>
        <v>0.79804980000000003</v>
      </c>
    </row>
    <row r="51" spans="1:10" x14ac:dyDescent="0.25">
      <c r="A51" s="13" t="s">
        <v>14</v>
      </c>
      <c r="B51" s="15">
        <f>B10</f>
        <v>0.4993496</v>
      </c>
      <c r="C51" s="15">
        <f>B14</f>
        <v>2.1036429999999999</v>
      </c>
      <c r="D51" s="15">
        <f>B18</f>
        <v>0.28686040000000002</v>
      </c>
      <c r="E51" s="15">
        <f>B22</f>
        <v>0.6215309</v>
      </c>
      <c r="F51" s="15">
        <f>B26</f>
        <v>3.8673030000000002</v>
      </c>
      <c r="G51" s="15">
        <f>B30</f>
        <v>3.8407420000000001</v>
      </c>
      <c r="H51" s="16">
        <f>B34</f>
        <v>1.227125</v>
      </c>
      <c r="I51" s="16">
        <f>B38</f>
        <v>0.55247190000000002</v>
      </c>
      <c r="J51" s="17">
        <f>B42</f>
        <v>1.296184</v>
      </c>
    </row>
    <row r="52" spans="1:10" ht="15.75" thickBot="1" x14ac:dyDescent="0.3">
      <c r="A52" s="19" t="s">
        <v>15</v>
      </c>
      <c r="B52" s="20">
        <f>B11</f>
        <v>0.63214119999999996</v>
      </c>
      <c r="C52" s="20">
        <f>B15</f>
        <v>2.7626909999999998</v>
      </c>
      <c r="D52" s="20">
        <f>B19</f>
        <v>0.30436429999999998</v>
      </c>
      <c r="E52" s="20">
        <f>B23</f>
        <v>0.86626749999999997</v>
      </c>
      <c r="F52" s="20">
        <f>B27</f>
        <v>7.3749799999999999</v>
      </c>
      <c r="G52" s="20">
        <f>B31</f>
        <v>13.602740000000001</v>
      </c>
      <c r="H52" s="21">
        <f>B35</f>
        <v>1.076981</v>
      </c>
      <c r="I52" s="21">
        <f>B39</f>
        <v>0.56190329999999999</v>
      </c>
      <c r="J52" s="22">
        <f>B43</f>
        <v>2.2242000000000002</v>
      </c>
    </row>
    <row r="70" spans="1:14" x14ac:dyDescent="0.25">
      <c r="M70" s="7"/>
      <c r="N70" s="7"/>
    </row>
    <row r="71" spans="1:14" x14ac:dyDescent="0.25">
      <c r="A71" s="36"/>
      <c r="B71" s="2" t="s">
        <v>1</v>
      </c>
      <c r="C71" s="3"/>
      <c r="D71" s="3"/>
      <c r="E71" s="3"/>
      <c r="F71" s="3"/>
      <c r="G71" s="3"/>
      <c r="M71" s="7"/>
      <c r="N71" s="7"/>
    </row>
    <row r="72" spans="1:14" x14ac:dyDescent="0.25">
      <c r="A72" s="5" t="s">
        <v>2</v>
      </c>
      <c r="B72" s="6" t="s">
        <v>269</v>
      </c>
      <c r="C72" s="6" t="s">
        <v>270</v>
      </c>
      <c r="D72" s="6" t="s">
        <v>3</v>
      </c>
      <c r="E72" s="6" t="s">
        <v>4</v>
      </c>
      <c r="F72" s="6" t="s">
        <v>271</v>
      </c>
      <c r="G72" s="6" t="s">
        <v>272</v>
      </c>
      <c r="M72" s="7"/>
      <c r="N72" s="7"/>
    </row>
    <row r="73" spans="1:14" x14ac:dyDescent="0.25">
      <c r="A73" s="36"/>
      <c r="B73" s="2"/>
      <c r="C73" s="2"/>
      <c r="D73" s="3"/>
      <c r="E73" s="3"/>
      <c r="F73" s="3"/>
      <c r="G73" s="3"/>
      <c r="M73" s="7"/>
      <c r="N73" s="7"/>
    </row>
    <row r="74" spans="1:14" x14ac:dyDescent="0.25">
      <c r="A74" s="36" t="s">
        <v>72</v>
      </c>
      <c r="B74" s="3"/>
      <c r="C74" s="3"/>
      <c r="D74" s="3"/>
      <c r="E74" s="3"/>
      <c r="F74" s="3"/>
      <c r="G74" s="3"/>
      <c r="M74" s="7"/>
      <c r="N74" s="7"/>
    </row>
    <row r="75" spans="1:14" x14ac:dyDescent="0.25">
      <c r="A75" s="36" t="s">
        <v>73</v>
      </c>
      <c r="B75" s="2">
        <v>1.0807230000000001</v>
      </c>
      <c r="C75" s="2">
        <v>3.1351999999999998E-2</v>
      </c>
      <c r="D75" s="2">
        <v>2.68</v>
      </c>
      <c r="E75" s="2">
        <v>7.0000000000000001E-3</v>
      </c>
      <c r="F75" s="2">
        <v>1.020988</v>
      </c>
      <c r="G75" s="2">
        <v>1.1439520000000001</v>
      </c>
      <c r="M75" s="7"/>
      <c r="N75" s="7"/>
    </row>
    <row r="76" spans="1:14" x14ac:dyDescent="0.25">
      <c r="A76" s="36"/>
      <c r="B76" s="3"/>
      <c r="C76" s="3"/>
      <c r="D76" s="3"/>
      <c r="E76" s="3"/>
      <c r="F76" s="3"/>
      <c r="G76" s="3"/>
      <c r="M76" s="7"/>
      <c r="N76" s="7"/>
    </row>
    <row r="77" spans="1:14" x14ac:dyDescent="0.25">
      <c r="A77" s="36" t="s">
        <v>74</v>
      </c>
      <c r="B77" s="3"/>
      <c r="C77" s="3"/>
      <c r="D77" s="3"/>
      <c r="E77" s="3"/>
      <c r="F77" s="3"/>
      <c r="G77" s="3"/>
      <c r="M77" s="7"/>
      <c r="N77" s="7"/>
    </row>
    <row r="78" spans="1:14" x14ac:dyDescent="0.25">
      <c r="A78" s="36" t="s">
        <v>75</v>
      </c>
      <c r="B78" s="2">
        <v>0.75553729999999997</v>
      </c>
      <c r="C78" s="2">
        <v>2.7820399999999999E-2</v>
      </c>
      <c r="D78" s="2">
        <v>-7.61</v>
      </c>
      <c r="E78" s="2">
        <v>0</v>
      </c>
      <c r="F78" s="2">
        <v>0.70293139999999998</v>
      </c>
      <c r="G78" s="2">
        <v>0.81208000000000002</v>
      </c>
      <c r="M78" s="7"/>
      <c r="N78" s="7"/>
    </row>
    <row r="79" spans="1:14" x14ac:dyDescent="0.25">
      <c r="A79" s="36" t="s">
        <v>76</v>
      </c>
      <c r="B79" s="2">
        <v>0.57565189999999999</v>
      </c>
      <c r="C79" s="2">
        <v>3.4414699999999999E-2</v>
      </c>
      <c r="D79" s="2">
        <v>-9.24</v>
      </c>
      <c r="E79" s="2">
        <v>0</v>
      </c>
      <c r="F79" s="2">
        <v>0.51200210000000002</v>
      </c>
      <c r="G79" s="2">
        <v>0.64721430000000002</v>
      </c>
      <c r="M79" s="7"/>
      <c r="N79" s="7"/>
    </row>
    <row r="80" spans="1:14" x14ac:dyDescent="0.25">
      <c r="A80" s="36" t="s">
        <v>77</v>
      </c>
      <c r="B80" s="2">
        <v>0.54079049999999995</v>
      </c>
      <c r="C80" s="2">
        <v>3.7011799999999997E-2</v>
      </c>
      <c r="D80" s="2">
        <v>-8.98</v>
      </c>
      <c r="E80" s="2">
        <v>0</v>
      </c>
      <c r="F80" s="2">
        <v>0.47290379999999999</v>
      </c>
      <c r="G80" s="2">
        <v>0.61842269999999999</v>
      </c>
      <c r="M80" s="7"/>
      <c r="N80" s="7"/>
    </row>
    <row r="81" spans="1:14" x14ac:dyDescent="0.25">
      <c r="A81" s="36" t="s">
        <v>78</v>
      </c>
      <c r="B81" s="2">
        <v>0.46954099999999999</v>
      </c>
      <c r="C81" s="2">
        <v>3.4758600000000001E-2</v>
      </c>
      <c r="D81" s="2">
        <v>-10.210000000000001</v>
      </c>
      <c r="E81" s="2">
        <v>0</v>
      </c>
      <c r="F81" s="2">
        <v>0.40612700000000002</v>
      </c>
      <c r="G81" s="2">
        <v>0.54285669999999997</v>
      </c>
      <c r="M81" s="7"/>
      <c r="N81" s="7"/>
    </row>
    <row r="82" spans="1:14" x14ac:dyDescent="0.25">
      <c r="A82" s="36" t="s">
        <v>79</v>
      </c>
      <c r="B82" s="2">
        <v>0.41990640000000001</v>
      </c>
      <c r="C82" s="2">
        <v>3.7091100000000002E-2</v>
      </c>
      <c r="D82" s="2">
        <v>-9.82</v>
      </c>
      <c r="E82" s="2">
        <v>0</v>
      </c>
      <c r="F82" s="2">
        <v>0.35315419999999997</v>
      </c>
      <c r="G82" s="2">
        <v>0.499276</v>
      </c>
    </row>
    <row r="83" spans="1:14" x14ac:dyDescent="0.25">
      <c r="A83" s="36" t="s">
        <v>80</v>
      </c>
      <c r="B83" s="2">
        <v>0.30156539999999998</v>
      </c>
      <c r="C83" s="2">
        <v>3.1144100000000001E-2</v>
      </c>
      <c r="D83" s="2">
        <v>-11.61</v>
      </c>
      <c r="E83" s="2">
        <v>0</v>
      </c>
      <c r="F83" s="2">
        <v>0.24630540000000001</v>
      </c>
      <c r="G83" s="2">
        <v>0.36922319999999997</v>
      </c>
    </row>
    <row r="84" spans="1:14" x14ac:dyDescent="0.25">
      <c r="A84" s="36" t="s">
        <v>86</v>
      </c>
      <c r="B84" s="2">
        <v>0.23865500000000001</v>
      </c>
      <c r="C84" s="2">
        <v>5.02301E-2</v>
      </c>
      <c r="D84" s="2">
        <v>-6.81</v>
      </c>
      <c r="E84" s="2">
        <v>0</v>
      </c>
      <c r="F84" s="2">
        <v>0.1579854</v>
      </c>
      <c r="G84" s="2">
        <v>0.36051569999999999</v>
      </c>
    </row>
    <row r="85" spans="1:14" x14ac:dyDescent="0.25">
      <c r="A85" s="36" t="s">
        <v>87</v>
      </c>
      <c r="B85" s="2">
        <v>0.25039840000000002</v>
      </c>
      <c r="C85" s="2">
        <v>5.0576299999999998E-2</v>
      </c>
      <c r="D85" s="2">
        <v>-6.86</v>
      </c>
      <c r="E85" s="2">
        <v>0</v>
      </c>
      <c r="F85" s="2">
        <v>0.16853989999999999</v>
      </c>
      <c r="G85" s="2">
        <v>0.37201479999999998</v>
      </c>
    </row>
    <row r="86" spans="1:14" x14ac:dyDescent="0.25">
      <c r="A86" s="36" t="s">
        <v>88</v>
      </c>
      <c r="B86" s="2">
        <v>6.3558400000000001E-2</v>
      </c>
      <c r="C86" s="2">
        <v>3.0549400000000001E-2</v>
      </c>
      <c r="D86" s="2">
        <v>-5.73</v>
      </c>
      <c r="E86" s="2">
        <v>0</v>
      </c>
      <c r="F86" s="2">
        <v>2.4776699999999999E-2</v>
      </c>
      <c r="G86" s="2">
        <v>0.16304350000000001</v>
      </c>
    </row>
    <row r="87" spans="1:14" x14ac:dyDescent="0.25">
      <c r="A87" s="36"/>
      <c r="B87" s="3"/>
      <c r="C87" s="3"/>
      <c r="D87" s="3"/>
      <c r="E87" s="3"/>
      <c r="F87" s="3"/>
      <c r="G87" s="3"/>
    </row>
    <row r="88" spans="1:14" x14ac:dyDescent="0.25">
      <c r="A88" s="36" t="s">
        <v>113</v>
      </c>
      <c r="B88" s="3"/>
      <c r="C88" s="3"/>
      <c r="D88" s="3"/>
      <c r="E88" s="3"/>
      <c r="F88" s="3"/>
      <c r="G88" s="3"/>
    </row>
    <row r="89" spans="1:14" x14ac:dyDescent="0.25">
      <c r="A89" s="36">
        <v>2</v>
      </c>
      <c r="B89" s="2">
        <v>1.410236</v>
      </c>
      <c r="C89" s="2">
        <v>6.0614099999999997E-2</v>
      </c>
      <c r="D89" s="2">
        <v>8</v>
      </c>
      <c r="E89" s="2">
        <v>0</v>
      </c>
      <c r="F89" s="2">
        <v>1.2963009999999999</v>
      </c>
      <c r="G89" s="2">
        <v>1.5341849999999999</v>
      </c>
    </row>
    <row r="90" spans="1:14" x14ac:dyDescent="0.25">
      <c r="A90" s="36">
        <v>3</v>
      </c>
      <c r="B90" s="2">
        <v>2.136749</v>
      </c>
      <c r="C90" s="2">
        <v>0.1197923</v>
      </c>
      <c r="D90" s="2">
        <v>13.54</v>
      </c>
      <c r="E90" s="2">
        <v>0</v>
      </c>
      <c r="F90" s="2">
        <v>1.9144000000000001</v>
      </c>
      <c r="G90" s="2">
        <v>2.3849230000000001</v>
      </c>
    </row>
    <row r="91" spans="1:14" x14ac:dyDescent="0.25">
      <c r="A91" s="36"/>
      <c r="B91" s="3"/>
      <c r="C91" s="3"/>
      <c r="D91" s="3"/>
      <c r="E91" s="3"/>
      <c r="F91" s="3"/>
      <c r="G91" s="3"/>
    </row>
    <row r="92" spans="1:14" x14ac:dyDescent="0.25">
      <c r="A92" s="36" t="s">
        <v>108</v>
      </c>
      <c r="B92" s="3"/>
      <c r="C92" s="3"/>
      <c r="D92" s="3"/>
      <c r="E92" s="3"/>
      <c r="F92" s="3"/>
      <c r="G92" s="3"/>
    </row>
    <row r="93" spans="1:14" x14ac:dyDescent="0.25">
      <c r="A93" s="36">
        <v>2</v>
      </c>
      <c r="B93" s="2">
        <v>1.1008279999999999</v>
      </c>
      <c r="C93" s="2">
        <v>3.8310499999999997E-2</v>
      </c>
      <c r="D93" s="2">
        <v>2.76</v>
      </c>
      <c r="E93" s="2">
        <v>6.0000000000000001E-3</v>
      </c>
      <c r="F93" s="2">
        <v>1.0282439999999999</v>
      </c>
      <c r="G93" s="2">
        <v>1.1785350000000001</v>
      </c>
    </row>
    <row r="94" spans="1:14" x14ac:dyDescent="0.25">
      <c r="A94" s="36" t="s">
        <v>109</v>
      </c>
      <c r="B94" s="2">
        <v>1.295779</v>
      </c>
      <c r="C94" s="2">
        <v>7.7615699999999996E-2</v>
      </c>
      <c r="D94" s="2">
        <v>4.33</v>
      </c>
      <c r="E94" s="2">
        <v>0</v>
      </c>
      <c r="F94" s="2">
        <v>1.1522460000000001</v>
      </c>
      <c r="G94" s="2">
        <v>1.457193</v>
      </c>
    </row>
    <row r="95" spans="1:14" x14ac:dyDescent="0.25">
      <c r="A95" s="36"/>
      <c r="B95" s="3"/>
      <c r="C95" s="3"/>
      <c r="D95" s="3"/>
      <c r="E95" s="3"/>
      <c r="F95" s="3"/>
      <c r="G95" s="3"/>
    </row>
    <row r="96" spans="1:14" x14ac:dyDescent="0.25">
      <c r="A96" s="36" t="s">
        <v>83</v>
      </c>
      <c r="B96" s="3"/>
      <c r="C96" s="3"/>
      <c r="D96" s="3"/>
      <c r="E96" s="3"/>
      <c r="F96" s="3"/>
      <c r="G96" s="3"/>
    </row>
    <row r="97" spans="1:7" x14ac:dyDescent="0.25">
      <c r="A97" s="38" t="s">
        <v>315</v>
      </c>
      <c r="B97" s="2">
        <v>0.57958980000000004</v>
      </c>
      <c r="C97" s="2">
        <v>1.8304999999999998E-2</v>
      </c>
      <c r="D97" s="2">
        <v>-17.27</v>
      </c>
      <c r="E97" s="2">
        <v>0</v>
      </c>
      <c r="F97" s="2">
        <v>0.54480039999999996</v>
      </c>
      <c r="G97" s="2">
        <v>0.6166007</v>
      </c>
    </row>
    <row r="98" spans="1:7" x14ac:dyDescent="0.25">
      <c r="A98" s="38" t="s">
        <v>316</v>
      </c>
      <c r="B98" s="2">
        <v>0.47407670000000002</v>
      </c>
      <c r="C98" s="2">
        <v>2.2136099999999999E-2</v>
      </c>
      <c r="D98" s="2">
        <v>-15.98</v>
      </c>
      <c r="E98" s="2">
        <v>0</v>
      </c>
      <c r="F98" s="2">
        <v>0.43261690000000003</v>
      </c>
      <c r="G98" s="2">
        <v>0.51950989999999997</v>
      </c>
    </row>
    <row r="99" spans="1:7" x14ac:dyDescent="0.25">
      <c r="A99" s="38" t="s">
        <v>317</v>
      </c>
      <c r="B99" s="2">
        <v>0.36813839999999998</v>
      </c>
      <c r="C99" s="2">
        <v>2.2485700000000001E-2</v>
      </c>
      <c r="D99" s="2">
        <v>-16.36</v>
      </c>
      <c r="E99" s="2">
        <v>0</v>
      </c>
      <c r="F99" s="2">
        <v>0.32660299999999998</v>
      </c>
      <c r="G99" s="2">
        <v>0.41495599999999999</v>
      </c>
    </row>
    <row r="100" spans="1:7" x14ac:dyDescent="0.25">
      <c r="A100" s="38" t="s">
        <v>82</v>
      </c>
      <c r="B100" s="2">
        <v>0.48412460000000002</v>
      </c>
      <c r="C100" s="2">
        <v>3.3918999999999998E-2</v>
      </c>
      <c r="D100" s="2">
        <v>-10.35</v>
      </c>
      <c r="E100" s="2">
        <v>0</v>
      </c>
      <c r="F100" s="2">
        <v>0.42200720000000003</v>
      </c>
      <c r="G100" s="2">
        <v>0.55538540000000003</v>
      </c>
    </row>
    <row r="101" spans="1:7" x14ac:dyDescent="0.25">
      <c r="A101" s="36"/>
      <c r="B101" s="3"/>
      <c r="C101" s="3"/>
      <c r="D101" s="3"/>
      <c r="E101" s="3"/>
      <c r="F101" s="3"/>
      <c r="G101" s="3"/>
    </row>
    <row r="102" spans="1:7" x14ac:dyDescent="0.25">
      <c r="A102" s="36" t="s">
        <v>39</v>
      </c>
      <c r="B102" s="3"/>
      <c r="C102" s="3"/>
      <c r="D102" s="3"/>
      <c r="E102" s="3"/>
      <c r="F102" s="3"/>
      <c r="G102" s="3"/>
    </row>
    <row r="103" spans="1:7" x14ac:dyDescent="0.25">
      <c r="A103" s="36" t="s">
        <v>46</v>
      </c>
      <c r="B103" s="2">
        <v>0.14285709999999999</v>
      </c>
      <c r="C103" s="2">
        <v>2.7448E-2</v>
      </c>
      <c r="D103" s="2">
        <v>-10.130000000000001</v>
      </c>
      <c r="E103" s="2">
        <v>0</v>
      </c>
      <c r="F103" s="2">
        <f>B103-0.0980293</f>
        <v>4.4827799999999987E-2</v>
      </c>
      <c r="G103" s="2">
        <f>0.2081844-B103</f>
        <v>6.5327300000000005E-2</v>
      </c>
    </row>
    <row r="104" spans="1:7" x14ac:dyDescent="0.25">
      <c r="A104" s="36" t="s">
        <v>16</v>
      </c>
      <c r="B104" s="2">
        <v>0.1757309</v>
      </c>
      <c r="C104" s="2">
        <v>3.1484400000000003E-2</v>
      </c>
      <c r="D104" s="2">
        <v>-9.7100000000000009</v>
      </c>
      <c r="E104" s="2">
        <v>0</v>
      </c>
      <c r="F104" s="2">
        <f>B104-0.1236928</f>
        <v>5.203809999999999E-2</v>
      </c>
      <c r="G104" s="2">
        <f>0.2496616-B104</f>
        <v>7.3930700000000016E-2</v>
      </c>
    </row>
    <row r="105" spans="1:7" x14ac:dyDescent="0.25">
      <c r="A105" s="36" t="s">
        <v>17</v>
      </c>
      <c r="B105" s="2">
        <v>0.24231469999999999</v>
      </c>
      <c r="C105" s="2">
        <v>3.07207E-2</v>
      </c>
      <c r="D105" s="2">
        <v>-11.18</v>
      </c>
      <c r="E105" s="2">
        <v>0</v>
      </c>
      <c r="F105" s="2">
        <f>B105-0.189001</f>
        <v>5.3313699999999992E-2</v>
      </c>
      <c r="G105" s="2">
        <f>0.3106671-B105</f>
        <v>6.835239999999998E-2</v>
      </c>
    </row>
    <row r="106" spans="1:7" x14ac:dyDescent="0.25">
      <c r="A106" s="36" t="s">
        <v>18</v>
      </c>
      <c r="B106" s="2">
        <v>0.21291379999999999</v>
      </c>
      <c r="C106" s="2">
        <v>4.41258E-2</v>
      </c>
      <c r="D106" s="2">
        <v>-7.46</v>
      </c>
      <c r="E106" s="2">
        <v>0</v>
      </c>
      <c r="F106" s="2">
        <f>B106-0.1418386</f>
        <v>7.1075199999999977E-2</v>
      </c>
      <c r="G106" s="2">
        <f>0.3196045-B106</f>
        <v>0.10669070000000003</v>
      </c>
    </row>
    <row r="107" spans="1:7" x14ac:dyDescent="0.25">
      <c r="A107" s="36" t="s">
        <v>19</v>
      </c>
      <c r="B107" s="2">
        <v>0.68663600000000002</v>
      </c>
      <c r="C107" s="2">
        <v>7.5286800000000001E-2</v>
      </c>
      <c r="D107" s="2">
        <v>-3.43</v>
      </c>
      <c r="E107" s="2">
        <v>1E-3</v>
      </c>
      <c r="F107" s="2">
        <f>B107-0.5538547</f>
        <v>0.13278129999999999</v>
      </c>
      <c r="G107" s="2">
        <f>0.8512503-B107</f>
        <v>0.16461429999999999</v>
      </c>
    </row>
    <row r="108" spans="1:7" x14ac:dyDescent="0.25">
      <c r="A108" s="36" t="s">
        <v>20</v>
      </c>
      <c r="B108" s="2">
        <v>1.1520140000000001</v>
      </c>
      <c r="C108" s="2">
        <v>0.1129614</v>
      </c>
      <c r="D108" s="2">
        <v>1.44</v>
      </c>
      <c r="E108" s="2">
        <v>0.14899999999999999</v>
      </c>
      <c r="F108" s="2">
        <f>B108-0.9505887</f>
        <v>0.20142530000000014</v>
      </c>
      <c r="G108" s="2">
        <f>1.39612-B108</f>
        <v>0.24410599999999993</v>
      </c>
    </row>
    <row r="109" spans="1:7" x14ac:dyDescent="0.25">
      <c r="A109" s="36" t="s">
        <v>21</v>
      </c>
      <c r="B109" s="2">
        <v>1.020815</v>
      </c>
      <c r="C109" s="2">
        <v>9.1050300000000001E-2</v>
      </c>
      <c r="D109" s="2">
        <v>0.23</v>
      </c>
      <c r="E109" s="2">
        <v>0.81699999999999995</v>
      </c>
      <c r="F109" s="2">
        <f>B109-0.8570874</f>
        <v>0.16372759999999997</v>
      </c>
      <c r="G109" s="2">
        <f>1.215819-B109</f>
        <v>0.19500399999999996</v>
      </c>
    </row>
    <row r="110" spans="1:7" x14ac:dyDescent="0.25">
      <c r="A110" s="36" t="s">
        <v>22</v>
      </c>
      <c r="B110" s="2">
        <v>0.93051200000000001</v>
      </c>
      <c r="C110" s="2">
        <v>0.1134532</v>
      </c>
      <c r="D110" s="2">
        <v>-0.59</v>
      </c>
      <c r="E110" s="2">
        <v>0.55500000000000005</v>
      </c>
      <c r="F110" s="2">
        <f>B110-0.7327212</f>
        <v>0.19779080000000004</v>
      </c>
      <c r="G110" s="2">
        <f>1.181695-B110</f>
        <v>0.25118299999999993</v>
      </c>
    </row>
    <row r="111" spans="1:7" x14ac:dyDescent="0.25">
      <c r="A111" s="36" t="s">
        <v>23</v>
      </c>
      <c r="B111" s="2">
        <v>0.21198159999999999</v>
      </c>
      <c r="C111" s="2">
        <v>3.4633200000000003E-2</v>
      </c>
      <c r="D111" s="2">
        <v>-9.49</v>
      </c>
      <c r="E111" s="2">
        <v>0</v>
      </c>
      <c r="F111" s="2">
        <f>B111-0.1538971</f>
        <v>5.8084499999999983E-2</v>
      </c>
      <c r="G111" s="2">
        <f>0.2919887-B111</f>
        <v>8.0007099999999998E-2</v>
      </c>
    </row>
    <row r="112" spans="1:7" x14ac:dyDescent="0.25">
      <c r="A112" s="36" t="s">
        <v>24</v>
      </c>
      <c r="B112" s="2">
        <v>0.14156099999999999</v>
      </c>
      <c r="C112" s="2">
        <v>2.9139000000000002E-2</v>
      </c>
      <c r="D112" s="2">
        <v>-9.5</v>
      </c>
      <c r="E112" s="2">
        <v>0</v>
      </c>
      <c r="F112" s="2">
        <f>B112-0.0945653</f>
        <v>4.6995699999999987E-2</v>
      </c>
      <c r="G112" s="2">
        <f>0.2119119-B112</f>
        <v>7.0350899999999994E-2</v>
      </c>
    </row>
    <row r="113" spans="1:7" x14ac:dyDescent="0.25">
      <c r="A113" s="36" t="s">
        <v>25</v>
      </c>
      <c r="B113" s="2">
        <v>0.13920199999999999</v>
      </c>
      <c r="C113" s="2">
        <v>2.1578199999999999E-2</v>
      </c>
      <c r="D113" s="2">
        <v>-12.72</v>
      </c>
      <c r="E113" s="2">
        <v>0</v>
      </c>
      <c r="F113" s="2">
        <f>B113-0.1027301</f>
        <v>3.6471899999999988E-2</v>
      </c>
      <c r="G113" s="2">
        <f>0.1886224-B113</f>
        <v>4.9420400000000003E-2</v>
      </c>
    </row>
    <row r="114" spans="1:7" x14ac:dyDescent="0.25">
      <c r="A114" s="36" t="s">
        <v>26</v>
      </c>
      <c r="B114" s="2">
        <v>0.10251399999999999</v>
      </c>
      <c r="C114" s="2">
        <v>2.9571099999999999E-2</v>
      </c>
      <c r="D114" s="2">
        <v>-7.9</v>
      </c>
      <c r="E114" s="2">
        <v>0</v>
      </c>
      <c r="F114" s="2">
        <f>B114-0.0582434</f>
        <v>4.4270599999999993E-2</v>
      </c>
      <c r="G114" s="2">
        <f>0.1804345-B114</f>
        <v>7.7920500000000004E-2</v>
      </c>
    </row>
    <row r="115" spans="1:7" x14ac:dyDescent="0.25">
      <c r="A115" s="36" t="s">
        <v>27</v>
      </c>
      <c r="B115" s="2">
        <v>0.21198159999999999</v>
      </c>
      <c r="C115" s="2">
        <v>3.4633200000000003E-2</v>
      </c>
      <c r="D115" s="2">
        <v>-9.49</v>
      </c>
      <c r="E115" s="2">
        <v>0</v>
      </c>
      <c r="F115" s="2">
        <f>B115-0.1538971</f>
        <v>5.8084499999999983E-2</v>
      </c>
      <c r="G115" s="2">
        <f>0.2919887-B115</f>
        <v>8.0007099999999998E-2</v>
      </c>
    </row>
    <row r="116" spans="1:7" x14ac:dyDescent="0.25">
      <c r="A116" s="36" t="s">
        <v>28</v>
      </c>
      <c r="B116" s="2">
        <v>0.31241059999999998</v>
      </c>
      <c r="C116" s="2">
        <v>4.5706299999999998E-2</v>
      </c>
      <c r="D116" s="2">
        <v>-7.95</v>
      </c>
      <c r="E116" s="2">
        <v>0</v>
      </c>
      <c r="F116" s="2">
        <f>B116-0.2345273</f>
        <v>7.7883299999999989E-2</v>
      </c>
      <c r="G116" s="2">
        <f>0.4161579-B116</f>
        <v>0.10374730000000004</v>
      </c>
    </row>
    <row r="117" spans="1:7" x14ac:dyDescent="0.25">
      <c r="A117" s="36" t="s">
        <v>29</v>
      </c>
      <c r="B117" s="2">
        <v>0.30160439999999999</v>
      </c>
      <c r="C117" s="2">
        <v>3.6219399999999999E-2</v>
      </c>
      <c r="D117" s="2">
        <v>-9.98</v>
      </c>
      <c r="E117" s="2">
        <v>0</v>
      </c>
      <c r="F117" s="2">
        <f>B117-0.2383514</f>
        <v>6.3253000000000004E-2</v>
      </c>
      <c r="G117" s="2">
        <f>0.3816434-B117</f>
        <v>8.0039000000000027E-2</v>
      </c>
    </row>
    <row r="118" spans="1:7" x14ac:dyDescent="0.25">
      <c r="A118" s="36" t="s">
        <v>30</v>
      </c>
      <c r="B118" s="2">
        <v>0.29177059999999999</v>
      </c>
      <c r="C118" s="2">
        <v>5.2730300000000001E-2</v>
      </c>
      <c r="D118" s="2">
        <v>-6.82</v>
      </c>
      <c r="E118" s="2">
        <v>0</v>
      </c>
      <c r="F118" s="2">
        <f>B118-0.2047425</f>
        <v>8.7028099999999997E-2</v>
      </c>
      <c r="G118" s="2">
        <f>0.4157911-B118</f>
        <v>0.12402050000000003</v>
      </c>
    </row>
    <row r="119" spans="1:7" x14ac:dyDescent="0.25">
      <c r="A119" s="36" t="s">
        <v>67</v>
      </c>
      <c r="B119" s="2">
        <v>0.71428579999999997</v>
      </c>
      <c r="C119" s="2">
        <v>7.7807500000000002E-2</v>
      </c>
      <c r="D119" s="2">
        <v>-3.09</v>
      </c>
      <c r="E119" s="2">
        <v>2E-3</v>
      </c>
      <c r="F119" s="2">
        <f>B119-0.576966</f>
        <v>0.13731979999999999</v>
      </c>
      <c r="G119" s="2">
        <f>0.884288-B119</f>
        <v>0.17000219999999999</v>
      </c>
    </row>
    <row r="120" spans="1:7" x14ac:dyDescent="0.25">
      <c r="A120" s="36" t="s">
        <v>31</v>
      </c>
      <c r="B120" s="2">
        <v>1.542527</v>
      </c>
      <c r="C120" s="2">
        <v>0.1470669</v>
      </c>
      <c r="D120" s="2">
        <v>4.55</v>
      </c>
      <c r="E120" s="2">
        <v>0</v>
      </c>
      <c r="F120" s="2">
        <f>B120-1.279611</f>
        <v>0.26291599999999993</v>
      </c>
      <c r="G120" s="2">
        <f>1.859464-B120</f>
        <v>0.31693700000000002</v>
      </c>
    </row>
    <row r="121" spans="1:7" x14ac:dyDescent="0.25">
      <c r="A121" s="36" t="s">
        <v>32</v>
      </c>
      <c r="B121" s="2">
        <v>1.8766499999999999</v>
      </c>
      <c r="C121" s="2">
        <v>0.1590133</v>
      </c>
      <c r="D121" s="2">
        <v>7.43</v>
      </c>
      <c r="E121" s="2">
        <v>0</v>
      </c>
      <c r="F121" s="2">
        <f>B121-1.589494</f>
        <v>0.28715599999999997</v>
      </c>
      <c r="G121" s="2">
        <f>2.215684-B121</f>
        <v>0.33903400000000006</v>
      </c>
    </row>
    <row r="122" spans="1:7" x14ac:dyDescent="0.25">
      <c r="A122" s="36" t="s">
        <v>33</v>
      </c>
      <c r="B122" s="2">
        <v>2.483994</v>
      </c>
      <c r="C122" s="2">
        <v>0.25172250000000002</v>
      </c>
      <c r="D122" s="2">
        <v>8.98</v>
      </c>
      <c r="E122" s="2">
        <v>0</v>
      </c>
      <c r="F122" s="2">
        <f>B122-2.036534</f>
        <v>0.44745999999999997</v>
      </c>
      <c r="G122" s="2">
        <f>3.029769-B122</f>
        <v>0.5457749999999999</v>
      </c>
    </row>
    <row r="123" spans="1:7" x14ac:dyDescent="0.25">
      <c r="A123" s="36" t="s">
        <v>34</v>
      </c>
      <c r="B123" s="2">
        <v>1</v>
      </c>
      <c r="C123" s="2"/>
      <c r="D123" s="2"/>
      <c r="E123" s="2"/>
      <c r="F123" s="2">
        <v>0</v>
      </c>
      <c r="G123" s="2">
        <v>0</v>
      </c>
    </row>
    <row r="124" spans="1:7" x14ac:dyDescent="0.25">
      <c r="A124" s="36" t="s">
        <v>35</v>
      </c>
      <c r="B124" s="2">
        <v>2.196637</v>
      </c>
      <c r="C124" s="2">
        <v>0.19934479999999999</v>
      </c>
      <c r="D124" s="2">
        <v>8.67</v>
      </c>
      <c r="E124" s="2">
        <v>0</v>
      </c>
      <c r="F124" s="2">
        <f>B124-1.838704</f>
        <v>0.35793300000000006</v>
      </c>
      <c r="G124" s="2">
        <f>2.624248-B124</f>
        <v>0.42761100000000019</v>
      </c>
    </row>
    <row r="125" spans="1:7" x14ac:dyDescent="0.25">
      <c r="A125" s="36" t="s">
        <v>36</v>
      </c>
      <c r="B125" s="2">
        <v>1.861183</v>
      </c>
      <c r="C125" s="2">
        <v>0.15772340000000001</v>
      </c>
      <c r="D125" s="2">
        <v>7.33</v>
      </c>
      <c r="E125" s="2">
        <v>0</v>
      </c>
      <c r="F125" s="2">
        <f>B125-1.576359</f>
        <v>0.28482399999999997</v>
      </c>
      <c r="G125" s="2">
        <f>2.19747-B125</f>
        <v>0.336287</v>
      </c>
    </row>
    <row r="126" spans="1:7" x14ac:dyDescent="0.25">
      <c r="A126" s="36" t="s">
        <v>37</v>
      </c>
      <c r="B126" s="2">
        <v>4.581588</v>
      </c>
      <c r="C126" s="2">
        <v>0.42699599999999999</v>
      </c>
      <c r="D126" s="2">
        <v>16.329999999999998</v>
      </c>
      <c r="E126" s="2">
        <v>0</v>
      </c>
      <c r="F126" s="2">
        <f>B126-3.816678</f>
        <v>0.76490999999999998</v>
      </c>
      <c r="G126" s="2">
        <f>5.499795-B126</f>
        <v>0.91820699999999977</v>
      </c>
    </row>
    <row r="127" spans="1:7" x14ac:dyDescent="0.25">
      <c r="A127" s="36" t="s">
        <v>50</v>
      </c>
      <c r="B127" s="2">
        <v>0.2165899</v>
      </c>
      <c r="C127" s="2">
        <v>3.4946699999999997E-2</v>
      </c>
      <c r="D127" s="2">
        <v>-9.48</v>
      </c>
      <c r="E127" s="2">
        <v>0</v>
      </c>
      <c r="F127" s="2">
        <f>B127-0.1578691</f>
        <v>5.872079999999999E-2</v>
      </c>
      <c r="G127" s="2">
        <f>0.2971524-B127</f>
        <v>8.0562499999999981E-2</v>
      </c>
    </row>
    <row r="128" spans="1:7" x14ac:dyDescent="0.25">
      <c r="A128" s="36" t="s">
        <v>51</v>
      </c>
      <c r="B128" s="2">
        <v>0.2440708</v>
      </c>
      <c r="C128" s="2">
        <v>3.80671E-2</v>
      </c>
      <c r="D128" s="2">
        <v>-9.0399999999999991</v>
      </c>
      <c r="E128" s="2">
        <v>0</v>
      </c>
      <c r="F128" s="2">
        <f>B128-0.1797861</f>
        <v>6.42847E-2</v>
      </c>
      <c r="G128" s="2">
        <f>0.3313412-B128</f>
        <v>8.7270399999999998E-2</v>
      </c>
    </row>
    <row r="129" spans="1:10" x14ac:dyDescent="0.25">
      <c r="A129" s="36" t="s">
        <v>52</v>
      </c>
      <c r="B129" s="2">
        <v>0.59547519999999998</v>
      </c>
      <c r="C129" s="2">
        <v>5.9623799999999998E-2</v>
      </c>
      <c r="D129" s="2">
        <v>-5.18</v>
      </c>
      <c r="E129" s="2">
        <v>0</v>
      </c>
      <c r="F129" s="2">
        <f>B129-0.4893668</f>
        <v>0.10610839999999999</v>
      </c>
      <c r="G129" s="2">
        <f>0.724591-B129</f>
        <v>0.1291158</v>
      </c>
    </row>
    <row r="130" spans="1:10" x14ac:dyDescent="0.25">
      <c r="A130" s="36" t="s">
        <v>53</v>
      </c>
      <c r="B130" s="2">
        <v>0.36274190000000001</v>
      </c>
      <c r="C130" s="2">
        <v>6.1888499999999999E-2</v>
      </c>
      <c r="D130" s="2">
        <v>-5.94</v>
      </c>
      <c r="E130" s="2">
        <v>0</v>
      </c>
      <c r="F130" s="2">
        <f>B130-0.2596399</f>
        <v>0.10310200000000003</v>
      </c>
      <c r="G130" s="2">
        <f>0.5067851-B130</f>
        <v>0.14404319999999998</v>
      </c>
    </row>
    <row r="131" spans="1:10" x14ac:dyDescent="0.25">
      <c r="A131" s="36" t="s">
        <v>54</v>
      </c>
      <c r="B131" s="2">
        <v>0.24884790000000001</v>
      </c>
      <c r="C131" s="2">
        <v>3.81243E-2</v>
      </c>
      <c r="D131" s="2">
        <v>-9.08</v>
      </c>
      <c r="E131" s="2">
        <v>0</v>
      </c>
      <c r="F131" s="2">
        <f>B131-0.1843008</f>
        <v>6.4547100000000024E-2</v>
      </c>
      <c r="G131" s="2">
        <f>0.3360012-B131</f>
        <v>8.7153299999999989E-2</v>
      </c>
    </row>
    <row r="132" spans="1:10" x14ac:dyDescent="0.25">
      <c r="A132" s="36" t="s">
        <v>55</v>
      </c>
      <c r="B132" s="2">
        <v>0.2245451</v>
      </c>
      <c r="C132" s="2">
        <v>3.7726299999999997E-2</v>
      </c>
      <c r="D132" s="2">
        <v>-8.89</v>
      </c>
      <c r="E132" s="2">
        <v>0</v>
      </c>
      <c r="F132" s="2">
        <f>B132-0.1615443</f>
        <v>6.3000799999999996E-2</v>
      </c>
      <c r="G132" s="2">
        <f>0.3121157-B132</f>
        <v>8.7570599999999998E-2</v>
      </c>
    </row>
    <row r="133" spans="1:10" x14ac:dyDescent="0.25">
      <c r="A133" s="36" t="s">
        <v>56</v>
      </c>
      <c r="B133" s="2">
        <v>0.26809280000000002</v>
      </c>
      <c r="C133" s="2">
        <v>3.3517699999999997E-2</v>
      </c>
      <c r="D133" s="2">
        <v>-10.53</v>
      </c>
      <c r="E133" s="2">
        <v>0</v>
      </c>
      <c r="F133" s="2">
        <f>B133-0.2098291</f>
        <v>5.8263700000000029E-2</v>
      </c>
      <c r="G133" s="2">
        <f>0.3425348-B133</f>
        <v>7.4441999999999953E-2</v>
      </c>
    </row>
    <row r="134" spans="1:10" x14ac:dyDescent="0.25">
      <c r="A134" s="36" t="s">
        <v>57</v>
      </c>
      <c r="B134" s="2">
        <v>0.1892567</v>
      </c>
      <c r="C134" s="2">
        <v>4.1441400000000003E-2</v>
      </c>
      <c r="D134" s="2">
        <v>-7.6</v>
      </c>
      <c r="E134" s="2">
        <v>0</v>
      </c>
      <c r="F134" s="2">
        <f>B134-0.1232151</f>
        <v>6.6041600000000006E-2</v>
      </c>
      <c r="G134" s="2">
        <f>0.2906956-B134</f>
        <v>0.1014389</v>
      </c>
    </row>
    <row r="135" spans="1:10" x14ac:dyDescent="0.25">
      <c r="A135" s="36" t="s">
        <v>58</v>
      </c>
      <c r="B135" s="2">
        <v>0.41013830000000001</v>
      </c>
      <c r="C135" s="2">
        <v>5.3061299999999999E-2</v>
      </c>
      <c r="D135" s="2">
        <v>-6.89</v>
      </c>
      <c r="E135" s="2">
        <v>0</v>
      </c>
      <c r="F135" s="2">
        <f>B135-0.3182781</f>
        <v>9.1860200000000003E-2</v>
      </c>
      <c r="G135" s="2">
        <f>0.5285109-B135</f>
        <v>0.11837259999999999</v>
      </c>
    </row>
    <row r="136" spans="1:10" x14ac:dyDescent="0.25">
      <c r="A136" s="36" t="s">
        <v>59</v>
      </c>
      <c r="B136" s="2">
        <v>0.43932729999999998</v>
      </c>
      <c r="C136" s="2">
        <v>5.6829699999999997E-2</v>
      </c>
      <c r="D136" s="2">
        <v>-6.36</v>
      </c>
      <c r="E136" s="2">
        <v>0</v>
      </c>
      <c r="F136" s="2">
        <f>B136-0.3409416</f>
        <v>9.8385699999999965E-2</v>
      </c>
      <c r="G136" s="2">
        <f>0.5661042-B136</f>
        <v>0.12677689999999997</v>
      </c>
    </row>
    <row r="137" spans="1:10" x14ac:dyDescent="0.25">
      <c r="A137" s="36" t="s">
        <v>60</v>
      </c>
      <c r="B137" s="2">
        <v>0.62898679999999996</v>
      </c>
      <c r="C137" s="2">
        <v>6.2466099999999997E-2</v>
      </c>
      <c r="D137" s="2">
        <v>-4.67</v>
      </c>
      <c r="E137" s="2">
        <v>0</v>
      </c>
      <c r="F137" s="2">
        <f>B137-0.5177341</f>
        <v>0.11125269999999998</v>
      </c>
      <c r="G137" s="2">
        <f>0.7641459-B137</f>
        <v>0.13515910000000009</v>
      </c>
    </row>
    <row r="138" spans="1:10" x14ac:dyDescent="0.25">
      <c r="A138" s="36" t="s">
        <v>61</v>
      </c>
      <c r="B138" s="2">
        <v>0.7491409</v>
      </c>
      <c r="C138" s="2">
        <v>0.1001655</v>
      </c>
      <c r="D138" s="2">
        <v>-2.16</v>
      </c>
      <c r="E138" s="2">
        <v>3.1E-2</v>
      </c>
      <c r="F138" s="2">
        <f>B138-0.5764369</f>
        <v>0.17270399999999997</v>
      </c>
      <c r="G138" s="2">
        <f>0.9735881-B138</f>
        <v>0.22444719999999996</v>
      </c>
    </row>
    <row r="139" spans="1:10" x14ac:dyDescent="0.25">
      <c r="A139" s="36"/>
      <c r="B139" s="3"/>
      <c r="C139" s="3"/>
      <c r="D139" s="3"/>
      <c r="E139" s="3"/>
      <c r="F139" s="3"/>
      <c r="G139" s="3"/>
    </row>
    <row r="140" spans="1:10" x14ac:dyDescent="0.25">
      <c r="A140" s="5" t="s">
        <v>6</v>
      </c>
      <c r="B140" s="6">
        <v>6.3057E-3</v>
      </c>
      <c r="C140" s="6">
        <v>5.4370000000000004E-4</v>
      </c>
      <c r="D140" s="6">
        <v>-58.76</v>
      </c>
      <c r="E140" s="6">
        <v>0</v>
      </c>
      <c r="F140" s="6">
        <v>5.3252999999999998E-3</v>
      </c>
      <c r="G140" s="6">
        <v>7.4666000000000003E-3</v>
      </c>
    </row>
    <row r="142" spans="1:10" ht="15.75" thickBot="1" x14ac:dyDescent="0.3"/>
    <row r="143" spans="1:10" x14ac:dyDescent="0.25">
      <c r="A143" s="10"/>
      <c r="B143" s="11" t="s">
        <v>9</v>
      </c>
      <c r="C143" s="11" t="s">
        <v>10</v>
      </c>
      <c r="D143" s="11" t="s">
        <v>40</v>
      </c>
      <c r="E143" s="11" t="s">
        <v>11</v>
      </c>
      <c r="F143" s="11" t="s">
        <v>7</v>
      </c>
      <c r="G143" s="11" t="s">
        <v>8</v>
      </c>
      <c r="H143" s="11" t="s">
        <v>62</v>
      </c>
      <c r="I143" s="11" t="s">
        <v>64</v>
      </c>
      <c r="J143" s="12" t="s">
        <v>65</v>
      </c>
    </row>
    <row r="144" spans="1:10" x14ac:dyDescent="0.25">
      <c r="A144" s="13" t="s">
        <v>12</v>
      </c>
      <c r="B144" s="14">
        <f>B103</f>
        <v>0.14285709999999999</v>
      </c>
      <c r="C144" s="15">
        <f>B107</f>
        <v>0.68663600000000002</v>
      </c>
      <c r="D144" s="15">
        <f>B111</f>
        <v>0.21198159999999999</v>
      </c>
      <c r="E144" s="15">
        <f>B115</f>
        <v>0.21198159999999999</v>
      </c>
      <c r="F144" s="15">
        <f>B119</f>
        <v>0.71428579999999997</v>
      </c>
      <c r="G144" s="15">
        <f>B123</f>
        <v>1</v>
      </c>
      <c r="H144" s="16">
        <f>B127</f>
        <v>0.2165899</v>
      </c>
      <c r="I144" s="16">
        <f>B131</f>
        <v>0.24884790000000001</v>
      </c>
      <c r="J144" s="17">
        <f>B135</f>
        <v>0.41013830000000001</v>
      </c>
    </row>
    <row r="145" spans="1:10" x14ac:dyDescent="0.25">
      <c r="A145" s="13" t="s">
        <v>13</v>
      </c>
      <c r="B145" s="15">
        <f>B104</f>
        <v>0.1757309</v>
      </c>
      <c r="C145" s="15">
        <f>B108</f>
        <v>1.1520140000000001</v>
      </c>
      <c r="D145" s="15">
        <f>B112</f>
        <v>0.14156099999999999</v>
      </c>
      <c r="E145" s="15">
        <f>B116</f>
        <v>0.31241059999999998</v>
      </c>
      <c r="F145" s="15">
        <f>B120</f>
        <v>1.542527</v>
      </c>
      <c r="G145" s="15">
        <f>B124</f>
        <v>2.196637</v>
      </c>
      <c r="H145" s="16">
        <f>B128</f>
        <v>0.2440708</v>
      </c>
      <c r="I145" s="16">
        <f>B132</f>
        <v>0.2245451</v>
      </c>
      <c r="J145" s="17">
        <f>B136</f>
        <v>0.43932729999999998</v>
      </c>
    </row>
    <row r="146" spans="1:10" x14ac:dyDescent="0.25">
      <c r="A146" s="13" t="s">
        <v>14</v>
      </c>
      <c r="B146" s="15">
        <f>B105</f>
        <v>0.24231469999999999</v>
      </c>
      <c r="C146" s="15">
        <f>B109</f>
        <v>1.020815</v>
      </c>
      <c r="D146" s="15">
        <f>B113</f>
        <v>0.13920199999999999</v>
      </c>
      <c r="E146" s="15">
        <f>B117</f>
        <v>0.30160439999999999</v>
      </c>
      <c r="F146" s="15">
        <f>B121</f>
        <v>1.8766499999999999</v>
      </c>
      <c r="G146" s="15">
        <f>B125</f>
        <v>1.861183</v>
      </c>
      <c r="H146" s="16">
        <f>B129</f>
        <v>0.59547519999999998</v>
      </c>
      <c r="I146" s="16">
        <f>B133</f>
        <v>0.26809280000000002</v>
      </c>
      <c r="J146" s="17">
        <f>B137</f>
        <v>0.62898679999999996</v>
      </c>
    </row>
    <row r="147" spans="1:10" ht="15.75" thickBot="1" x14ac:dyDescent="0.3">
      <c r="A147" s="19" t="s">
        <v>371</v>
      </c>
      <c r="B147" s="20">
        <f>B106</f>
        <v>0.21291379999999999</v>
      </c>
      <c r="C147" s="20">
        <f>B110</f>
        <v>0.93051200000000001</v>
      </c>
      <c r="D147" s="20">
        <f>B114</f>
        <v>0.10251399999999999</v>
      </c>
      <c r="E147" s="20">
        <f>B118</f>
        <v>0.29177059999999999</v>
      </c>
      <c r="F147" s="20">
        <f>B122</f>
        <v>2.483994</v>
      </c>
      <c r="G147" s="20">
        <f>B126</f>
        <v>4.581588</v>
      </c>
      <c r="H147" s="21">
        <f>B130</f>
        <v>0.36274190000000001</v>
      </c>
      <c r="I147" s="21">
        <f>B134</f>
        <v>0.1892567</v>
      </c>
      <c r="J147" s="22">
        <f>B138</f>
        <v>0.7491409</v>
      </c>
    </row>
    <row r="165" spans="1:7" s="1" customFormat="1" x14ac:dyDescent="0.25">
      <c r="A165" s="1" t="s">
        <v>90</v>
      </c>
    </row>
    <row r="167" spans="1:7" x14ac:dyDescent="0.25">
      <c r="A167" s="49"/>
      <c r="B167" s="46" t="s">
        <v>1</v>
      </c>
      <c r="C167" s="47"/>
      <c r="D167" s="47"/>
      <c r="E167" s="47"/>
      <c r="F167" s="47"/>
      <c r="G167" s="47"/>
    </row>
    <row r="168" spans="1:7" x14ac:dyDescent="0.25">
      <c r="A168" s="50" t="s">
        <v>2</v>
      </c>
      <c r="B168" s="48" t="s">
        <v>269</v>
      </c>
      <c r="C168" s="48" t="s">
        <v>270</v>
      </c>
      <c r="D168" s="48" t="s">
        <v>3</v>
      </c>
      <c r="E168" s="48" t="s">
        <v>4</v>
      </c>
      <c r="F168" s="48" t="s">
        <v>271</v>
      </c>
      <c r="G168" s="48" t="s">
        <v>272</v>
      </c>
    </row>
    <row r="169" spans="1:7" x14ac:dyDescent="0.25">
      <c r="A169" s="49"/>
      <c r="B169" s="46"/>
      <c r="C169" s="46"/>
      <c r="D169" s="47"/>
      <c r="E169" s="47"/>
      <c r="F169" s="47"/>
      <c r="G169" s="47"/>
    </row>
    <row r="170" spans="1:7" x14ac:dyDescent="0.25">
      <c r="A170" s="49" t="s">
        <v>74</v>
      </c>
      <c r="B170" s="47"/>
      <c r="C170" s="47"/>
      <c r="D170" s="47"/>
      <c r="E170" s="47"/>
      <c r="F170" s="47"/>
      <c r="G170" s="47"/>
    </row>
    <row r="171" spans="1:7" x14ac:dyDescent="0.25">
      <c r="A171" s="49" t="s">
        <v>75</v>
      </c>
      <c r="B171" s="46">
        <v>0.71165679999999998</v>
      </c>
      <c r="C171" s="46">
        <v>2.6064500000000001E-2</v>
      </c>
      <c r="D171" s="46">
        <v>-9.2899999999999991</v>
      </c>
      <c r="E171" s="46">
        <v>0</v>
      </c>
      <c r="F171" s="46">
        <v>0.66236189999999995</v>
      </c>
      <c r="G171" s="46">
        <v>0.76462050000000004</v>
      </c>
    </row>
    <row r="172" spans="1:7" x14ac:dyDescent="0.25">
      <c r="A172" s="49" t="s">
        <v>76</v>
      </c>
      <c r="B172" s="46">
        <v>0.51832180000000005</v>
      </c>
      <c r="C172" s="46">
        <v>3.1270800000000001E-2</v>
      </c>
      <c r="D172" s="46">
        <v>-10.89</v>
      </c>
      <c r="E172" s="46">
        <v>0</v>
      </c>
      <c r="F172" s="46">
        <v>0.46051710000000001</v>
      </c>
      <c r="G172" s="46">
        <v>0.58338210000000001</v>
      </c>
    </row>
    <row r="173" spans="1:7" x14ac:dyDescent="0.25">
      <c r="A173" s="49" t="s">
        <v>77</v>
      </c>
      <c r="B173" s="46">
        <v>0.49208299999999999</v>
      </c>
      <c r="C173" s="46">
        <v>3.3852399999999998E-2</v>
      </c>
      <c r="D173" s="46">
        <v>-10.31</v>
      </c>
      <c r="E173" s="46">
        <v>0</v>
      </c>
      <c r="F173" s="46">
        <v>0.43001220000000001</v>
      </c>
      <c r="G173" s="46">
        <v>0.56311359999999999</v>
      </c>
    </row>
    <row r="174" spans="1:7" x14ac:dyDescent="0.25">
      <c r="A174" s="49" t="s">
        <v>78</v>
      </c>
      <c r="B174" s="46">
        <v>0.41131659999999998</v>
      </c>
      <c r="C174" s="46">
        <v>3.0754900000000002E-2</v>
      </c>
      <c r="D174" s="46">
        <v>-11.88</v>
      </c>
      <c r="E174" s="46">
        <v>0</v>
      </c>
      <c r="F174" s="46">
        <v>0.35524689999999998</v>
      </c>
      <c r="G174" s="46">
        <v>0.47623589999999999</v>
      </c>
    </row>
    <row r="175" spans="1:7" x14ac:dyDescent="0.25">
      <c r="A175" s="49" t="s">
        <v>79</v>
      </c>
      <c r="B175" s="46">
        <v>0.36288959999999998</v>
      </c>
      <c r="C175" s="46">
        <v>3.3072499999999998E-2</v>
      </c>
      <c r="D175" s="46">
        <v>-11.12</v>
      </c>
      <c r="E175" s="46">
        <v>0</v>
      </c>
      <c r="F175" s="46">
        <v>0.30352820000000003</v>
      </c>
      <c r="G175" s="46">
        <v>0.43386039999999998</v>
      </c>
    </row>
    <row r="176" spans="1:7" x14ac:dyDescent="0.25">
      <c r="A176" s="49" t="s">
        <v>80</v>
      </c>
      <c r="B176" s="46">
        <v>0.27301330000000001</v>
      </c>
      <c r="C176" s="46">
        <v>2.8686400000000001E-2</v>
      </c>
      <c r="D176" s="46">
        <v>-12.36</v>
      </c>
      <c r="E176" s="46">
        <v>0</v>
      </c>
      <c r="F176" s="46">
        <v>0.2222006</v>
      </c>
      <c r="G176" s="46">
        <v>0.33544580000000002</v>
      </c>
    </row>
    <row r="177" spans="1:7" x14ac:dyDescent="0.25">
      <c r="A177" s="49" t="s">
        <v>86</v>
      </c>
      <c r="B177" s="46">
        <v>0.20457700000000001</v>
      </c>
      <c r="C177" s="46">
        <v>4.27897E-2</v>
      </c>
      <c r="D177" s="46">
        <v>-7.59</v>
      </c>
      <c r="E177" s="46">
        <v>0</v>
      </c>
      <c r="F177" s="46">
        <v>0.13577449999999999</v>
      </c>
      <c r="G177" s="46">
        <v>0.30824469999999998</v>
      </c>
    </row>
    <row r="178" spans="1:7" x14ac:dyDescent="0.25">
      <c r="A178" s="49" t="s">
        <v>87</v>
      </c>
      <c r="B178" s="46">
        <v>0.21669620000000001</v>
      </c>
      <c r="C178" s="46">
        <v>4.3950099999999999E-2</v>
      </c>
      <c r="D178" s="46">
        <v>-7.54</v>
      </c>
      <c r="E178" s="46">
        <v>0</v>
      </c>
      <c r="F178" s="46">
        <v>0.14561679999999999</v>
      </c>
      <c r="G178" s="46">
        <v>0.32247150000000002</v>
      </c>
    </row>
    <row r="179" spans="1:7" x14ac:dyDescent="0.25">
      <c r="A179" s="49" t="s">
        <v>88</v>
      </c>
      <c r="B179" s="46">
        <v>5.0282599999999997E-2</v>
      </c>
      <c r="C179" s="46">
        <v>2.4578699999999998E-2</v>
      </c>
      <c r="D179" s="46">
        <v>-6.12</v>
      </c>
      <c r="E179" s="46">
        <v>0</v>
      </c>
      <c r="F179" s="46">
        <v>1.9290399999999999E-2</v>
      </c>
      <c r="G179" s="46">
        <v>0.13106760000000001</v>
      </c>
    </row>
    <row r="180" spans="1:7" x14ac:dyDescent="0.25">
      <c r="A180" s="49"/>
      <c r="B180" s="47"/>
      <c r="C180" s="47"/>
      <c r="D180" s="47"/>
      <c r="E180" s="47"/>
      <c r="F180" s="47"/>
      <c r="G180" s="47"/>
    </row>
    <row r="181" spans="1:7" x14ac:dyDescent="0.25">
      <c r="A181" s="49" t="s">
        <v>113</v>
      </c>
      <c r="B181" s="47"/>
      <c r="C181" s="47"/>
      <c r="D181" s="47"/>
      <c r="E181" s="47"/>
      <c r="F181" s="47"/>
      <c r="G181" s="47"/>
    </row>
    <row r="182" spans="1:7" x14ac:dyDescent="0.25">
      <c r="A182" s="49">
        <v>2</v>
      </c>
      <c r="B182" s="46">
        <v>1.417878</v>
      </c>
      <c r="C182" s="46">
        <v>6.10886E-2</v>
      </c>
      <c r="D182" s="46">
        <v>8.1</v>
      </c>
      <c r="E182" s="46">
        <v>0</v>
      </c>
      <c r="F182" s="46">
        <v>1.3030630000000001</v>
      </c>
      <c r="G182" s="46">
        <v>1.54281</v>
      </c>
    </row>
    <row r="183" spans="1:7" x14ac:dyDescent="0.25">
      <c r="A183" s="49">
        <v>3</v>
      </c>
      <c r="B183" s="46">
        <v>2.2424870000000001</v>
      </c>
      <c r="C183" s="46">
        <v>0.1267472</v>
      </c>
      <c r="D183" s="46">
        <v>14.29</v>
      </c>
      <c r="E183" s="46">
        <v>0</v>
      </c>
      <c r="F183" s="46">
        <v>2.0073319999999999</v>
      </c>
      <c r="G183" s="46">
        <v>2.5051890000000001</v>
      </c>
    </row>
    <row r="184" spans="1:7" x14ac:dyDescent="0.25">
      <c r="A184" s="49"/>
      <c r="B184" s="47"/>
      <c r="C184" s="47"/>
      <c r="D184" s="47"/>
      <c r="E184" s="47"/>
      <c r="F184" s="47"/>
      <c r="G184" s="47"/>
    </row>
    <row r="185" spans="1:7" x14ac:dyDescent="0.25">
      <c r="A185" s="49" t="s">
        <v>108</v>
      </c>
      <c r="B185" s="47"/>
      <c r="C185" s="47"/>
      <c r="D185" s="47"/>
      <c r="E185" s="47"/>
      <c r="F185" s="47"/>
      <c r="G185" s="47"/>
    </row>
    <row r="186" spans="1:7" x14ac:dyDescent="0.25">
      <c r="A186" s="49">
        <v>2</v>
      </c>
      <c r="B186" s="46">
        <v>1.119373</v>
      </c>
      <c r="C186" s="46">
        <v>3.8447200000000001E-2</v>
      </c>
      <c r="D186" s="46">
        <v>3.28</v>
      </c>
      <c r="E186" s="46">
        <v>1E-3</v>
      </c>
      <c r="F186" s="46">
        <v>1.0464979999999999</v>
      </c>
      <c r="G186" s="46">
        <v>1.197322</v>
      </c>
    </row>
    <row r="187" spans="1:7" x14ac:dyDescent="0.25">
      <c r="A187" s="49" t="s">
        <v>109</v>
      </c>
      <c r="B187" s="46">
        <v>1.321625</v>
      </c>
      <c r="C187" s="46">
        <v>8.0710699999999996E-2</v>
      </c>
      <c r="D187" s="46">
        <v>4.57</v>
      </c>
      <c r="E187" s="46">
        <v>0</v>
      </c>
      <c r="F187" s="46">
        <v>1.1725350000000001</v>
      </c>
      <c r="G187" s="46">
        <v>1.489671</v>
      </c>
    </row>
    <row r="188" spans="1:7" x14ac:dyDescent="0.25">
      <c r="A188" s="49"/>
      <c r="B188" s="47"/>
      <c r="C188" s="47"/>
      <c r="D188" s="47"/>
      <c r="E188" s="47"/>
      <c r="F188" s="47"/>
      <c r="G188" s="47"/>
    </row>
    <row r="189" spans="1:7" x14ac:dyDescent="0.25">
      <c r="A189" s="49" t="s">
        <v>83</v>
      </c>
      <c r="B189" s="47"/>
      <c r="C189" s="47"/>
      <c r="D189" s="47"/>
      <c r="E189" s="47"/>
      <c r="F189" s="47"/>
      <c r="G189" s="47"/>
    </row>
    <row r="190" spans="1:7" x14ac:dyDescent="0.25">
      <c r="A190" s="38" t="s">
        <v>315</v>
      </c>
      <c r="B190" s="46">
        <v>0.5648685</v>
      </c>
      <c r="C190" s="46">
        <v>1.7717E-2</v>
      </c>
      <c r="D190" s="46">
        <v>-18.21</v>
      </c>
      <c r="E190" s="46">
        <v>0</v>
      </c>
      <c r="F190" s="46">
        <v>0.53118949999999998</v>
      </c>
      <c r="G190" s="46">
        <v>0.60068279999999996</v>
      </c>
    </row>
    <row r="191" spans="1:7" x14ac:dyDescent="0.25">
      <c r="A191" s="38" t="s">
        <v>316</v>
      </c>
      <c r="B191" s="46">
        <v>0.46400170000000002</v>
      </c>
      <c r="C191" s="46">
        <v>2.16013E-2</v>
      </c>
      <c r="D191" s="46">
        <v>-16.489999999999998</v>
      </c>
      <c r="E191" s="46">
        <v>0</v>
      </c>
      <c r="F191" s="46">
        <v>0.42353809999999997</v>
      </c>
      <c r="G191" s="46">
        <v>0.50833110000000004</v>
      </c>
    </row>
    <row r="192" spans="1:7" x14ac:dyDescent="0.25">
      <c r="A192" s="38" t="s">
        <v>317</v>
      </c>
      <c r="B192" s="46">
        <v>0.34872419999999998</v>
      </c>
      <c r="C192" s="46">
        <v>2.1355300000000001E-2</v>
      </c>
      <c r="D192" s="46">
        <v>-17.2</v>
      </c>
      <c r="E192" s="46">
        <v>0</v>
      </c>
      <c r="F192" s="46">
        <v>0.30928280000000002</v>
      </c>
      <c r="G192" s="46">
        <v>0.39319530000000003</v>
      </c>
    </row>
    <row r="193" spans="1:7" x14ac:dyDescent="0.25">
      <c r="A193" s="38" t="s">
        <v>82</v>
      </c>
      <c r="B193" s="46">
        <v>0.40800229999999998</v>
      </c>
      <c r="C193" s="46">
        <v>2.9387199999999999E-2</v>
      </c>
      <c r="D193" s="46">
        <v>-12.45</v>
      </c>
      <c r="E193" s="46">
        <v>0</v>
      </c>
      <c r="F193" s="46">
        <v>0.35428520000000002</v>
      </c>
      <c r="G193" s="46">
        <v>0.46986410000000001</v>
      </c>
    </row>
    <row r="194" spans="1:7" x14ac:dyDescent="0.25">
      <c r="A194" s="49"/>
      <c r="B194" s="47"/>
      <c r="C194" s="47"/>
      <c r="D194" s="47"/>
      <c r="E194" s="47"/>
      <c r="F194" s="47"/>
      <c r="G194" s="47"/>
    </row>
    <row r="195" spans="1:7" x14ac:dyDescent="0.25">
      <c r="A195" s="49" t="s">
        <v>96</v>
      </c>
      <c r="B195" s="47"/>
      <c r="C195" s="47"/>
      <c r="D195" s="47"/>
      <c r="E195" s="47"/>
      <c r="F195" s="47"/>
      <c r="G195" s="47"/>
    </row>
    <row r="196" spans="1:7" x14ac:dyDescent="0.25">
      <c r="A196" s="49" t="s">
        <v>117</v>
      </c>
      <c r="B196" s="46">
        <v>0.1741935</v>
      </c>
      <c r="C196" s="46">
        <v>3.6865500000000002E-2</v>
      </c>
      <c r="D196" s="46">
        <v>-8.26</v>
      </c>
      <c r="E196" s="46">
        <v>0</v>
      </c>
      <c r="F196" s="46">
        <f>B196-0.1150504</f>
        <v>5.9143100000000004E-2</v>
      </c>
      <c r="G196" s="46">
        <f>0.2637401-B196</f>
        <v>8.9546599999999976E-2</v>
      </c>
    </row>
    <row r="197" spans="1:7" x14ac:dyDescent="0.25">
      <c r="A197" s="49" t="s">
        <v>118</v>
      </c>
      <c r="B197" s="46">
        <v>0.39276630000000001</v>
      </c>
      <c r="C197" s="46">
        <v>6.0081299999999997E-2</v>
      </c>
      <c r="D197" s="46">
        <v>-6.11</v>
      </c>
      <c r="E197" s="46">
        <v>0</v>
      </c>
      <c r="F197" s="46">
        <f>B197-0.2910222</f>
        <v>0.1017441</v>
      </c>
      <c r="G197" s="46">
        <f>0.530081-B197</f>
        <v>0.13731470000000001</v>
      </c>
    </row>
    <row r="198" spans="1:7" x14ac:dyDescent="0.25">
      <c r="A198" s="49" t="s">
        <v>119</v>
      </c>
      <c r="B198" s="46">
        <v>0.8258065</v>
      </c>
      <c r="C198" s="46">
        <v>0.1060745</v>
      </c>
      <c r="D198" s="46">
        <v>-1.49</v>
      </c>
      <c r="E198" s="46">
        <v>0.13600000000000001</v>
      </c>
      <c r="F198" s="46">
        <f>B198-0.64201</f>
        <v>0.18379650000000003</v>
      </c>
      <c r="G198" s="46">
        <f>1.062221-B198</f>
        <v>0.23641450000000008</v>
      </c>
    </row>
    <row r="199" spans="1:7" x14ac:dyDescent="0.25">
      <c r="A199" s="49" t="s">
        <v>120</v>
      </c>
      <c r="B199" s="46">
        <v>1.0570029999999999</v>
      </c>
      <c r="C199" s="46">
        <v>0.1293445</v>
      </c>
      <c r="D199" s="46">
        <v>0.45</v>
      </c>
      <c r="E199" s="46">
        <v>0.65100000000000002</v>
      </c>
      <c r="F199" s="46">
        <f>B199-0.8316022</f>
        <v>0.22540079999999996</v>
      </c>
      <c r="G199" s="46">
        <f>1.343498-B199</f>
        <v>0.28649500000000017</v>
      </c>
    </row>
    <row r="200" spans="1:7" x14ac:dyDescent="0.25">
      <c r="A200" s="49" t="s">
        <v>121</v>
      </c>
      <c r="B200" s="46">
        <v>0.38064520000000002</v>
      </c>
      <c r="C200" s="46">
        <v>6.2982099999999999E-2</v>
      </c>
      <c r="D200" s="46">
        <v>-5.84</v>
      </c>
      <c r="E200" s="46">
        <v>0</v>
      </c>
      <c r="F200" s="46">
        <f>B200-0.2752195</f>
        <v>0.10542570000000001</v>
      </c>
      <c r="G200" s="46">
        <f>0.5264551-B200</f>
        <v>0.14580989999999994</v>
      </c>
    </row>
    <row r="201" spans="1:7" x14ac:dyDescent="0.25">
      <c r="A201" s="49" t="s">
        <v>122</v>
      </c>
      <c r="B201" s="46">
        <v>0.32345459999999998</v>
      </c>
      <c r="C201" s="46">
        <v>5.3323799999999998E-2</v>
      </c>
      <c r="D201" s="46">
        <v>-6.85</v>
      </c>
      <c r="E201" s="46">
        <v>0</v>
      </c>
      <c r="F201" s="46">
        <f>B201-0.2341459</f>
        <v>8.9308699999999991E-2</v>
      </c>
      <c r="G201" s="46">
        <f>0.4468276-B201</f>
        <v>0.12337300000000001</v>
      </c>
    </row>
    <row r="202" spans="1:7" x14ac:dyDescent="0.25">
      <c r="A202" s="49" t="s">
        <v>123</v>
      </c>
      <c r="B202" s="46">
        <v>0.38709680000000002</v>
      </c>
      <c r="C202" s="46">
        <v>6.2737399999999999E-2</v>
      </c>
      <c r="D202" s="46">
        <v>-5.86</v>
      </c>
      <c r="E202" s="46">
        <v>0</v>
      </c>
      <c r="F202" s="46">
        <f>B202-0.28175</f>
        <v>0.10534680000000002</v>
      </c>
      <c r="G202" s="46">
        <f>0.5318328-B202</f>
        <v>0.14473599999999998</v>
      </c>
    </row>
    <row r="203" spans="1:7" x14ac:dyDescent="0.25">
      <c r="A203" s="49" t="s">
        <v>124</v>
      </c>
      <c r="B203" s="46">
        <v>0.43897409999999998</v>
      </c>
      <c r="C203" s="46">
        <v>6.6496100000000002E-2</v>
      </c>
      <c r="D203" s="46">
        <v>-5.44</v>
      </c>
      <c r="E203" s="46">
        <v>0</v>
      </c>
      <c r="F203" s="46">
        <f>B203-0.3262107</f>
        <v>0.11276339999999996</v>
      </c>
      <c r="G203" s="46">
        <f>0.590717-B203</f>
        <v>0.15174290000000007</v>
      </c>
    </row>
    <row r="204" spans="1:7" x14ac:dyDescent="0.25">
      <c r="A204" s="49" t="s">
        <v>153</v>
      </c>
      <c r="B204" s="46">
        <v>1.0064519999999999</v>
      </c>
      <c r="C204" s="46">
        <v>0.1292991</v>
      </c>
      <c r="D204" s="46">
        <v>0.05</v>
      </c>
      <c r="E204" s="46">
        <v>0.96</v>
      </c>
      <c r="F204" s="46">
        <f>B204-0.782418</f>
        <v>0.22403399999999996</v>
      </c>
      <c r="G204" s="46">
        <f>1.294634-B204</f>
        <v>0.28818200000000016</v>
      </c>
    </row>
    <row r="205" spans="1:7" x14ac:dyDescent="0.25">
      <c r="A205" s="49" t="s">
        <v>125</v>
      </c>
      <c r="B205" s="46">
        <v>1.7501199999999999</v>
      </c>
      <c r="C205" s="46">
        <v>0.20443700000000001</v>
      </c>
      <c r="D205" s="46">
        <v>4.79</v>
      </c>
      <c r="E205" s="46">
        <v>0</v>
      </c>
      <c r="F205" s="46">
        <f>B205-1.391991</f>
        <v>0.35812899999999992</v>
      </c>
      <c r="G205" s="46">
        <f>2.200389-B205</f>
        <v>0.45026900000000003</v>
      </c>
    </row>
    <row r="206" spans="1:7" x14ac:dyDescent="0.25">
      <c r="A206" s="49" t="s">
        <v>126</v>
      </c>
      <c r="B206" s="46">
        <v>1</v>
      </c>
      <c r="C206" s="46"/>
      <c r="D206" s="46"/>
      <c r="E206" s="46"/>
      <c r="F206" s="46">
        <v>0</v>
      </c>
      <c r="G206" s="46">
        <v>0</v>
      </c>
    </row>
    <row r="207" spans="1:7" x14ac:dyDescent="0.25">
      <c r="A207" s="49" t="s">
        <v>127</v>
      </c>
      <c r="B207" s="46">
        <v>2.108231</v>
      </c>
      <c r="C207" s="46">
        <v>0.2478978</v>
      </c>
      <c r="D207" s="46">
        <v>6.34</v>
      </c>
      <c r="E207" s="46">
        <v>0</v>
      </c>
      <c r="F207" s="46">
        <f>B207-1.674283</f>
        <v>0.433948</v>
      </c>
      <c r="G207" s="46">
        <f>2.65465-B207</f>
        <v>0.54641900000000021</v>
      </c>
    </row>
    <row r="208" spans="1:7" x14ac:dyDescent="0.25">
      <c r="A208" s="49" t="s">
        <v>128</v>
      </c>
      <c r="B208" s="46">
        <v>0.3225806</v>
      </c>
      <c r="C208" s="46">
        <v>5.4653399999999998E-2</v>
      </c>
      <c r="D208" s="46">
        <v>-6.68</v>
      </c>
      <c r="E208" s="46">
        <v>0</v>
      </c>
      <c r="F208" s="46">
        <f>B208-0.2314319</f>
        <v>9.1148699999999999E-2</v>
      </c>
      <c r="G208" s="46">
        <f>0.4496281-B208</f>
        <v>0.12704749999999998</v>
      </c>
    </row>
    <row r="209" spans="1:7" x14ac:dyDescent="0.25">
      <c r="A209" s="49" t="s">
        <v>129</v>
      </c>
      <c r="B209" s="46">
        <v>0.71044490000000005</v>
      </c>
      <c r="C209" s="46">
        <v>9.2123999999999998E-2</v>
      </c>
      <c r="D209" s="46">
        <v>-2.64</v>
      </c>
      <c r="E209" s="46">
        <v>8.0000000000000002E-3</v>
      </c>
      <c r="F209" s="46">
        <f>B209-0.5510034</f>
        <v>0.15944150000000001</v>
      </c>
      <c r="G209" s="46">
        <f>0.9160232-B209</f>
        <v>0.20557829999999999</v>
      </c>
    </row>
    <row r="210" spans="1:7" x14ac:dyDescent="0.25">
      <c r="A210" s="49" t="s">
        <v>130</v>
      </c>
      <c r="B210" s="46">
        <v>0.4903226</v>
      </c>
      <c r="C210" s="46">
        <v>7.3069300000000004E-2</v>
      </c>
      <c r="D210" s="46">
        <v>-4.78</v>
      </c>
      <c r="E210" s="46">
        <v>0</v>
      </c>
      <c r="F210" s="46">
        <f>B210-0.3661283</f>
        <v>0.12419429999999998</v>
      </c>
      <c r="G210" s="46">
        <f>0.6566447-B210</f>
        <v>0.16632209999999997</v>
      </c>
    </row>
    <row r="211" spans="1:7" x14ac:dyDescent="0.25">
      <c r="A211" s="49" t="s">
        <v>131</v>
      </c>
      <c r="B211" s="46">
        <v>0.51983769999999996</v>
      </c>
      <c r="C211" s="46">
        <v>7.5412999999999994E-2</v>
      </c>
      <c r="D211" s="46">
        <v>-4.51</v>
      </c>
      <c r="E211" s="46">
        <v>0</v>
      </c>
      <c r="F211" s="46">
        <f>B211-0.3911864</f>
        <v>0.12865129999999997</v>
      </c>
      <c r="G211" s="46">
        <f>0.6907992-B211</f>
        <v>0.17096149999999999</v>
      </c>
    </row>
    <row r="212" spans="1:7" x14ac:dyDescent="0.25">
      <c r="A212" s="49" t="s">
        <v>132</v>
      </c>
      <c r="B212" s="46">
        <v>0.72258060000000002</v>
      </c>
      <c r="C212" s="46">
        <v>9.7641900000000004E-2</v>
      </c>
      <c r="D212" s="46">
        <v>-2.4</v>
      </c>
      <c r="E212" s="46">
        <v>1.6E-2</v>
      </c>
      <c r="F212" s="46">
        <f>B212-0.554452</f>
        <v>0.16812860000000007</v>
      </c>
      <c r="G212" s="46">
        <f>0.9416916-B212</f>
        <v>0.21911099999999994</v>
      </c>
    </row>
    <row r="213" spans="1:7" x14ac:dyDescent="0.25">
      <c r="A213" s="49" t="s">
        <v>133</v>
      </c>
      <c r="B213" s="46">
        <v>0.91260399999999997</v>
      </c>
      <c r="C213" s="46">
        <v>0.1155868</v>
      </c>
      <c r="D213" s="46">
        <v>-0.72</v>
      </c>
      <c r="E213" s="46">
        <v>0.47</v>
      </c>
      <c r="F213" s="46">
        <f>B213-0.7119878</f>
        <v>0.20061620000000002</v>
      </c>
      <c r="G213" s="46">
        <f>1.169748-B213</f>
        <v>0.25714400000000004</v>
      </c>
    </row>
    <row r="214" spans="1:7" x14ac:dyDescent="0.25">
      <c r="A214" s="49" t="s">
        <v>134</v>
      </c>
      <c r="B214" s="46">
        <v>0.1923329</v>
      </c>
      <c r="C214" s="46">
        <v>3.4837199999999999E-2</v>
      </c>
      <c r="D214" s="46">
        <v>-9.1</v>
      </c>
      <c r="E214" s="46">
        <v>0</v>
      </c>
      <c r="F214" s="46">
        <f>B214-0.1348577</f>
        <v>5.7475200000000004E-2</v>
      </c>
      <c r="G214" s="46">
        <f>0.2743035-B214</f>
        <v>8.1970599999999977E-2</v>
      </c>
    </row>
    <row r="215" spans="1:7" x14ac:dyDescent="0.25">
      <c r="A215" s="49" t="s">
        <v>135</v>
      </c>
      <c r="B215" s="46">
        <v>0.18101390000000001</v>
      </c>
      <c r="C215" s="46">
        <v>3.0707499999999999E-2</v>
      </c>
      <c r="D215" s="46">
        <v>-10.08</v>
      </c>
      <c r="E215" s="46">
        <v>0</v>
      </c>
      <c r="F215" s="46">
        <f>B215-0.1298114</f>
        <v>5.1202500000000012E-2</v>
      </c>
      <c r="G215" s="46">
        <f>0.2524128-B215</f>
        <v>7.1398899999999987E-2</v>
      </c>
    </row>
    <row r="216" spans="1:7" x14ac:dyDescent="0.25">
      <c r="A216" s="49" t="s">
        <v>136</v>
      </c>
      <c r="B216" s="46">
        <v>1.2357389999999999</v>
      </c>
      <c r="C216" s="46">
        <v>0.1399599</v>
      </c>
      <c r="D216" s="46">
        <v>1.87</v>
      </c>
      <c r="E216" s="46">
        <v>6.2E-2</v>
      </c>
      <c r="F216" s="46">
        <f>B216-0.9897361</f>
        <v>0.24600289999999991</v>
      </c>
      <c r="G216" s="46">
        <f>1.542886-B216</f>
        <v>0.30714700000000006</v>
      </c>
    </row>
    <row r="217" spans="1:7" x14ac:dyDescent="0.25">
      <c r="A217" s="49" t="s">
        <v>137</v>
      </c>
      <c r="B217" s="46">
        <v>1.1304829999999999</v>
      </c>
      <c r="C217" s="46">
        <v>0.12593570000000001</v>
      </c>
      <c r="D217" s="46">
        <v>1.1000000000000001</v>
      </c>
      <c r="E217" s="46">
        <v>0.27100000000000002</v>
      </c>
      <c r="F217" s="46">
        <f>B217-0.9087415</f>
        <v>0.22174149999999992</v>
      </c>
      <c r="G217" s="46">
        <f>1.406332-B217</f>
        <v>0.27584900000000001</v>
      </c>
    </row>
    <row r="218" spans="1:7" x14ac:dyDescent="0.25">
      <c r="A218" s="49" t="s">
        <v>138</v>
      </c>
      <c r="B218" s="46">
        <v>7.6933100000000004E-2</v>
      </c>
      <c r="C218" s="46">
        <v>2.0528100000000001E-2</v>
      </c>
      <c r="D218" s="46">
        <v>-9.61</v>
      </c>
      <c r="E218" s="46">
        <v>0</v>
      </c>
      <c r="F218" s="46">
        <f>B218-0.0456023</f>
        <v>3.1330800000000006E-2</v>
      </c>
      <c r="G218" s="46">
        <f>0.1297898-B218</f>
        <v>5.2856700000000006E-2</v>
      </c>
    </row>
    <row r="219" spans="1:7" x14ac:dyDescent="0.25">
      <c r="A219" s="49" t="s">
        <v>139</v>
      </c>
      <c r="B219" s="46">
        <v>3.7568900000000002E-2</v>
      </c>
      <c r="C219" s="46">
        <v>1.1882E-2</v>
      </c>
      <c r="D219" s="46">
        <v>-10.38</v>
      </c>
      <c r="E219" s="46">
        <v>0</v>
      </c>
      <c r="F219" s="46">
        <f>B219-0.0202124</f>
        <v>1.7356500000000004E-2</v>
      </c>
      <c r="G219" s="46">
        <f>0.0698297-B219</f>
        <v>3.2260799999999992E-2</v>
      </c>
    </row>
    <row r="220" spans="1:7" x14ac:dyDescent="0.25">
      <c r="A220" s="49" t="s">
        <v>140</v>
      </c>
      <c r="B220" s="46">
        <v>0.24041609999999999</v>
      </c>
      <c r="C220" s="46">
        <v>4.0581699999999998E-2</v>
      </c>
      <c r="D220" s="46">
        <v>-8.44</v>
      </c>
      <c r="E220" s="46">
        <v>0</v>
      </c>
      <c r="F220" s="46">
        <f>B220-0.1726961</f>
        <v>6.7720000000000002E-2</v>
      </c>
      <c r="G220" s="46">
        <f>0.3346914-B220</f>
        <v>9.4275299999999979E-2</v>
      </c>
    </row>
    <row r="221" spans="1:7" x14ac:dyDescent="0.25">
      <c r="A221" s="49" t="s">
        <v>141</v>
      </c>
      <c r="B221" s="46">
        <v>0.26639780000000002</v>
      </c>
      <c r="C221" s="46">
        <v>4.0680800000000003E-2</v>
      </c>
      <c r="D221" s="46">
        <v>-8.66</v>
      </c>
      <c r="E221" s="46">
        <v>0</v>
      </c>
      <c r="F221" s="46">
        <f>B221-0.1974906</f>
        <v>6.890720000000003E-2</v>
      </c>
      <c r="G221" s="46">
        <f>0.3593478-B221</f>
        <v>9.2949999999999977E-2</v>
      </c>
    </row>
    <row r="222" spans="1:7" x14ac:dyDescent="0.25">
      <c r="A222" s="49" t="s">
        <v>142</v>
      </c>
      <c r="B222" s="46">
        <v>1.514621</v>
      </c>
      <c r="C222" s="46">
        <v>0.1707941</v>
      </c>
      <c r="D222" s="46">
        <v>3.68</v>
      </c>
      <c r="E222" s="46">
        <v>0</v>
      </c>
      <c r="F222" s="46">
        <f>B222-1.214282</f>
        <v>0.30033899999999991</v>
      </c>
      <c r="G222" s="46">
        <f>1.889246-B222</f>
        <v>0.37462499999999999</v>
      </c>
    </row>
    <row r="223" spans="1:7" x14ac:dyDescent="0.25">
      <c r="A223" s="49" t="s">
        <v>143</v>
      </c>
      <c r="B223" s="46">
        <v>2.5273639999999999</v>
      </c>
      <c r="C223" s="46">
        <v>0.26799620000000002</v>
      </c>
      <c r="D223" s="46">
        <v>8.74</v>
      </c>
      <c r="E223" s="46">
        <v>0</v>
      </c>
      <c r="F223" s="46">
        <f>B223-2.053091</f>
        <v>0.47427299999999972</v>
      </c>
      <c r="G223" s="46">
        <f>3.111196-B223</f>
        <v>0.58383200000000013</v>
      </c>
    </row>
    <row r="224" spans="1:7" x14ac:dyDescent="0.25">
      <c r="A224" s="49" t="s">
        <v>144</v>
      </c>
      <c r="B224" s="46">
        <v>2.4618609999999999</v>
      </c>
      <c r="C224" s="46">
        <v>0.26286730000000003</v>
      </c>
      <c r="D224" s="46">
        <v>8.44</v>
      </c>
      <c r="E224" s="46">
        <v>0</v>
      </c>
      <c r="F224" s="46">
        <f>B224-1.996989</f>
        <v>0.46487199999999995</v>
      </c>
      <c r="G224" s="46">
        <f>3.034948-B224</f>
        <v>0.57308700000000012</v>
      </c>
    </row>
    <row r="225" spans="1:21" x14ac:dyDescent="0.25">
      <c r="A225" s="49" t="s">
        <v>145</v>
      </c>
      <c r="B225" s="46">
        <v>3.203605</v>
      </c>
      <c r="C225" s="46">
        <v>0.33367629999999998</v>
      </c>
      <c r="D225" s="46">
        <v>11.18</v>
      </c>
      <c r="E225" s="46">
        <v>0</v>
      </c>
      <c r="F225" s="46">
        <f>B225-2.612046</f>
        <v>0.59155900000000017</v>
      </c>
      <c r="G225" s="46">
        <f>3.929137-B225</f>
        <v>0.72553199999999984</v>
      </c>
    </row>
    <row r="226" spans="1:21" x14ac:dyDescent="0.25">
      <c r="A226" s="49" t="s">
        <v>146</v>
      </c>
      <c r="B226" s="46">
        <v>0.2259911</v>
      </c>
      <c r="C226" s="46">
        <v>3.8395899999999997E-2</v>
      </c>
      <c r="D226" s="46">
        <v>-8.75</v>
      </c>
      <c r="E226" s="46">
        <v>0</v>
      </c>
      <c r="F226" s="46">
        <f>B226-0.161984</f>
        <v>6.4007100000000011E-2</v>
      </c>
      <c r="G226" s="46">
        <f>0.3152903-B226</f>
        <v>8.9299200000000023E-2</v>
      </c>
    </row>
    <row r="227" spans="1:21" x14ac:dyDescent="0.25">
      <c r="A227" s="49" t="s">
        <v>147</v>
      </c>
      <c r="B227" s="46">
        <v>0.52596500000000002</v>
      </c>
      <c r="C227" s="46">
        <v>6.7124100000000006E-2</v>
      </c>
      <c r="D227" s="46">
        <v>-5.03</v>
      </c>
      <c r="E227" s="46">
        <v>0</v>
      </c>
      <c r="F227" s="46">
        <f>B227-0.4095678</f>
        <v>0.11639720000000003</v>
      </c>
      <c r="G227" s="46">
        <f>0.6754417-B227</f>
        <v>0.14947670000000002</v>
      </c>
    </row>
    <row r="228" spans="1:21" x14ac:dyDescent="0.25">
      <c r="A228" s="49" t="s">
        <v>148</v>
      </c>
      <c r="B228" s="46">
        <v>0.11539969999999999</v>
      </c>
      <c r="C228" s="46">
        <v>2.5958700000000001E-2</v>
      </c>
      <c r="D228" s="46">
        <v>-9.6</v>
      </c>
      <c r="E228" s="46">
        <v>0</v>
      </c>
      <c r="F228" s="46">
        <f>B228-0.0742557</f>
        <v>4.1144E-2</v>
      </c>
      <c r="G228" s="46">
        <f>0.1793409-B228</f>
        <v>6.3941200000000004E-2</v>
      </c>
    </row>
    <row r="229" spans="1:21" x14ac:dyDescent="0.25">
      <c r="A229" s="49" t="s">
        <v>149</v>
      </c>
      <c r="B229" s="46">
        <v>0.1297836</v>
      </c>
      <c r="C229" s="46">
        <v>2.45095E-2</v>
      </c>
      <c r="D229" s="46">
        <v>-10.81</v>
      </c>
      <c r="E229" s="46">
        <v>0</v>
      </c>
      <c r="F229" s="46">
        <f>B229-0.0896337</f>
        <v>4.0149900000000002E-2</v>
      </c>
      <c r="G229" s="46">
        <f>0.187918-B229</f>
        <v>5.8134400000000003E-2</v>
      </c>
    </row>
    <row r="230" spans="1:21" x14ac:dyDescent="0.25">
      <c r="A230" s="49" t="s">
        <v>150</v>
      </c>
      <c r="B230" s="46">
        <v>0.32215749999999999</v>
      </c>
      <c r="C230" s="46">
        <v>4.9836499999999999E-2</v>
      </c>
      <c r="D230" s="46">
        <v>-7.32</v>
      </c>
      <c r="E230" s="46">
        <v>0</v>
      </c>
      <c r="F230" s="46">
        <f>B230-0.237898</f>
        <v>8.4259499999999987E-2</v>
      </c>
      <c r="G230" s="46">
        <f>0.4362605-B230</f>
        <v>0.11410300000000001</v>
      </c>
    </row>
    <row r="231" spans="1:21" x14ac:dyDescent="0.25">
      <c r="A231" s="49" t="s">
        <v>151</v>
      </c>
      <c r="B231" s="46">
        <v>0.61817960000000005</v>
      </c>
      <c r="C231" s="46">
        <v>7.69233E-2</v>
      </c>
      <c r="D231" s="46">
        <v>-3.87</v>
      </c>
      <c r="E231" s="46">
        <v>0</v>
      </c>
      <c r="F231" s="46">
        <f>B231-0.48439</f>
        <v>0.13378960000000006</v>
      </c>
      <c r="G231" s="46">
        <f>0.7889222-B231</f>
        <v>0.17074259999999997</v>
      </c>
    </row>
    <row r="232" spans="1:21" x14ac:dyDescent="0.25">
      <c r="A232" s="49"/>
      <c r="B232" s="47"/>
      <c r="C232" s="47"/>
      <c r="D232" s="47"/>
      <c r="E232" s="47"/>
      <c r="F232" s="47"/>
      <c r="G232" s="47"/>
    </row>
    <row r="233" spans="1:21" x14ac:dyDescent="0.25">
      <c r="A233" s="50" t="s">
        <v>6</v>
      </c>
      <c r="B233" s="48">
        <v>6.1050999999999996E-3</v>
      </c>
      <c r="C233" s="48">
        <v>6.3619999999999996E-4</v>
      </c>
      <c r="D233" s="48">
        <v>-48.93</v>
      </c>
      <c r="E233" s="48">
        <v>0</v>
      </c>
      <c r="F233" s="48">
        <v>4.9772999999999996E-3</v>
      </c>
      <c r="G233" s="48">
        <v>7.4884000000000001E-3</v>
      </c>
    </row>
    <row r="234" spans="1:21" x14ac:dyDescent="0.25">
      <c r="T234" s="46"/>
      <c r="U234" s="46"/>
    </row>
    <row r="235" spans="1:21" ht="15.75" thickBot="1" x14ac:dyDescent="0.3">
      <c r="M235" s="46">
        <v>5.9143100000000004E-2</v>
      </c>
      <c r="N235" s="46">
        <v>8.9546599999999976E-2</v>
      </c>
      <c r="O235" s="46">
        <v>0.10534680000000002</v>
      </c>
      <c r="P235" s="46">
        <v>0.14473599999999998</v>
      </c>
      <c r="Q235" s="46">
        <v>9.1148699999999999E-2</v>
      </c>
      <c r="R235" s="46">
        <v>0.12704749999999998</v>
      </c>
      <c r="T235" s="46"/>
      <c r="U235" s="46"/>
    </row>
    <row r="236" spans="1:21" x14ac:dyDescent="0.25">
      <c r="A236" s="10"/>
      <c r="B236" s="11"/>
      <c r="C236" s="11" t="s">
        <v>9</v>
      </c>
      <c r="D236" s="11" t="s">
        <v>10</v>
      </c>
      <c r="E236" s="11" t="s">
        <v>40</v>
      </c>
      <c r="F236" s="11" t="s">
        <v>11</v>
      </c>
      <c r="G236" s="11" t="s">
        <v>7</v>
      </c>
      <c r="H236" s="11" t="s">
        <v>8</v>
      </c>
      <c r="I236" s="11" t="s">
        <v>62</v>
      </c>
      <c r="J236" s="11" t="s">
        <v>64</v>
      </c>
      <c r="K236" s="12" t="s">
        <v>65</v>
      </c>
      <c r="M236" s="46">
        <v>0.1017441</v>
      </c>
      <c r="N236" s="46">
        <v>0.13731470000000001</v>
      </c>
      <c r="O236" s="46">
        <v>0.11276339999999996</v>
      </c>
      <c r="P236" s="46">
        <v>0.15174290000000007</v>
      </c>
      <c r="Q236" s="46">
        <v>0.15944150000000001</v>
      </c>
      <c r="R236" s="46">
        <v>0.20557829999999999</v>
      </c>
      <c r="T236" s="46"/>
      <c r="U236" s="46"/>
    </row>
    <row r="237" spans="1:21" x14ac:dyDescent="0.25">
      <c r="A237" s="24" t="s">
        <v>91</v>
      </c>
      <c r="B237" s="7" t="s">
        <v>152</v>
      </c>
      <c r="C237" s="14">
        <f>B196</f>
        <v>0.1741935</v>
      </c>
      <c r="D237" s="15">
        <f>B198</f>
        <v>0.8258065</v>
      </c>
      <c r="E237" s="15">
        <f>B200</f>
        <v>0.38064520000000002</v>
      </c>
      <c r="F237" s="15">
        <f>B202</f>
        <v>0.38709680000000002</v>
      </c>
      <c r="G237" s="15">
        <f>B204</f>
        <v>1.0064519999999999</v>
      </c>
      <c r="H237" s="15">
        <f>B206</f>
        <v>1</v>
      </c>
      <c r="I237" s="16">
        <f>B208</f>
        <v>0.3225806</v>
      </c>
      <c r="J237" s="16">
        <f>B210</f>
        <v>0.4903226</v>
      </c>
      <c r="K237" s="17">
        <f>B212</f>
        <v>0.72258060000000002</v>
      </c>
      <c r="M237" s="46">
        <v>5.7475200000000004E-2</v>
      </c>
      <c r="N237" s="46">
        <v>8.1970599999999977E-2</v>
      </c>
      <c r="O237" s="46">
        <v>6.7720000000000002E-2</v>
      </c>
      <c r="P237" s="46">
        <v>9.4275299999999979E-2</v>
      </c>
      <c r="Q237" s="46">
        <v>6.4007100000000011E-2</v>
      </c>
      <c r="R237" s="46">
        <v>8.9299200000000023E-2</v>
      </c>
      <c r="T237" s="46"/>
      <c r="U237" s="46"/>
    </row>
    <row r="238" spans="1:21" x14ac:dyDescent="0.25">
      <c r="A238" s="24"/>
      <c r="B238" s="7" t="s">
        <v>372</v>
      </c>
      <c r="C238" s="15">
        <f>B197</f>
        <v>0.39276630000000001</v>
      </c>
      <c r="D238" s="15">
        <f>B199</f>
        <v>1.0570029999999999</v>
      </c>
      <c r="E238" s="15">
        <f>B201</f>
        <v>0.32345459999999998</v>
      </c>
      <c r="F238" s="15">
        <f>B203</f>
        <v>0.43897409999999998</v>
      </c>
      <c r="G238" s="15">
        <f>B205</f>
        <v>1.7501199999999999</v>
      </c>
      <c r="H238" s="15">
        <f>B207</f>
        <v>2.108231</v>
      </c>
      <c r="I238" s="16">
        <f>B209</f>
        <v>0.71044490000000005</v>
      </c>
      <c r="J238" s="16">
        <f>B211</f>
        <v>0.51983769999999996</v>
      </c>
      <c r="K238" s="18">
        <f>B213</f>
        <v>0.91260399999999997</v>
      </c>
      <c r="M238" s="46">
        <v>5.1202500000000012E-2</v>
      </c>
      <c r="N238" s="46">
        <v>7.1398899999999987E-2</v>
      </c>
      <c r="O238" s="46">
        <v>6.890720000000003E-2</v>
      </c>
      <c r="P238" s="46">
        <v>9.2949999999999977E-2</v>
      </c>
      <c r="Q238" s="46">
        <v>0.11639720000000003</v>
      </c>
      <c r="R238" s="46">
        <v>0.14947670000000002</v>
      </c>
      <c r="T238" s="46"/>
      <c r="U238" s="46"/>
    </row>
    <row r="239" spans="1:21" x14ac:dyDescent="0.25">
      <c r="A239" s="24" t="s">
        <v>73</v>
      </c>
      <c r="B239" s="7" t="s">
        <v>152</v>
      </c>
      <c r="C239" s="15">
        <f>B214</f>
        <v>0.1923329</v>
      </c>
      <c r="D239" s="25">
        <f>B216</f>
        <v>1.2357389999999999</v>
      </c>
      <c r="E239" s="15">
        <f>B218</f>
        <v>7.6933100000000004E-2</v>
      </c>
      <c r="F239" s="15">
        <f>B220</f>
        <v>0.24041609999999999</v>
      </c>
      <c r="G239" s="25">
        <f>B222</f>
        <v>1.514621</v>
      </c>
      <c r="H239" s="25">
        <f>B224</f>
        <v>2.4618609999999999</v>
      </c>
      <c r="I239" s="16">
        <f>B226</f>
        <v>0.2259911</v>
      </c>
      <c r="J239" s="16">
        <f>B228</f>
        <v>0.11539969999999999</v>
      </c>
      <c r="K239" s="17">
        <f>B230</f>
        <v>0.32215749999999999</v>
      </c>
      <c r="M239" s="46">
        <v>0.18379650000000003</v>
      </c>
      <c r="N239" s="46">
        <v>0.23641450000000008</v>
      </c>
      <c r="O239" s="46">
        <v>0.22403399999999996</v>
      </c>
      <c r="P239" s="46">
        <v>0.28818200000000016</v>
      </c>
      <c r="Q239" s="46">
        <v>0.12419429999999998</v>
      </c>
      <c r="R239" s="46">
        <v>0.16632209999999997</v>
      </c>
      <c r="T239" s="46"/>
      <c r="U239" s="46"/>
    </row>
    <row r="240" spans="1:21" ht="15.75" thickBot="1" x14ac:dyDescent="0.3">
      <c r="A240" s="26"/>
      <c r="B240" s="27" t="s">
        <v>372</v>
      </c>
      <c r="C240" s="29">
        <f>B215</f>
        <v>0.18101390000000001</v>
      </c>
      <c r="D240" s="28">
        <f>B217</f>
        <v>1.1304829999999999</v>
      </c>
      <c r="E240" s="29">
        <f>B219</f>
        <v>3.7568900000000002E-2</v>
      </c>
      <c r="F240" s="29">
        <f>B221</f>
        <v>0.26639780000000002</v>
      </c>
      <c r="G240" s="28">
        <f>B223</f>
        <v>2.5273639999999999</v>
      </c>
      <c r="H240" s="28">
        <f>B225</f>
        <v>3.203605</v>
      </c>
      <c r="I240" s="29">
        <f>B227</f>
        <v>0.52596500000000002</v>
      </c>
      <c r="J240" s="29">
        <f>B229</f>
        <v>0.1297836</v>
      </c>
      <c r="K240" s="31">
        <f>B231</f>
        <v>0.61817960000000005</v>
      </c>
      <c r="M240" s="46">
        <v>0.22540079999999996</v>
      </c>
      <c r="N240" s="46">
        <v>0.28649500000000017</v>
      </c>
      <c r="O240" s="46">
        <v>0.35812899999999992</v>
      </c>
      <c r="P240" s="46">
        <v>0.45026900000000003</v>
      </c>
      <c r="Q240" s="46">
        <v>0.12865129999999997</v>
      </c>
      <c r="R240" s="46">
        <v>0.17096149999999999</v>
      </c>
      <c r="T240" s="46"/>
      <c r="U240" s="46"/>
    </row>
    <row r="241" spans="13:21" x14ac:dyDescent="0.25">
      <c r="M241" s="46">
        <v>0.24600289999999991</v>
      </c>
      <c r="N241" s="46">
        <v>0.30714700000000006</v>
      </c>
      <c r="O241" s="46">
        <v>0.30033899999999991</v>
      </c>
      <c r="P241" s="46">
        <v>0.37462499999999999</v>
      </c>
      <c r="Q241" s="46">
        <v>4.1144E-2</v>
      </c>
      <c r="R241" s="46">
        <v>6.3941200000000004E-2</v>
      </c>
      <c r="T241" s="46"/>
      <c r="U241" s="46"/>
    </row>
    <row r="242" spans="13:21" x14ac:dyDescent="0.25">
      <c r="M242" s="46">
        <v>0.22174149999999992</v>
      </c>
      <c r="N242" s="46">
        <v>0.27584900000000001</v>
      </c>
      <c r="O242" s="46">
        <v>0.47427299999999972</v>
      </c>
      <c r="P242" s="46">
        <v>0.58383200000000013</v>
      </c>
      <c r="Q242" s="46">
        <v>4.0149900000000002E-2</v>
      </c>
      <c r="R242" s="46">
        <v>5.8134400000000003E-2</v>
      </c>
      <c r="T242" s="46"/>
      <c r="U242" s="46"/>
    </row>
    <row r="243" spans="13:21" x14ac:dyDescent="0.25">
      <c r="M243" s="46">
        <v>0.10542570000000001</v>
      </c>
      <c r="N243" s="46">
        <v>0.14580989999999994</v>
      </c>
      <c r="O243" s="46">
        <v>0</v>
      </c>
      <c r="P243" s="46">
        <v>0</v>
      </c>
      <c r="Q243" s="46">
        <v>0.16812860000000007</v>
      </c>
      <c r="R243" s="46">
        <v>0.21911099999999994</v>
      </c>
      <c r="T243" s="46"/>
      <c r="U243" s="46"/>
    </row>
    <row r="244" spans="13:21" x14ac:dyDescent="0.25">
      <c r="M244" s="46">
        <v>8.9308699999999991E-2</v>
      </c>
      <c r="N244" s="46">
        <v>0.12337300000000001</v>
      </c>
      <c r="O244" s="46">
        <v>0.433948</v>
      </c>
      <c r="P244" s="46">
        <v>0.54641900000000021</v>
      </c>
      <c r="Q244" s="46">
        <v>0.20061620000000002</v>
      </c>
      <c r="R244" s="46">
        <v>0.25714400000000004</v>
      </c>
      <c r="T244" s="46"/>
      <c r="U244" s="46"/>
    </row>
    <row r="245" spans="13:21" x14ac:dyDescent="0.25">
      <c r="M245" s="46">
        <v>3.1330800000000006E-2</v>
      </c>
      <c r="N245" s="46">
        <v>5.2856700000000006E-2</v>
      </c>
      <c r="O245" s="46">
        <v>0.46487199999999995</v>
      </c>
      <c r="P245" s="46">
        <v>0.57308700000000012</v>
      </c>
      <c r="Q245" s="46">
        <v>8.4259499999999987E-2</v>
      </c>
      <c r="R245" s="46">
        <v>0.11410300000000001</v>
      </c>
      <c r="T245" s="46"/>
      <c r="U245" s="46"/>
    </row>
    <row r="246" spans="13:21" x14ac:dyDescent="0.25">
      <c r="M246" s="46">
        <v>1.7356500000000004E-2</v>
      </c>
      <c r="N246" s="46">
        <v>3.2260799999999992E-2</v>
      </c>
      <c r="O246" s="46">
        <v>0.59155900000000017</v>
      </c>
      <c r="P246" s="46">
        <v>0.72553199999999984</v>
      </c>
      <c r="Q246" s="46">
        <v>0.13378960000000006</v>
      </c>
      <c r="R246" s="46">
        <v>0.17074259999999997</v>
      </c>
      <c r="T246" s="46"/>
      <c r="U246" s="46"/>
    </row>
    <row r="247" spans="13:21" x14ac:dyDescent="0.25">
      <c r="M247" s="7"/>
      <c r="N247" s="7"/>
      <c r="O247" s="7"/>
      <c r="P247" s="7"/>
      <c r="Q247" s="7"/>
      <c r="R247" s="7"/>
      <c r="T247" s="46"/>
      <c r="U247" s="46"/>
    </row>
    <row r="248" spans="13:21" x14ac:dyDescent="0.25">
      <c r="M248" s="9"/>
      <c r="N248" s="9"/>
      <c r="O248" s="7"/>
      <c r="P248" s="7"/>
      <c r="Q248" s="7"/>
      <c r="R248" s="7"/>
      <c r="T248" s="46"/>
      <c r="U248" s="46"/>
    </row>
    <row r="249" spans="13:21" x14ac:dyDescent="0.25">
      <c r="M249" s="9"/>
      <c r="N249" s="9"/>
      <c r="O249" s="7"/>
      <c r="P249" s="7"/>
      <c r="Q249" s="7"/>
      <c r="R249" s="9"/>
      <c r="T249" s="46"/>
      <c r="U249" s="46"/>
    </row>
    <row r="250" spans="13:21" x14ac:dyDescent="0.25">
      <c r="M250" s="9"/>
      <c r="N250" s="9"/>
      <c r="O250" s="7"/>
      <c r="P250" s="7"/>
      <c r="Q250" s="7"/>
      <c r="R250" s="9"/>
      <c r="T250" s="46"/>
      <c r="U250" s="46"/>
    </row>
    <row r="251" spans="13:21" x14ac:dyDescent="0.25">
      <c r="M251" s="7"/>
      <c r="N251" s="7"/>
      <c r="O251" s="9"/>
      <c r="P251" s="9"/>
      <c r="Q251" s="7"/>
      <c r="R251" s="9"/>
      <c r="T251" s="46"/>
      <c r="U251" s="46"/>
    </row>
    <row r="252" spans="13:21" x14ac:dyDescent="0.25">
      <c r="M252" s="7"/>
      <c r="N252" s="7"/>
      <c r="O252" s="9"/>
      <c r="P252" s="9"/>
      <c r="Q252" s="7"/>
      <c r="R252" s="7"/>
      <c r="T252" s="46"/>
      <c r="U252" s="46"/>
    </row>
    <row r="253" spans="13:21" x14ac:dyDescent="0.25">
      <c r="M253" s="7"/>
      <c r="N253" s="7"/>
      <c r="O253" s="9"/>
      <c r="P253" s="9"/>
      <c r="Q253" s="7"/>
      <c r="R253" s="7"/>
      <c r="T253" s="9"/>
      <c r="U253" s="9"/>
    </row>
    <row r="254" spans="13:21" x14ac:dyDescent="0.25">
      <c r="M254" s="7"/>
      <c r="N254" s="7"/>
      <c r="O254" s="9"/>
      <c r="P254" s="9"/>
      <c r="Q254" s="7"/>
      <c r="R254" s="7"/>
      <c r="T254" s="9"/>
      <c r="U254" s="9"/>
    </row>
    <row r="255" spans="13:21" x14ac:dyDescent="0.25">
      <c r="M255" s="7"/>
      <c r="N255" s="7"/>
      <c r="O255" s="9"/>
      <c r="P255" s="9"/>
      <c r="Q255" s="7"/>
      <c r="R255" s="9"/>
      <c r="T255" s="9"/>
      <c r="U255" s="9"/>
    </row>
    <row r="256" spans="13:21" x14ac:dyDescent="0.25">
      <c r="M256" s="7"/>
      <c r="N256" s="7"/>
      <c r="O256" s="7"/>
      <c r="P256" s="9"/>
      <c r="T256" s="7"/>
      <c r="U256" s="7"/>
    </row>
    <row r="257" spans="1:21" s="1" customFormat="1" x14ac:dyDescent="0.25">
      <c r="A257" s="1" t="s">
        <v>99</v>
      </c>
      <c r="M257" s="32"/>
      <c r="N257" s="32"/>
      <c r="O257" s="33"/>
      <c r="P257" s="32"/>
      <c r="T257" s="33"/>
      <c r="U257" s="33"/>
    </row>
    <row r="258" spans="1:21" x14ac:dyDescent="0.25">
      <c r="M258" s="9"/>
      <c r="N258" s="9"/>
      <c r="O258" s="9"/>
      <c r="P258" s="9"/>
      <c r="T258" s="7"/>
      <c r="U258" s="7"/>
    </row>
    <row r="259" spans="1:21" x14ac:dyDescent="0.25">
      <c r="A259" s="49"/>
      <c r="B259" s="46" t="s">
        <v>1</v>
      </c>
      <c r="C259" s="47"/>
      <c r="D259" s="47"/>
      <c r="E259" s="47"/>
      <c r="F259" s="47"/>
      <c r="G259" s="47"/>
      <c r="M259" s="9"/>
      <c r="N259" s="9"/>
      <c r="O259" s="9"/>
      <c r="P259" s="9"/>
      <c r="T259" s="7"/>
      <c r="U259" s="7"/>
    </row>
    <row r="260" spans="1:21" x14ac:dyDescent="0.25">
      <c r="A260" s="50" t="s">
        <v>2</v>
      </c>
      <c r="B260" s="48" t="s">
        <v>269</v>
      </c>
      <c r="C260" s="48" t="s">
        <v>270</v>
      </c>
      <c r="D260" s="48" t="s">
        <v>3</v>
      </c>
      <c r="E260" s="48" t="s">
        <v>4</v>
      </c>
      <c r="F260" s="48" t="s">
        <v>271</v>
      </c>
      <c r="G260" s="48" t="s">
        <v>272</v>
      </c>
      <c r="M260" s="9"/>
      <c r="N260" s="9"/>
      <c r="O260" s="9"/>
      <c r="P260" s="9"/>
      <c r="T260" s="7"/>
      <c r="U260" s="7"/>
    </row>
    <row r="261" spans="1:21" x14ac:dyDescent="0.25">
      <c r="A261" s="49"/>
      <c r="B261" s="46"/>
      <c r="C261" s="46"/>
      <c r="D261" s="47"/>
      <c r="E261" s="47"/>
      <c r="F261" s="47"/>
      <c r="G261" s="47"/>
      <c r="M261" s="9"/>
      <c r="N261" s="9"/>
      <c r="O261" s="9"/>
      <c r="P261" s="9"/>
      <c r="T261" s="7"/>
      <c r="U261" s="7"/>
    </row>
    <row r="262" spans="1:21" x14ac:dyDescent="0.25">
      <c r="A262" s="49" t="s">
        <v>72</v>
      </c>
      <c r="B262" s="47"/>
      <c r="C262" s="47"/>
      <c r="D262" s="47"/>
      <c r="E262" s="47"/>
      <c r="F262" s="47"/>
      <c r="G262" s="47"/>
      <c r="M262" s="9"/>
      <c r="N262" s="9"/>
      <c r="O262" s="9"/>
      <c r="P262" s="9"/>
      <c r="T262" s="7"/>
      <c r="U262" s="7"/>
    </row>
    <row r="263" spans="1:21" x14ac:dyDescent="0.25">
      <c r="A263" s="49" t="s">
        <v>73</v>
      </c>
      <c r="B263" s="46">
        <v>1.1086389999999999</v>
      </c>
      <c r="C263" s="46">
        <v>3.2753999999999998E-2</v>
      </c>
      <c r="D263" s="46">
        <v>3.49</v>
      </c>
      <c r="E263" s="46">
        <v>0</v>
      </c>
      <c r="F263" s="46">
        <v>1.0462659999999999</v>
      </c>
      <c r="G263" s="46">
        <v>1.174731</v>
      </c>
      <c r="M263" s="9"/>
      <c r="N263" s="9"/>
      <c r="O263" s="9"/>
      <c r="P263" s="9"/>
      <c r="T263" s="7"/>
      <c r="U263" s="7"/>
    </row>
    <row r="264" spans="1:21" x14ac:dyDescent="0.25">
      <c r="A264" s="49"/>
      <c r="B264" s="47"/>
      <c r="C264" s="47"/>
      <c r="D264" s="47"/>
      <c r="E264" s="47"/>
      <c r="F264" s="47"/>
      <c r="G264" s="47"/>
      <c r="M264" s="9"/>
      <c r="N264" s="9"/>
      <c r="O264" s="9"/>
      <c r="P264" s="9"/>
      <c r="T264" s="7"/>
      <c r="U264" s="7"/>
    </row>
    <row r="265" spans="1:21" x14ac:dyDescent="0.25">
      <c r="A265" s="49" t="s">
        <v>113</v>
      </c>
      <c r="B265" s="47"/>
      <c r="C265" s="47"/>
      <c r="D265" s="47"/>
      <c r="E265" s="47"/>
      <c r="F265" s="47"/>
      <c r="G265" s="47"/>
      <c r="M265" s="9"/>
      <c r="N265" s="9"/>
      <c r="O265" s="9"/>
      <c r="P265" s="9"/>
      <c r="T265" s="7"/>
      <c r="U265" s="7"/>
    </row>
    <row r="266" spans="1:21" x14ac:dyDescent="0.25">
      <c r="A266" s="49">
        <v>2</v>
      </c>
      <c r="B266" s="46">
        <v>1.574111</v>
      </c>
      <c r="C266" s="46">
        <v>6.7333799999999999E-2</v>
      </c>
      <c r="D266" s="46">
        <v>10.61</v>
      </c>
      <c r="E266" s="46">
        <v>0</v>
      </c>
      <c r="F266" s="46">
        <v>1.4475199999999999</v>
      </c>
      <c r="G266" s="46">
        <v>1.7117720000000001</v>
      </c>
      <c r="M266" s="9"/>
      <c r="N266" s="9"/>
      <c r="O266" s="7"/>
      <c r="P266" s="9"/>
      <c r="T266" s="7"/>
      <c r="U266" s="7"/>
    </row>
    <row r="267" spans="1:21" x14ac:dyDescent="0.25">
      <c r="A267" s="49">
        <v>3</v>
      </c>
      <c r="B267" s="46">
        <v>2.5203890000000002</v>
      </c>
      <c r="C267" s="46">
        <v>0.1426114</v>
      </c>
      <c r="D267" s="46">
        <v>16.34</v>
      </c>
      <c r="E267" s="46">
        <v>0</v>
      </c>
      <c r="F267" s="46">
        <v>2.255817</v>
      </c>
      <c r="G267" s="46">
        <v>2.8159900000000002</v>
      </c>
      <c r="M267" s="7"/>
      <c r="N267" s="9"/>
      <c r="O267" s="7"/>
      <c r="P267" s="7"/>
      <c r="T267" s="7"/>
      <c r="U267" s="7"/>
    </row>
    <row r="268" spans="1:21" x14ac:dyDescent="0.25">
      <c r="A268" s="49"/>
      <c r="B268" s="47"/>
      <c r="C268" s="47"/>
      <c r="D268" s="47"/>
      <c r="E268" s="47"/>
      <c r="F268" s="47"/>
      <c r="G268" s="47"/>
      <c r="M268" s="9"/>
      <c r="N268" s="9"/>
      <c r="O268" s="7"/>
      <c r="P268" s="9"/>
      <c r="T268" s="7"/>
      <c r="U268" s="7"/>
    </row>
    <row r="269" spans="1:21" x14ac:dyDescent="0.25">
      <c r="A269" s="49" t="s">
        <v>108</v>
      </c>
      <c r="B269" s="47"/>
      <c r="C269" s="47"/>
      <c r="D269" s="47"/>
      <c r="E269" s="47"/>
      <c r="F269" s="47"/>
      <c r="G269" s="47"/>
      <c r="M269" s="9"/>
      <c r="N269" s="9"/>
      <c r="O269" s="7"/>
      <c r="P269" s="9"/>
      <c r="T269" s="7"/>
      <c r="U269" s="7"/>
    </row>
    <row r="270" spans="1:21" x14ac:dyDescent="0.25">
      <c r="A270" s="49">
        <v>2</v>
      </c>
      <c r="B270" s="46">
        <v>1.1402369999999999</v>
      </c>
      <c r="C270" s="46">
        <v>3.8689899999999999E-2</v>
      </c>
      <c r="D270" s="46">
        <v>3.87</v>
      </c>
      <c r="E270" s="46">
        <v>0</v>
      </c>
      <c r="F270" s="46">
        <v>1.066873</v>
      </c>
      <c r="G270" s="46">
        <v>1.218647</v>
      </c>
      <c r="M270" s="9"/>
      <c r="N270" s="9"/>
      <c r="O270" s="7"/>
      <c r="P270" s="9"/>
      <c r="T270" s="7"/>
      <c r="U270" s="7"/>
    </row>
    <row r="271" spans="1:21" x14ac:dyDescent="0.25">
      <c r="A271" s="49" t="s">
        <v>109</v>
      </c>
      <c r="B271" s="46">
        <v>1.3696950000000001</v>
      </c>
      <c r="C271" s="46">
        <v>8.3911100000000002E-2</v>
      </c>
      <c r="D271" s="46">
        <v>5.14</v>
      </c>
      <c r="E271" s="46">
        <v>0</v>
      </c>
      <c r="F271" s="46">
        <v>1.2147220000000001</v>
      </c>
      <c r="G271" s="46">
        <v>1.5444389999999999</v>
      </c>
      <c r="M271" s="7"/>
      <c r="N271" s="7"/>
      <c r="T271" s="7"/>
      <c r="U271" s="7"/>
    </row>
    <row r="272" spans="1:21" x14ac:dyDescent="0.25">
      <c r="A272" s="49"/>
      <c r="B272" s="47"/>
      <c r="C272" s="47"/>
      <c r="D272" s="47"/>
      <c r="E272" s="47"/>
      <c r="F272" s="47"/>
      <c r="G272" s="47"/>
      <c r="M272" s="7"/>
      <c r="N272" s="7"/>
      <c r="T272" s="7"/>
      <c r="U272" s="7"/>
    </row>
    <row r="273" spans="1:21" x14ac:dyDescent="0.25">
      <c r="A273" s="49" t="s">
        <v>83</v>
      </c>
      <c r="B273" s="47"/>
      <c r="C273" s="47"/>
      <c r="D273" s="47"/>
      <c r="E273" s="47"/>
      <c r="F273" s="47"/>
      <c r="G273" s="47"/>
      <c r="M273" s="9"/>
      <c r="N273" s="9"/>
      <c r="T273" s="7"/>
      <c r="U273" s="7"/>
    </row>
    <row r="274" spans="1:21" x14ac:dyDescent="0.25">
      <c r="A274" s="38" t="s">
        <v>315</v>
      </c>
      <c r="B274" s="46">
        <v>0.54465980000000003</v>
      </c>
      <c r="C274" s="46">
        <v>1.70785E-2</v>
      </c>
      <c r="D274" s="46">
        <v>-19.38</v>
      </c>
      <c r="E274" s="46">
        <v>0</v>
      </c>
      <c r="F274" s="46">
        <v>0.51219440000000005</v>
      </c>
      <c r="G274" s="46">
        <v>0.579183</v>
      </c>
      <c r="M274" s="7"/>
      <c r="N274" s="7"/>
      <c r="T274" s="7"/>
      <c r="U274" s="9"/>
    </row>
    <row r="275" spans="1:21" x14ac:dyDescent="0.25">
      <c r="A275" s="38" t="s">
        <v>316</v>
      </c>
      <c r="B275" s="46">
        <v>0.41205069999999999</v>
      </c>
      <c r="C275" s="46">
        <v>1.8970999999999998E-2</v>
      </c>
      <c r="D275" s="46">
        <v>-19.260000000000002</v>
      </c>
      <c r="E275" s="46">
        <v>0</v>
      </c>
      <c r="F275" s="46">
        <v>0.37649660000000001</v>
      </c>
      <c r="G275" s="46">
        <v>0.45096229999999998</v>
      </c>
      <c r="M275" s="7"/>
      <c r="N275" s="9"/>
    </row>
    <row r="276" spans="1:21" x14ac:dyDescent="0.25">
      <c r="A276" s="38" t="s">
        <v>317</v>
      </c>
      <c r="B276" s="46">
        <v>0.2951338</v>
      </c>
      <c r="C276" s="46">
        <v>1.77193E-2</v>
      </c>
      <c r="D276" s="46">
        <v>-20.329999999999998</v>
      </c>
      <c r="E276" s="46">
        <v>0</v>
      </c>
      <c r="F276" s="46">
        <v>0.26236999999999999</v>
      </c>
      <c r="G276" s="46">
        <v>0.33198889999999998</v>
      </c>
      <c r="M276" s="7"/>
      <c r="N276" s="9"/>
    </row>
    <row r="277" spans="1:21" x14ac:dyDescent="0.25">
      <c r="A277" s="38" t="s">
        <v>82</v>
      </c>
      <c r="B277" s="46">
        <v>0.36535289999999998</v>
      </c>
      <c r="C277" s="46">
        <v>2.6913200000000002E-2</v>
      </c>
      <c r="D277" s="46">
        <v>-13.67</v>
      </c>
      <c r="E277" s="46">
        <v>0</v>
      </c>
      <c r="F277" s="46">
        <v>0.31623509999999999</v>
      </c>
      <c r="G277" s="46">
        <v>0.42209960000000002</v>
      </c>
      <c r="M277" s="9"/>
      <c r="N277" s="9"/>
    </row>
    <row r="278" spans="1:21" x14ac:dyDescent="0.25">
      <c r="A278" s="49"/>
      <c r="B278" s="47"/>
      <c r="C278" s="47"/>
      <c r="D278" s="47"/>
      <c r="E278" s="47"/>
      <c r="F278" s="47"/>
      <c r="G278" s="47"/>
      <c r="M278" s="7"/>
      <c r="N278" s="9"/>
    </row>
    <row r="279" spans="1:21" x14ac:dyDescent="0.25">
      <c r="A279" s="49" t="s">
        <v>97</v>
      </c>
      <c r="B279" s="47"/>
      <c r="C279" s="47"/>
      <c r="D279" s="47"/>
      <c r="E279" s="47"/>
      <c r="F279" s="47"/>
      <c r="G279" s="47"/>
      <c r="M279" s="7"/>
      <c r="N279" s="7"/>
    </row>
    <row r="280" spans="1:21" x14ac:dyDescent="0.25">
      <c r="A280" s="49" t="s">
        <v>154</v>
      </c>
      <c r="B280" s="46">
        <v>0.10175439999999999</v>
      </c>
      <c r="C280" s="46">
        <v>1.40418E-2</v>
      </c>
      <c r="D280" s="46">
        <v>-16.559999999999999</v>
      </c>
      <c r="E280" s="46">
        <v>0</v>
      </c>
      <c r="F280" s="46">
        <f>B280-0.0776408</f>
        <v>2.4113599999999999E-2</v>
      </c>
      <c r="G280" s="46">
        <f>0.1333571-B280</f>
        <v>3.1602700000000011E-2</v>
      </c>
      <c r="M280" s="7"/>
      <c r="N280" s="9"/>
    </row>
    <row r="281" spans="1:21" x14ac:dyDescent="0.25">
      <c r="A281" s="49" t="s">
        <v>155</v>
      </c>
      <c r="B281" s="46">
        <v>0.13741500000000001</v>
      </c>
      <c r="C281" s="46">
        <v>1.4874500000000001E-2</v>
      </c>
      <c r="D281" s="46">
        <v>-18.34</v>
      </c>
      <c r="E281" s="46">
        <v>0</v>
      </c>
      <c r="F281" s="46">
        <f>B281-0.1111465</f>
        <v>2.6268500000000014E-2</v>
      </c>
      <c r="G281" s="46">
        <f>0.1698919-B281</f>
        <v>3.2476900000000003E-2</v>
      </c>
      <c r="M281" s="7"/>
      <c r="N281" s="9"/>
    </row>
    <row r="282" spans="1:21" x14ac:dyDescent="0.25">
      <c r="A282" s="49" t="s">
        <v>156</v>
      </c>
      <c r="B282" s="46">
        <v>0.59824560000000004</v>
      </c>
      <c r="C282" s="46">
        <v>4.4281599999999997E-2</v>
      </c>
      <c r="D282" s="46">
        <v>-6.94</v>
      </c>
      <c r="E282" s="46">
        <v>0</v>
      </c>
      <c r="F282" s="46">
        <f>B282-0.5174571</f>
        <v>8.0788500000000041E-2</v>
      </c>
      <c r="G282" s="46">
        <f>0.6916473-B282</f>
        <v>9.3401699999999921E-2</v>
      </c>
      <c r="M282" s="7"/>
      <c r="N282" s="9"/>
    </row>
    <row r="283" spans="1:21" x14ac:dyDescent="0.25">
      <c r="A283" s="49" t="s">
        <v>157</v>
      </c>
      <c r="B283" s="46">
        <v>0.59014829999999996</v>
      </c>
      <c r="C283" s="46">
        <v>4.1151100000000003E-2</v>
      </c>
      <c r="D283" s="46">
        <v>-7.56</v>
      </c>
      <c r="E283" s="46">
        <v>0</v>
      </c>
      <c r="F283" s="46">
        <f>B283-0.5147623</f>
        <v>7.5385999999999953E-2</v>
      </c>
      <c r="G283" s="46">
        <f>0.6765744-B283</f>
        <v>8.6426100000000061E-2</v>
      </c>
    </row>
    <row r="284" spans="1:21" x14ac:dyDescent="0.25">
      <c r="A284" s="49" t="s">
        <v>158</v>
      </c>
      <c r="B284" s="46">
        <v>0.11052629999999999</v>
      </c>
      <c r="C284" s="46">
        <v>1.55747E-2</v>
      </c>
      <c r="D284" s="46">
        <v>-15.63</v>
      </c>
      <c r="E284" s="46">
        <v>0</v>
      </c>
      <c r="F284" s="46">
        <f>B284-0.0838531</f>
        <v>2.6673199999999994E-2</v>
      </c>
      <c r="G284" s="46">
        <f>0.1456841-B284</f>
        <v>3.5157800000000017E-2</v>
      </c>
    </row>
    <row r="285" spans="1:21" x14ac:dyDescent="0.25">
      <c r="A285" s="49" t="s">
        <v>159</v>
      </c>
      <c r="B285" s="46">
        <v>7.8522900000000007E-2</v>
      </c>
      <c r="C285" s="46">
        <v>1.06736E-2</v>
      </c>
      <c r="D285" s="46">
        <v>-18.72</v>
      </c>
      <c r="E285" s="46">
        <v>0</v>
      </c>
      <c r="F285" s="46">
        <f>B285-0.0601578</f>
        <v>1.8365100000000009E-2</v>
      </c>
      <c r="G285" s="46">
        <f>0.1024944-B285</f>
        <v>2.3971499999999993E-2</v>
      </c>
    </row>
    <row r="286" spans="1:21" x14ac:dyDescent="0.25">
      <c r="A286" s="49" t="s">
        <v>160</v>
      </c>
      <c r="B286" s="46">
        <v>0.16491230000000001</v>
      </c>
      <c r="C286" s="46">
        <v>1.9085399999999999E-2</v>
      </c>
      <c r="D286" s="46">
        <v>-15.57</v>
      </c>
      <c r="E286" s="46">
        <v>0</v>
      </c>
      <c r="F286" s="46">
        <f>B286-0.1314447</f>
        <v>3.3467600000000014E-2</v>
      </c>
      <c r="G286" s="46">
        <f>0.2069012-B286</f>
        <v>4.1988899999999996E-2</v>
      </c>
    </row>
    <row r="287" spans="1:21" x14ac:dyDescent="0.25">
      <c r="A287" s="49" t="s">
        <v>161</v>
      </c>
      <c r="B287" s="46">
        <v>0.16808799999999999</v>
      </c>
      <c r="C287" s="46">
        <v>1.73466E-2</v>
      </c>
      <c r="D287" s="46">
        <v>-17.28</v>
      </c>
      <c r="E287" s="46">
        <v>0</v>
      </c>
      <c r="F287" s="46">
        <f>B287-0.1373072</f>
        <v>3.0780799999999997E-2</v>
      </c>
      <c r="G287" s="46">
        <f>0.205769-B287</f>
        <v>3.768100000000002E-2</v>
      </c>
    </row>
    <row r="288" spans="1:21" x14ac:dyDescent="0.25">
      <c r="A288" s="49" t="s">
        <v>189</v>
      </c>
      <c r="B288" s="46">
        <v>0.71754390000000001</v>
      </c>
      <c r="C288" s="46">
        <v>5.3168199999999999E-2</v>
      </c>
      <c r="D288" s="46">
        <v>-4.4800000000000004</v>
      </c>
      <c r="E288" s="46">
        <v>0</v>
      </c>
      <c r="F288" s="46">
        <f>B288-0.6205497</f>
        <v>9.699420000000003E-2</v>
      </c>
      <c r="G288" s="46">
        <f>0.8296985-B288</f>
        <v>0.11215459999999999</v>
      </c>
    </row>
    <row r="289" spans="1:7" x14ac:dyDescent="0.25">
      <c r="A289" s="49" t="s">
        <v>162</v>
      </c>
      <c r="B289" s="46">
        <v>1.206062</v>
      </c>
      <c r="C289" s="46">
        <v>7.7433500000000002E-2</v>
      </c>
      <c r="D289" s="46">
        <v>2.92</v>
      </c>
      <c r="E289" s="46">
        <v>4.0000000000000001E-3</v>
      </c>
      <c r="F289" s="46">
        <f>B289-1.063456</f>
        <v>0.14260600000000001</v>
      </c>
      <c r="G289" s="46">
        <f>1.367791-B289</f>
        <v>0.16172900000000001</v>
      </c>
    </row>
    <row r="290" spans="1:7" x14ac:dyDescent="0.25">
      <c r="A290" s="49" t="s">
        <v>163</v>
      </c>
      <c r="B290" s="46">
        <v>1</v>
      </c>
      <c r="C290" s="46"/>
      <c r="D290" s="46"/>
      <c r="E290" s="46"/>
      <c r="F290" s="46">
        <v>0</v>
      </c>
      <c r="G290" s="46">
        <v>0</v>
      </c>
    </row>
    <row r="291" spans="1:7" x14ac:dyDescent="0.25">
      <c r="A291" s="49" t="s">
        <v>164</v>
      </c>
      <c r="B291" s="46">
        <v>1.4637150000000001</v>
      </c>
      <c r="C291" s="46">
        <v>9.1159699999999996E-2</v>
      </c>
      <c r="D291" s="46">
        <v>6.12</v>
      </c>
      <c r="E291" s="46">
        <v>0</v>
      </c>
      <c r="F291" s="46">
        <f>B291-1.29552</f>
        <v>0.16819500000000009</v>
      </c>
      <c r="G291" s="46">
        <f>1.653747-B291</f>
        <v>0.19003199999999998</v>
      </c>
    </row>
    <row r="292" spans="1:7" x14ac:dyDescent="0.25">
      <c r="A292" s="49" t="s">
        <v>165</v>
      </c>
      <c r="B292" s="46">
        <v>0.10175439999999999</v>
      </c>
      <c r="C292" s="46">
        <v>1.4175E-2</v>
      </c>
      <c r="D292" s="46">
        <v>-16.399999999999999</v>
      </c>
      <c r="E292" s="46">
        <v>0</v>
      </c>
      <c r="F292" s="46">
        <f>B292-0.0774419</f>
        <v>2.4312500000000001E-2</v>
      </c>
      <c r="G292" s="46">
        <f>0.1336997-B292</f>
        <v>3.194530000000001E-2</v>
      </c>
    </row>
    <row r="293" spans="1:7" x14ac:dyDescent="0.25">
      <c r="A293" s="49" t="s">
        <v>166</v>
      </c>
      <c r="B293" s="46">
        <v>0.27483000000000002</v>
      </c>
      <c r="C293" s="46">
        <v>2.31577E-2</v>
      </c>
      <c r="D293" s="46">
        <v>-15.33</v>
      </c>
      <c r="E293" s="46">
        <v>0</v>
      </c>
      <c r="F293" s="46">
        <f>B293-0.2329916</f>
        <v>4.1838400000000026E-2</v>
      </c>
      <c r="G293" s="46">
        <f>0.3241813-B293</f>
        <v>4.9351299999999987E-2</v>
      </c>
    </row>
    <row r="294" spans="1:7" x14ac:dyDescent="0.25">
      <c r="A294" s="49" t="s">
        <v>167</v>
      </c>
      <c r="B294" s="46">
        <v>0.13333329999999999</v>
      </c>
      <c r="C294" s="46">
        <v>1.6881899999999998E-2</v>
      </c>
      <c r="D294" s="46">
        <v>-15.91</v>
      </c>
      <c r="E294" s="46">
        <v>0</v>
      </c>
      <c r="F294" s="46">
        <f>B294-0.1040314</f>
        <v>2.9301899999999992E-2</v>
      </c>
      <c r="G294" s="46">
        <f>0.1708886-B294</f>
        <v>3.7555300000000014E-2</v>
      </c>
    </row>
    <row r="295" spans="1:7" x14ac:dyDescent="0.25">
      <c r="A295" s="49" t="s">
        <v>168</v>
      </c>
      <c r="B295" s="46">
        <v>0.1349612</v>
      </c>
      <c r="C295" s="46">
        <v>1.4970799999999999E-2</v>
      </c>
      <c r="D295" s="46">
        <v>-18.05</v>
      </c>
      <c r="E295" s="46">
        <v>0</v>
      </c>
      <c r="F295" s="46">
        <f>B295-0.1085895</f>
        <v>2.6371699999999998E-2</v>
      </c>
      <c r="G295" s="46">
        <f>0.1677373-B295</f>
        <v>3.2776100000000002E-2</v>
      </c>
    </row>
    <row r="296" spans="1:7" x14ac:dyDescent="0.25">
      <c r="A296" s="49" t="s">
        <v>169</v>
      </c>
      <c r="B296" s="46">
        <v>0.24035090000000001</v>
      </c>
      <c r="C296" s="46">
        <v>2.4258600000000002E-2</v>
      </c>
      <c r="D296" s="46">
        <v>-14.13</v>
      </c>
      <c r="E296" s="46">
        <v>0</v>
      </c>
      <c r="F296" s="46">
        <f>B296-0.1972122</f>
        <v>4.3138700000000002E-2</v>
      </c>
      <c r="G296" s="46">
        <f>0.2929257-B296</f>
        <v>5.2574800000000005E-2</v>
      </c>
    </row>
    <row r="297" spans="1:7" x14ac:dyDescent="0.25">
      <c r="A297" s="49" t="s">
        <v>170</v>
      </c>
      <c r="B297" s="46">
        <v>0.35212589999999999</v>
      </c>
      <c r="C297" s="46">
        <v>2.8612700000000001E-2</v>
      </c>
      <c r="D297" s="46">
        <v>-12.85</v>
      </c>
      <c r="E297" s="46">
        <v>0</v>
      </c>
      <c r="F297" s="46">
        <f>B297-0.3002837</f>
        <v>5.1842200000000005E-2</v>
      </c>
      <c r="G297" s="46">
        <f>0.4129183-B297</f>
        <v>6.0792400000000024E-2</v>
      </c>
    </row>
    <row r="298" spans="1:7" x14ac:dyDescent="0.25">
      <c r="A298" s="49" t="s">
        <v>171</v>
      </c>
      <c r="B298" s="46">
        <v>2.8261700000000001E-2</v>
      </c>
      <c r="C298" s="46">
        <v>9.4292999999999998E-3</v>
      </c>
      <c r="D298" s="46">
        <v>-10.69</v>
      </c>
      <c r="E298" s="46">
        <v>0</v>
      </c>
      <c r="F298" s="46">
        <f>B298-0.0146961</f>
        <v>1.3565600000000001E-2</v>
      </c>
      <c r="G298" s="46">
        <f>0.0543495-B298</f>
        <v>2.6087800000000001E-2</v>
      </c>
    </row>
    <row r="299" spans="1:7" x14ac:dyDescent="0.25">
      <c r="A299" s="49" t="s">
        <v>172</v>
      </c>
      <c r="B299" s="46">
        <v>5.1456799999999997E-2</v>
      </c>
      <c r="C299" s="46">
        <v>1.9543499999999998E-2</v>
      </c>
      <c r="D299" s="46">
        <v>-7.81</v>
      </c>
      <c r="E299" s="46">
        <v>0</v>
      </c>
      <c r="F299" s="46">
        <f>B299-0.0244429</f>
        <v>2.7013899999999997E-2</v>
      </c>
      <c r="G299" s="46">
        <f>0.108326-B299</f>
        <v>5.6869200000000009E-2</v>
      </c>
    </row>
    <row r="300" spans="1:7" x14ac:dyDescent="0.25">
      <c r="A300" s="49" t="s">
        <v>173</v>
      </c>
      <c r="B300" s="46">
        <v>0.14130870000000001</v>
      </c>
      <c r="C300" s="46">
        <v>2.2712099999999999E-2</v>
      </c>
      <c r="D300" s="46">
        <v>-12.17</v>
      </c>
      <c r="E300" s="46">
        <v>0</v>
      </c>
      <c r="F300" s="46">
        <f>B300-0.1031236</f>
        <v>3.8185100000000013E-2</v>
      </c>
      <c r="G300" s="46">
        <f>0.1936331-B300</f>
        <v>5.2324399999999993E-2</v>
      </c>
    </row>
    <row r="301" spans="1:7" x14ac:dyDescent="0.25">
      <c r="A301" s="49" t="s">
        <v>174</v>
      </c>
      <c r="B301" s="46">
        <v>0.24258209999999999</v>
      </c>
      <c r="C301" s="46">
        <v>4.3066699999999999E-2</v>
      </c>
      <c r="D301" s="46">
        <v>-7.98</v>
      </c>
      <c r="E301" s="46">
        <v>0</v>
      </c>
      <c r="F301" s="46">
        <f>B301-0.1712936</f>
        <v>7.1288500000000005E-2</v>
      </c>
      <c r="G301" s="46">
        <f>0.3435392-B301</f>
        <v>0.10095709999999999</v>
      </c>
    </row>
    <row r="302" spans="1:7" x14ac:dyDescent="0.25">
      <c r="A302" s="49" t="s">
        <v>175</v>
      </c>
      <c r="B302" s="46">
        <v>3.7682300000000002E-2</v>
      </c>
      <c r="C302" s="46">
        <v>1.1095300000000001E-2</v>
      </c>
      <c r="D302" s="46">
        <v>-11.13</v>
      </c>
      <c r="E302" s="46">
        <v>0</v>
      </c>
      <c r="F302" s="46">
        <f>B302-0.0211596</f>
        <v>1.6522700000000001E-2</v>
      </c>
      <c r="G302" s="46">
        <f>0.067107-B302</f>
        <v>2.9424699999999998E-2</v>
      </c>
    </row>
    <row r="303" spans="1:7" x14ac:dyDescent="0.25">
      <c r="A303" s="49" t="s">
        <v>176</v>
      </c>
      <c r="B303" s="46">
        <v>2.94039E-2</v>
      </c>
      <c r="C303" s="46">
        <v>1.4767499999999999E-2</v>
      </c>
      <c r="D303" s="46">
        <v>-7.02</v>
      </c>
      <c r="E303" s="46">
        <v>0</v>
      </c>
      <c r="F303" s="46">
        <f>B303-0.0109877</f>
        <v>1.8416200000000001E-2</v>
      </c>
      <c r="G303" s="46">
        <f>0.078687-B303</f>
        <v>4.928310000000001E-2</v>
      </c>
    </row>
    <row r="304" spans="1:7" x14ac:dyDescent="0.25">
      <c r="A304" s="49" t="s">
        <v>177</v>
      </c>
      <c r="B304" s="46">
        <v>5.0243099999999999E-2</v>
      </c>
      <c r="C304" s="46">
        <v>1.28859E-2</v>
      </c>
      <c r="D304" s="46">
        <v>-11.66</v>
      </c>
      <c r="E304" s="46">
        <v>0</v>
      </c>
      <c r="F304" s="46">
        <f>B304-0.0303926</f>
        <v>1.98505E-2</v>
      </c>
      <c r="G304" s="46">
        <f>0.0830587-B304</f>
        <v>3.28156E-2</v>
      </c>
    </row>
    <row r="305" spans="1:22" x14ac:dyDescent="0.25">
      <c r="A305" s="49" t="s">
        <v>178</v>
      </c>
      <c r="B305" s="46">
        <v>0.12496649999999999</v>
      </c>
      <c r="C305" s="46">
        <v>3.0964999999999999E-2</v>
      </c>
      <c r="D305" s="46">
        <v>-8.39</v>
      </c>
      <c r="E305" s="46">
        <v>0</v>
      </c>
      <c r="F305" s="46">
        <f>B305-0.0768914</f>
        <v>4.8075099999999996E-2</v>
      </c>
      <c r="G305" s="46">
        <f>0.2030999-B305</f>
        <v>7.8133400000000006E-2</v>
      </c>
    </row>
    <row r="306" spans="1:22" x14ac:dyDescent="0.25">
      <c r="A306" s="49" t="s">
        <v>179</v>
      </c>
      <c r="B306" s="46">
        <v>0.1946919</v>
      </c>
      <c r="C306" s="46">
        <v>2.7618500000000001E-2</v>
      </c>
      <c r="D306" s="46">
        <v>-11.54</v>
      </c>
      <c r="E306" s="46">
        <v>0</v>
      </c>
      <c r="F306" s="46">
        <f>B306-0.1474344</f>
        <v>4.7257500000000008E-2</v>
      </c>
      <c r="G306" s="46">
        <f>0.257097-B306</f>
        <v>6.2405100000000019E-2</v>
      </c>
    </row>
    <row r="307" spans="1:22" x14ac:dyDescent="0.25">
      <c r="A307" s="49" t="s">
        <v>180</v>
      </c>
      <c r="B307" s="46">
        <v>0.44105840000000002</v>
      </c>
      <c r="C307" s="46">
        <v>6.7792900000000003E-2</v>
      </c>
      <c r="D307" s="46">
        <v>-5.33</v>
      </c>
      <c r="E307" s="46">
        <v>0</v>
      </c>
      <c r="F307" s="46">
        <f>B307-0.3263339</f>
        <v>0.11472450000000001</v>
      </c>
      <c r="G307" s="46">
        <f>0.5961149-B307</f>
        <v>0.15505649999999999</v>
      </c>
    </row>
    <row r="308" spans="1:22" x14ac:dyDescent="0.25">
      <c r="A308" s="49" t="s">
        <v>181</v>
      </c>
      <c r="B308" s="46">
        <v>0.29203790000000002</v>
      </c>
      <c r="C308" s="46">
        <v>3.3873500000000001E-2</v>
      </c>
      <c r="D308" s="46">
        <v>-10.61</v>
      </c>
      <c r="E308" s="46">
        <v>0</v>
      </c>
      <c r="F308" s="46">
        <f>B308-0.2326528</f>
        <v>5.9385100000000024E-2</v>
      </c>
      <c r="G308" s="46">
        <f>0.3665812-B308</f>
        <v>7.4543299999999979E-2</v>
      </c>
    </row>
    <row r="309" spans="1:22" x14ac:dyDescent="0.25">
      <c r="A309" s="49" t="s">
        <v>182</v>
      </c>
      <c r="B309" s="46">
        <v>0.82330899999999996</v>
      </c>
      <c r="C309" s="46">
        <v>9.80457E-2</v>
      </c>
      <c r="D309" s="46">
        <v>-1.63</v>
      </c>
      <c r="E309" s="46">
        <v>0.10299999999999999</v>
      </c>
      <c r="F309" s="46">
        <f>B309-0.6519218</f>
        <v>0.17138719999999996</v>
      </c>
      <c r="G309" s="46">
        <f>1.039753-B309</f>
        <v>0.21644399999999997</v>
      </c>
    </row>
    <row r="310" spans="1:22" x14ac:dyDescent="0.25">
      <c r="A310" s="49" t="s">
        <v>183</v>
      </c>
      <c r="B310" s="46">
        <v>0.12246750000000001</v>
      </c>
      <c r="C310" s="46">
        <v>1.9802799999999999E-2</v>
      </c>
      <c r="D310" s="46">
        <v>-12.99</v>
      </c>
      <c r="E310" s="46">
        <v>0</v>
      </c>
      <c r="F310" s="46">
        <f>B310-0.0892037</f>
        <v>3.326380000000001E-2</v>
      </c>
      <c r="G310" s="46">
        <f>0.1681353-B310</f>
        <v>4.5667799999999981E-2</v>
      </c>
    </row>
    <row r="311" spans="1:22" x14ac:dyDescent="0.25">
      <c r="A311" s="49" t="s">
        <v>184</v>
      </c>
      <c r="B311" s="46">
        <v>0.38960159999999999</v>
      </c>
      <c r="C311" s="46">
        <v>5.55516E-2</v>
      </c>
      <c r="D311" s="46">
        <v>-6.61</v>
      </c>
      <c r="E311" s="46">
        <v>0</v>
      </c>
      <c r="F311" s="46">
        <f>B311-0.2946127</f>
        <v>9.4988899999999987E-2</v>
      </c>
      <c r="G311" s="46">
        <f>0.5152167-B311</f>
        <v>0.12561509999999998</v>
      </c>
    </row>
    <row r="312" spans="1:22" x14ac:dyDescent="0.25">
      <c r="A312" s="49" t="s">
        <v>185</v>
      </c>
      <c r="B312" s="46">
        <v>7.2224399999999994E-2</v>
      </c>
      <c r="C312" s="46">
        <v>1.56122E-2</v>
      </c>
      <c r="D312" s="46">
        <v>-12.16</v>
      </c>
      <c r="E312" s="46">
        <v>0</v>
      </c>
      <c r="F312" s="46">
        <f>B312-0.047281</f>
        <v>2.4943399999999998E-2</v>
      </c>
      <c r="G312" s="46">
        <f>0.110327-B312</f>
        <v>3.81026E-2</v>
      </c>
    </row>
    <row r="313" spans="1:22" x14ac:dyDescent="0.25">
      <c r="A313" s="49" t="s">
        <v>186</v>
      </c>
      <c r="B313" s="46">
        <v>0.1323175</v>
      </c>
      <c r="C313" s="46">
        <v>3.1826599999999997E-2</v>
      </c>
      <c r="D313" s="46">
        <v>-8.41</v>
      </c>
      <c r="E313" s="46">
        <v>0</v>
      </c>
      <c r="F313" s="46">
        <f>B313-0.0825802</f>
        <v>4.9737299999999998E-2</v>
      </c>
      <c r="G313" s="46">
        <f>0.2120111-B313</f>
        <v>7.9693600000000003E-2</v>
      </c>
    </row>
    <row r="314" spans="1:22" x14ac:dyDescent="0.25">
      <c r="A314" s="49" t="s">
        <v>187</v>
      </c>
      <c r="B314" s="46">
        <v>0.1287479</v>
      </c>
      <c r="C314" s="46">
        <v>2.10165E-2</v>
      </c>
      <c r="D314" s="46">
        <v>-12.56</v>
      </c>
      <c r="E314" s="46">
        <v>0</v>
      </c>
      <c r="F314" s="46">
        <f>B314-0.0934958</f>
        <v>3.5252099999999995E-2</v>
      </c>
      <c r="G314" s="46">
        <f>0.1772916-B314</f>
        <v>4.8543699999999995E-2</v>
      </c>
    </row>
    <row r="315" spans="1:22" x14ac:dyDescent="0.25">
      <c r="A315" s="49" t="s">
        <v>188</v>
      </c>
      <c r="B315" s="46">
        <v>0.3822506</v>
      </c>
      <c r="C315" s="46">
        <v>5.5190099999999999E-2</v>
      </c>
      <c r="D315" s="46">
        <v>-6.66</v>
      </c>
      <c r="E315" s="46">
        <v>0</v>
      </c>
      <c r="F315" s="46">
        <f>B315-0.2880382</f>
        <v>9.4212399999999974E-2</v>
      </c>
      <c r="G315" s="46">
        <f>0.5072783-B315</f>
        <v>0.12502769999999996</v>
      </c>
    </row>
    <row r="316" spans="1:22" x14ac:dyDescent="0.25">
      <c r="A316" s="49"/>
      <c r="B316" s="47"/>
      <c r="C316" s="47"/>
      <c r="D316" s="47"/>
      <c r="E316" s="47"/>
      <c r="F316" s="47"/>
      <c r="G316" s="47"/>
    </row>
    <row r="317" spans="1:22" x14ac:dyDescent="0.25">
      <c r="A317" s="50" t="s">
        <v>6</v>
      </c>
      <c r="B317" s="48">
        <v>8.7527000000000004E-3</v>
      </c>
      <c r="C317" s="48">
        <v>5.9360000000000001E-4</v>
      </c>
      <c r="D317" s="48">
        <v>-69.86</v>
      </c>
      <c r="E317" s="48">
        <v>0</v>
      </c>
      <c r="F317" s="48">
        <v>7.6632000000000002E-3</v>
      </c>
      <c r="G317" s="48">
        <v>9.9971000000000001E-3</v>
      </c>
    </row>
    <row r="318" spans="1:22" x14ac:dyDescent="0.25">
      <c r="U318" s="46"/>
      <c r="V318" s="46"/>
    </row>
    <row r="319" spans="1:22" ht="15.75" thickBot="1" x14ac:dyDescent="0.3">
      <c r="U319" s="46"/>
      <c r="V319" s="46"/>
    </row>
    <row r="320" spans="1:22" x14ac:dyDescent="0.25">
      <c r="A320" s="10"/>
      <c r="B320" s="11"/>
      <c r="C320" s="11" t="s">
        <v>9</v>
      </c>
      <c r="D320" s="11" t="s">
        <v>10</v>
      </c>
      <c r="E320" s="11" t="s">
        <v>40</v>
      </c>
      <c r="F320" s="11" t="s">
        <v>11</v>
      </c>
      <c r="G320" s="11" t="s">
        <v>7</v>
      </c>
      <c r="H320" s="11" t="s">
        <v>8</v>
      </c>
      <c r="I320" s="11" t="s">
        <v>62</v>
      </c>
      <c r="J320" s="11" t="s">
        <v>64</v>
      </c>
      <c r="K320" s="12" t="s">
        <v>65</v>
      </c>
      <c r="M320" s="7"/>
      <c r="N320" s="46">
        <v>2.4113599999999999E-2</v>
      </c>
      <c r="O320" s="46">
        <v>3.1602700000000011E-2</v>
      </c>
      <c r="P320" s="46">
        <v>3.3467600000000014E-2</v>
      </c>
      <c r="Q320" s="46">
        <v>4.1988899999999996E-2</v>
      </c>
      <c r="R320" s="46">
        <v>2.4312500000000001E-2</v>
      </c>
      <c r="S320" s="46">
        <v>3.194530000000001E-2</v>
      </c>
      <c r="T320" s="7"/>
      <c r="U320" s="46"/>
      <c r="V320" s="46"/>
    </row>
    <row r="321" spans="1:22" x14ac:dyDescent="0.25">
      <c r="A321" s="24" t="s">
        <v>94</v>
      </c>
      <c r="B321" s="7" t="s">
        <v>152</v>
      </c>
      <c r="C321" s="14">
        <f>B280</f>
        <v>0.10175439999999999</v>
      </c>
      <c r="D321" s="15">
        <f>B282</f>
        <v>0.59824560000000004</v>
      </c>
      <c r="E321" s="15">
        <f>B284</f>
        <v>0.11052629999999999</v>
      </c>
      <c r="F321" s="15">
        <f>B286</f>
        <v>0.16491230000000001</v>
      </c>
      <c r="G321" s="15">
        <f>B288</f>
        <v>0.71754390000000001</v>
      </c>
      <c r="H321" s="15">
        <f>B290</f>
        <v>1</v>
      </c>
      <c r="I321" s="16">
        <f>B292</f>
        <v>0.10175439999999999</v>
      </c>
      <c r="J321" s="16">
        <f>B294</f>
        <v>0.13333329999999999</v>
      </c>
      <c r="K321" s="17">
        <f>B296</f>
        <v>0.24035090000000001</v>
      </c>
      <c r="M321" s="7"/>
      <c r="N321" s="46">
        <v>2.6268500000000014E-2</v>
      </c>
      <c r="O321" s="46">
        <v>3.2476900000000003E-2</v>
      </c>
      <c r="P321" s="46">
        <v>3.0780799999999997E-2</v>
      </c>
      <c r="Q321" s="46">
        <v>3.768100000000002E-2</v>
      </c>
      <c r="R321" s="46">
        <v>4.1838400000000026E-2</v>
      </c>
      <c r="S321" s="46">
        <v>4.9351299999999987E-2</v>
      </c>
      <c r="T321" s="7"/>
      <c r="U321" s="46"/>
      <c r="V321" s="46"/>
    </row>
    <row r="322" spans="1:22" x14ac:dyDescent="0.25">
      <c r="A322" s="24"/>
      <c r="B322" s="7" t="s">
        <v>372</v>
      </c>
      <c r="C322" s="15">
        <f>B281</f>
        <v>0.13741500000000001</v>
      </c>
      <c r="D322" s="15">
        <f>B283</f>
        <v>0.59014829999999996</v>
      </c>
      <c r="E322" s="15">
        <f>B285</f>
        <v>7.8522900000000007E-2</v>
      </c>
      <c r="F322" s="15">
        <f>B287</f>
        <v>0.16808799999999999</v>
      </c>
      <c r="G322" s="15">
        <f>B289</f>
        <v>1.206062</v>
      </c>
      <c r="H322" s="15">
        <f>B291</f>
        <v>1.4637150000000001</v>
      </c>
      <c r="I322" s="16">
        <f>B293</f>
        <v>0.27483000000000002</v>
      </c>
      <c r="J322" s="16">
        <f>B295</f>
        <v>0.1349612</v>
      </c>
      <c r="K322" s="18">
        <f>B297</f>
        <v>0.35212589999999999</v>
      </c>
      <c r="M322" s="7"/>
      <c r="N322" s="46">
        <v>1.3565600000000001E-2</v>
      </c>
      <c r="O322" s="46">
        <v>2.6087800000000001E-2</v>
      </c>
      <c r="P322" s="46">
        <v>1.98505E-2</v>
      </c>
      <c r="Q322" s="46">
        <v>3.28156E-2</v>
      </c>
      <c r="R322" s="46">
        <v>3.326380000000001E-2</v>
      </c>
      <c r="S322" s="46">
        <v>4.5667799999999981E-2</v>
      </c>
      <c r="T322" s="7"/>
      <c r="U322" s="46"/>
      <c r="V322" s="46"/>
    </row>
    <row r="323" spans="1:22" x14ac:dyDescent="0.25">
      <c r="A323" s="24" t="s">
        <v>95</v>
      </c>
      <c r="B323" s="7" t="s">
        <v>152</v>
      </c>
      <c r="C323" s="15">
        <f>B298</f>
        <v>2.8261700000000001E-2</v>
      </c>
      <c r="D323" s="15">
        <f>B300</f>
        <v>0.14130870000000001</v>
      </c>
      <c r="E323" s="15">
        <f>B302</f>
        <v>3.7682300000000002E-2</v>
      </c>
      <c r="F323" s="15">
        <f>B304</f>
        <v>5.0243099999999999E-2</v>
      </c>
      <c r="G323" s="15">
        <f>B306</f>
        <v>0.1946919</v>
      </c>
      <c r="H323" s="15">
        <f>B308</f>
        <v>0.29203790000000002</v>
      </c>
      <c r="I323" s="16">
        <f>B310</f>
        <v>0.12246750000000001</v>
      </c>
      <c r="J323" s="16">
        <f>B312</f>
        <v>7.2224399999999994E-2</v>
      </c>
      <c r="K323" s="17">
        <f>B314</f>
        <v>0.1287479</v>
      </c>
      <c r="M323" s="7"/>
      <c r="N323" s="46">
        <v>2.7013899999999997E-2</v>
      </c>
      <c r="O323" s="46">
        <v>5.6869200000000009E-2</v>
      </c>
      <c r="P323" s="46">
        <v>4.8075099999999996E-2</v>
      </c>
      <c r="Q323" s="46">
        <v>7.8133400000000006E-2</v>
      </c>
      <c r="R323" s="46">
        <v>9.4988899999999987E-2</v>
      </c>
      <c r="S323" s="46">
        <v>0.12561509999999998</v>
      </c>
      <c r="T323" s="7"/>
      <c r="U323" s="46"/>
      <c r="V323" s="46"/>
    </row>
    <row r="324" spans="1:22" ht="15.75" thickBot="1" x14ac:dyDescent="0.3">
      <c r="A324" s="26"/>
      <c r="B324" s="27" t="s">
        <v>372</v>
      </c>
      <c r="C324" s="30">
        <f>B299</f>
        <v>5.1456799999999997E-2</v>
      </c>
      <c r="D324" s="30">
        <f>B301</f>
        <v>0.24258209999999999</v>
      </c>
      <c r="E324" s="30">
        <f>B303</f>
        <v>2.94039E-2</v>
      </c>
      <c r="F324" s="29">
        <f>B305</f>
        <v>0.12496649999999999</v>
      </c>
      <c r="G324" s="29">
        <f>B307</f>
        <v>0.44105840000000002</v>
      </c>
      <c r="H324" s="28">
        <f>B309</f>
        <v>0.82330899999999996</v>
      </c>
      <c r="I324" s="29">
        <f>B311</f>
        <v>0.38960159999999999</v>
      </c>
      <c r="J324" s="29">
        <f>B313</f>
        <v>0.1323175</v>
      </c>
      <c r="K324" s="31">
        <f>B315</f>
        <v>0.3822506</v>
      </c>
      <c r="M324" s="7"/>
      <c r="N324" s="46">
        <v>8.0788500000000041E-2</v>
      </c>
      <c r="O324" s="46">
        <v>9.3401699999999921E-2</v>
      </c>
      <c r="P324" s="46">
        <v>9.699420000000003E-2</v>
      </c>
      <c r="Q324" s="46">
        <v>0.11215459999999999</v>
      </c>
      <c r="R324" s="46">
        <v>2.9301899999999992E-2</v>
      </c>
      <c r="S324" s="46">
        <v>3.7555300000000014E-2</v>
      </c>
      <c r="T324" s="7"/>
      <c r="U324" s="46"/>
      <c r="V324" s="46"/>
    </row>
    <row r="325" spans="1:22" x14ac:dyDescent="0.25">
      <c r="M325" s="9"/>
      <c r="N325" s="46">
        <v>7.5385999999999953E-2</v>
      </c>
      <c r="O325" s="46">
        <v>8.6426100000000061E-2</v>
      </c>
      <c r="P325" s="46">
        <v>0.14260600000000001</v>
      </c>
      <c r="Q325" s="46">
        <v>0.16172900000000001</v>
      </c>
      <c r="R325" s="46">
        <v>2.6371699999999998E-2</v>
      </c>
      <c r="S325" s="46">
        <v>3.2776100000000002E-2</v>
      </c>
      <c r="T325" s="7"/>
      <c r="U325" s="46"/>
      <c r="V325" s="46"/>
    </row>
    <row r="326" spans="1:22" x14ac:dyDescent="0.25">
      <c r="M326" s="9"/>
      <c r="N326" s="46">
        <v>3.8185100000000013E-2</v>
      </c>
      <c r="O326" s="46">
        <v>5.2324399999999993E-2</v>
      </c>
      <c r="P326" s="46">
        <v>4.7257500000000008E-2</v>
      </c>
      <c r="Q326" s="46">
        <v>6.2405100000000019E-2</v>
      </c>
      <c r="R326" s="46">
        <v>2.4943399999999998E-2</v>
      </c>
      <c r="S326" s="46">
        <v>3.81026E-2</v>
      </c>
      <c r="T326" s="7"/>
      <c r="U326" s="46"/>
      <c r="V326" s="46"/>
    </row>
    <row r="327" spans="1:22" x14ac:dyDescent="0.25">
      <c r="M327" s="9"/>
      <c r="N327" s="46">
        <v>7.1288500000000005E-2</v>
      </c>
      <c r="O327" s="46">
        <v>0.10095709999999999</v>
      </c>
      <c r="P327" s="46">
        <v>0.11472450000000001</v>
      </c>
      <c r="Q327" s="46">
        <v>0.15505649999999999</v>
      </c>
      <c r="R327" s="46">
        <v>4.9737299999999998E-2</v>
      </c>
      <c r="S327" s="46">
        <v>7.9693600000000003E-2</v>
      </c>
      <c r="T327" s="23"/>
      <c r="U327" s="46"/>
      <c r="V327" s="46"/>
    </row>
    <row r="328" spans="1:22" x14ac:dyDescent="0.25">
      <c r="M328" s="7"/>
      <c r="N328" s="46">
        <v>2.6673199999999994E-2</v>
      </c>
      <c r="O328" s="46">
        <v>3.5157800000000017E-2</v>
      </c>
      <c r="P328" s="46">
        <v>0</v>
      </c>
      <c r="Q328" s="46">
        <v>0</v>
      </c>
      <c r="R328" s="46">
        <v>4.3138700000000002E-2</v>
      </c>
      <c r="S328" s="46">
        <v>5.2574800000000005E-2</v>
      </c>
      <c r="T328" s="7"/>
      <c r="U328" s="46"/>
      <c r="V328" s="46"/>
    </row>
    <row r="329" spans="1:22" x14ac:dyDescent="0.25">
      <c r="M329" s="7"/>
      <c r="N329" s="46">
        <v>1.8365100000000009E-2</v>
      </c>
      <c r="O329" s="46">
        <v>2.3971499999999993E-2</v>
      </c>
      <c r="P329" s="46">
        <v>0.16819500000000009</v>
      </c>
      <c r="Q329" s="46">
        <v>0.19003199999999998</v>
      </c>
      <c r="R329" s="46">
        <v>5.1842200000000005E-2</v>
      </c>
      <c r="S329" s="46">
        <v>6.0792400000000024E-2</v>
      </c>
      <c r="T329" s="7"/>
      <c r="U329" s="46"/>
      <c r="V329" s="46"/>
    </row>
    <row r="330" spans="1:22" x14ac:dyDescent="0.25">
      <c r="M330" s="7"/>
      <c r="N330" s="46">
        <v>1.6522700000000001E-2</v>
      </c>
      <c r="O330" s="46">
        <v>2.9424699999999998E-2</v>
      </c>
      <c r="P330" s="46">
        <v>5.9385100000000024E-2</v>
      </c>
      <c r="Q330" s="46">
        <v>7.4543299999999979E-2</v>
      </c>
      <c r="R330" s="46">
        <v>3.5252099999999995E-2</v>
      </c>
      <c r="S330" s="46">
        <v>4.8543699999999995E-2</v>
      </c>
      <c r="T330" s="7"/>
      <c r="U330" s="46"/>
      <c r="V330" s="46"/>
    </row>
    <row r="331" spans="1:22" x14ac:dyDescent="0.25">
      <c r="M331" s="23"/>
      <c r="N331" s="46">
        <v>1.8416200000000001E-2</v>
      </c>
      <c r="O331" s="46">
        <v>4.928310000000001E-2</v>
      </c>
      <c r="P331" s="46">
        <v>0.17138719999999996</v>
      </c>
      <c r="Q331" s="46">
        <v>0.21644399999999997</v>
      </c>
      <c r="R331" s="46">
        <v>9.4212399999999974E-2</v>
      </c>
      <c r="S331" s="46">
        <v>0.12502769999999996</v>
      </c>
      <c r="T331" s="7"/>
      <c r="U331" s="46"/>
      <c r="V331" s="46"/>
    </row>
    <row r="332" spans="1:22" x14ac:dyDescent="0.25">
      <c r="M332" s="7"/>
      <c r="N332" s="7"/>
      <c r="O332" s="7"/>
      <c r="P332" s="7"/>
      <c r="Q332" s="7"/>
      <c r="R332" s="9"/>
      <c r="T332" s="7"/>
      <c r="U332" s="46"/>
      <c r="V332" s="46"/>
    </row>
    <row r="333" spans="1:22" x14ac:dyDescent="0.25">
      <c r="M333" s="7"/>
      <c r="N333" s="9"/>
      <c r="O333" s="9"/>
      <c r="P333" s="7"/>
      <c r="Q333" s="7"/>
      <c r="R333" s="7"/>
      <c r="T333" s="7"/>
      <c r="U333" s="46"/>
      <c r="V333" s="46"/>
    </row>
    <row r="334" spans="1:22" x14ac:dyDescent="0.25">
      <c r="M334" s="7"/>
      <c r="N334" s="9"/>
      <c r="O334" s="9"/>
      <c r="P334" s="7"/>
      <c r="Q334" s="7"/>
      <c r="R334" s="7"/>
      <c r="T334" s="7"/>
      <c r="U334" s="46"/>
      <c r="V334" s="46"/>
    </row>
    <row r="335" spans="1:22" x14ac:dyDescent="0.25">
      <c r="M335" s="7"/>
      <c r="N335" s="9"/>
      <c r="O335" s="9"/>
      <c r="P335" s="7"/>
      <c r="Q335" s="7"/>
      <c r="R335" s="7"/>
      <c r="T335" s="7"/>
      <c r="U335" s="46"/>
      <c r="V335" s="46"/>
    </row>
    <row r="336" spans="1:22" x14ac:dyDescent="0.25">
      <c r="M336" s="7"/>
      <c r="N336" s="7"/>
      <c r="O336" s="7"/>
      <c r="P336" s="7"/>
      <c r="Q336" s="7"/>
      <c r="R336" s="7"/>
      <c r="T336" s="7"/>
      <c r="U336" s="46"/>
      <c r="V336" s="46"/>
    </row>
    <row r="337" spans="1:22" x14ac:dyDescent="0.25">
      <c r="M337" s="7"/>
      <c r="N337" s="7"/>
      <c r="O337" s="7"/>
      <c r="P337" s="9"/>
      <c r="Q337" s="7"/>
      <c r="R337" s="7"/>
      <c r="T337" s="9"/>
      <c r="U337" s="2"/>
      <c r="V337" s="2"/>
    </row>
    <row r="338" spans="1:22" x14ac:dyDescent="0.25">
      <c r="M338" s="7"/>
      <c r="N338" s="7"/>
      <c r="O338" s="7"/>
      <c r="P338" s="9"/>
      <c r="Q338" s="7"/>
      <c r="R338" s="7"/>
      <c r="T338" s="9"/>
      <c r="U338" s="9"/>
    </row>
    <row r="339" spans="1:22" x14ac:dyDescent="0.25">
      <c r="M339" s="23"/>
      <c r="N339" s="7"/>
      <c r="O339" s="7"/>
      <c r="P339" s="9"/>
      <c r="Q339" s="7"/>
      <c r="R339" s="9"/>
      <c r="T339" s="9"/>
      <c r="U339" s="9"/>
    </row>
    <row r="340" spans="1:22" x14ac:dyDescent="0.25">
      <c r="M340" s="7"/>
      <c r="N340" s="7"/>
      <c r="O340" s="7"/>
      <c r="P340" s="7"/>
      <c r="T340" s="7"/>
      <c r="U340" s="7"/>
    </row>
    <row r="341" spans="1:22" x14ac:dyDescent="0.25">
      <c r="M341" s="9"/>
      <c r="N341" s="7"/>
      <c r="O341" s="7"/>
      <c r="P341" s="7"/>
      <c r="T341" s="7"/>
      <c r="U341" s="7"/>
    </row>
    <row r="342" spans="1:22" s="1" customFormat="1" x14ac:dyDescent="0.25">
      <c r="A342" s="1" t="s">
        <v>103</v>
      </c>
      <c r="M342" s="32"/>
      <c r="N342" s="32"/>
      <c r="O342" s="33"/>
      <c r="P342" s="33"/>
      <c r="T342" s="33"/>
      <c r="U342" s="33"/>
    </row>
    <row r="343" spans="1:22" x14ac:dyDescent="0.25">
      <c r="M343" s="9"/>
      <c r="N343" s="9"/>
      <c r="O343" s="7"/>
      <c r="P343" s="7"/>
      <c r="T343" s="7"/>
      <c r="U343" s="9"/>
    </row>
    <row r="344" spans="1:22" x14ac:dyDescent="0.25">
      <c r="A344" s="49"/>
      <c r="B344" s="46" t="s">
        <v>1</v>
      </c>
      <c r="C344" s="47"/>
      <c r="D344" s="47"/>
      <c r="E344" s="47"/>
      <c r="F344" s="47"/>
      <c r="G344" s="47"/>
      <c r="M344" s="9"/>
      <c r="N344" s="9"/>
      <c r="O344" s="7"/>
      <c r="P344" s="7"/>
      <c r="T344" s="7"/>
      <c r="U344" s="7"/>
    </row>
    <row r="345" spans="1:22" x14ac:dyDescent="0.25">
      <c r="A345" s="50" t="s">
        <v>2</v>
      </c>
      <c r="B345" s="48" t="s">
        <v>269</v>
      </c>
      <c r="C345" s="48" t="s">
        <v>270</v>
      </c>
      <c r="D345" s="48" t="s">
        <v>3</v>
      </c>
      <c r="E345" s="48" t="s">
        <v>4</v>
      </c>
      <c r="F345" s="48" t="s">
        <v>271</v>
      </c>
      <c r="G345" s="48" t="s">
        <v>272</v>
      </c>
      <c r="M345" s="9"/>
      <c r="N345" s="9"/>
      <c r="O345" s="7"/>
      <c r="P345" s="7"/>
      <c r="T345" s="7"/>
      <c r="U345" s="7"/>
    </row>
    <row r="346" spans="1:22" x14ac:dyDescent="0.25">
      <c r="A346" s="49"/>
      <c r="B346" s="46"/>
      <c r="C346" s="46"/>
      <c r="D346" s="47"/>
      <c r="E346" s="47"/>
      <c r="F346" s="47"/>
      <c r="G346" s="47"/>
      <c r="M346" s="9"/>
      <c r="N346" s="9"/>
      <c r="O346" s="7"/>
      <c r="P346" s="7"/>
      <c r="T346" s="7"/>
      <c r="U346" s="7"/>
    </row>
    <row r="347" spans="1:22" x14ac:dyDescent="0.25">
      <c r="A347" s="49" t="s">
        <v>72</v>
      </c>
      <c r="B347" s="47"/>
      <c r="C347" s="47"/>
      <c r="D347" s="47"/>
      <c r="E347" s="47"/>
      <c r="F347" s="47"/>
      <c r="G347" s="47"/>
      <c r="M347" s="9"/>
      <c r="N347" s="9"/>
      <c r="O347" s="7"/>
      <c r="P347" s="7"/>
      <c r="T347" s="7"/>
      <c r="U347" s="9"/>
    </row>
    <row r="348" spans="1:22" x14ac:dyDescent="0.25">
      <c r="A348" s="49" t="s">
        <v>73</v>
      </c>
      <c r="B348" s="46">
        <v>1.1000300000000001</v>
      </c>
      <c r="C348" s="46">
        <v>3.2488700000000002E-2</v>
      </c>
      <c r="D348" s="46">
        <v>3.23</v>
      </c>
      <c r="E348" s="46">
        <v>1E-3</v>
      </c>
      <c r="F348" s="46">
        <v>1.0381609999999999</v>
      </c>
      <c r="G348" s="46">
        <v>1.165586</v>
      </c>
      <c r="M348" s="7"/>
      <c r="N348" s="7"/>
      <c r="T348" s="7"/>
      <c r="U348" s="7"/>
    </row>
    <row r="349" spans="1:22" x14ac:dyDescent="0.25">
      <c r="A349" s="49"/>
      <c r="B349" s="47"/>
      <c r="C349" s="47"/>
      <c r="D349" s="47"/>
      <c r="E349" s="47"/>
      <c r="F349" s="47"/>
      <c r="G349" s="47"/>
      <c r="M349" s="7"/>
      <c r="N349" s="7"/>
      <c r="T349" s="7"/>
      <c r="U349" s="7"/>
    </row>
    <row r="350" spans="1:22" x14ac:dyDescent="0.25">
      <c r="A350" s="49" t="s">
        <v>74</v>
      </c>
      <c r="B350" s="47"/>
      <c r="C350" s="47"/>
      <c r="D350" s="47"/>
      <c r="E350" s="47"/>
      <c r="F350" s="47"/>
      <c r="G350" s="47"/>
      <c r="M350" s="7"/>
      <c r="N350" s="7"/>
      <c r="T350" s="7"/>
      <c r="U350" s="7"/>
    </row>
    <row r="351" spans="1:22" x14ac:dyDescent="0.25">
      <c r="A351" s="49" t="s">
        <v>75</v>
      </c>
      <c r="B351" s="46">
        <v>0.71213990000000005</v>
      </c>
      <c r="C351" s="46">
        <v>2.6133400000000001E-2</v>
      </c>
      <c r="D351" s="46">
        <v>-9.25</v>
      </c>
      <c r="E351" s="46">
        <v>0</v>
      </c>
      <c r="F351" s="46">
        <v>0.66271800000000003</v>
      </c>
      <c r="G351" s="46">
        <v>0.76524740000000002</v>
      </c>
      <c r="M351" s="7"/>
      <c r="N351" s="7"/>
      <c r="T351" s="7"/>
      <c r="U351" s="9"/>
    </row>
    <row r="352" spans="1:22" x14ac:dyDescent="0.25">
      <c r="A352" s="49" t="s">
        <v>76</v>
      </c>
      <c r="B352" s="46">
        <v>0.51817009999999997</v>
      </c>
      <c r="C352" s="46">
        <v>3.1395899999999997E-2</v>
      </c>
      <c r="D352" s="46">
        <v>-10.85</v>
      </c>
      <c r="E352" s="46">
        <v>0</v>
      </c>
      <c r="F352" s="46">
        <v>0.46014860000000002</v>
      </c>
      <c r="G352" s="46">
        <v>0.58350780000000002</v>
      </c>
      <c r="M352" s="7"/>
      <c r="N352" s="7"/>
    </row>
    <row r="353" spans="1:14" x14ac:dyDescent="0.25">
      <c r="A353" s="49" t="s">
        <v>77</v>
      </c>
      <c r="B353" s="46">
        <v>0.49408020000000002</v>
      </c>
      <c r="C353" s="46">
        <v>3.3946999999999998E-2</v>
      </c>
      <c r="D353" s="46">
        <v>-10.26</v>
      </c>
      <c r="E353" s="46">
        <v>0</v>
      </c>
      <c r="F353" s="46">
        <v>0.43183080000000001</v>
      </c>
      <c r="G353" s="46">
        <v>0.565303</v>
      </c>
      <c r="M353" s="7"/>
      <c r="N353" s="7"/>
    </row>
    <row r="354" spans="1:14" x14ac:dyDescent="0.25">
      <c r="A354" s="49" t="s">
        <v>78</v>
      </c>
      <c r="B354" s="46">
        <v>0.41037479999999998</v>
      </c>
      <c r="C354" s="46">
        <v>3.0839200000000001E-2</v>
      </c>
      <c r="D354" s="46">
        <v>-11.85</v>
      </c>
      <c r="E354" s="46">
        <v>0</v>
      </c>
      <c r="F354" s="46">
        <v>0.35417179999999998</v>
      </c>
      <c r="G354" s="46">
        <v>0.47549659999999999</v>
      </c>
      <c r="M354" s="7"/>
      <c r="N354" s="7"/>
    </row>
    <row r="355" spans="1:14" x14ac:dyDescent="0.25">
      <c r="A355" s="49" t="s">
        <v>79</v>
      </c>
      <c r="B355" s="46">
        <v>0.3664616</v>
      </c>
      <c r="C355" s="46">
        <v>3.28378E-2</v>
      </c>
      <c r="D355" s="46">
        <v>-11.2</v>
      </c>
      <c r="E355" s="46">
        <v>0</v>
      </c>
      <c r="F355" s="46">
        <v>0.30743569999999998</v>
      </c>
      <c r="G355" s="46">
        <v>0.43682019999999999</v>
      </c>
      <c r="M355" s="7"/>
      <c r="N355" s="7"/>
    </row>
    <row r="356" spans="1:14" x14ac:dyDescent="0.25">
      <c r="A356" s="49" t="s">
        <v>80</v>
      </c>
      <c r="B356" s="46">
        <v>0.27473999999999998</v>
      </c>
      <c r="C356" s="46">
        <v>2.90505E-2</v>
      </c>
      <c r="D356" s="46">
        <v>-12.22</v>
      </c>
      <c r="E356" s="46">
        <v>0</v>
      </c>
      <c r="F356" s="46">
        <v>0.22331480000000001</v>
      </c>
      <c r="G356" s="46">
        <v>0.33800740000000001</v>
      </c>
      <c r="M356" s="7"/>
      <c r="N356" s="7"/>
    </row>
    <row r="357" spans="1:14" x14ac:dyDescent="0.25">
      <c r="A357" s="49" t="s">
        <v>86</v>
      </c>
      <c r="B357" s="46">
        <v>0.2050796</v>
      </c>
      <c r="C357" s="46">
        <v>4.2827900000000002E-2</v>
      </c>
      <c r="D357" s="46">
        <v>-7.59</v>
      </c>
      <c r="E357" s="46">
        <v>0</v>
      </c>
      <c r="F357" s="46">
        <v>0.13619510000000001</v>
      </c>
      <c r="G357" s="46">
        <v>0.30880439999999998</v>
      </c>
      <c r="M357" s="7"/>
      <c r="N357" s="7"/>
    </row>
    <row r="358" spans="1:14" x14ac:dyDescent="0.25">
      <c r="A358" s="49" t="s">
        <v>87</v>
      </c>
      <c r="B358" s="46">
        <v>0.2201969</v>
      </c>
      <c r="C358" s="46">
        <v>4.40855E-2</v>
      </c>
      <c r="D358" s="46">
        <v>-7.56</v>
      </c>
      <c r="E358" s="46">
        <v>0</v>
      </c>
      <c r="F358" s="46">
        <v>0.148728</v>
      </c>
      <c r="G358" s="46">
        <v>0.3260092</v>
      </c>
      <c r="M358" s="7"/>
      <c r="N358" s="7"/>
    </row>
    <row r="359" spans="1:14" x14ac:dyDescent="0.25">
      <c r="A359" s="49" t="s">
        <v>88</v>
      </c>
      <c r="B359" s="46">
        <v>5.0862900000000003E-2</v>
      </c>
      <c r="C359" s="46">
        <v>2.4844999999999999E-2</v>
      </c>
      <c r="D359" s="46">
        <v>-6.1</v>
      </c>
      <c r="E359" s="46">
        <v>0</v>
      </c>
      <c r="F359" s="46">
        <v>1.9526100000000001E-2</v>
      </c>
      <c r="G359" s="46">
        <v>0.1324912</v>
      </c>
      <c r="M359" s="7"/>
      <c r="N359" s="7"/>
    </row>
    <row r="360" spans="1:14" x14ac:dyDescent="0.25">
      <c r="A360" s="49"/>
      <c r="B360" s="47"/>
      <c r="C360" s="47"/>
      <c r="D360" s="47"/>
      <c r="E360" s="47"/>
      <c r="F360" s="47"/>
      <c r="G360" s="47"/>
    </row>
    <row r="361" spans="1:14" x14ac:dyDescent="0.25">
      <c r="A361" s="49" t="s">
        <v>108</v>
      </c>
      <c r="B361" s="47"/>
      <c r="C361" s="47"/>
      <c r="D361" s="47"/>
      <c r="E361" s="47"/>
      <c r="F361" s="47"/>
      <c r="G361" s="47"/>
    </row>
    <row r="362" spans="1:14" x14ac:dyDescent="0.25">
      <c r="A362" s="49">
        <v>2</v>
      </c>
      <c r="B362" s="46">
        <v>1.1236919999999999</v>
      </c>
      <c r="C362" s="46">
        <v>3.8677799999999998E-2</v>
      </c>
      <c r="D362" s="46">
        <v>3.39</v>
      </c>
      <c r="E362" s="46">
        <v>1E-3</v>
      </c>
      <c r="F362" s="46">
        <v>1.050386</v>
      </c>
      <c r="G362" s="46">
        <v>1.202115</v>
      </c>
    </row>
    <row r="363" spans="1:14" x14ac:dyDescent="0.25">
      <c r="A363" s="49" t="s">
        <v>109</v>
      </c>
      <c r="B363" s="46">
        <v>1.3152900000000001</v>
      </c>
      <c r="C363" s="46">
        <v>8.0634300000000006E-2</v>
      </c>
      <c r="D363" s="46">
        <v>4.47</v>
      </c>
      <c r="E363" s="46">
        <v>0</v>
      </c>
      <c r="F363" s="46">
        <v>1.1663749999999999</v>
      </c>
      <c r="G363" s="46">
        <v>1.483217</v>
      </c>
    </row>
    <row r="364" spans="1:14" x14ac:dyDescent="0.25">
      <c r="A364" s="49"/>
      <c r="B364" s="47"/>
      <c r="C364" s="47"/>
      <c r="D364" s="47"/>
      <c r="E364" s="47"/>
      <c r="F364" s="47"/>
      <c r="G364" s="47"/>
    </row>
    <row r="365" spans="1:14" x14ac:dyDescent="0.25">
      <c r="A365" s="49" t="s">
        <v>83</v>
      </c>
      <c r="B365" s="47"/>
      <c r="C365" s="47"/>
      <c r="D365" s="47"/>
      <c r="E365" s="47"/>
      <c r="F365" s="47"/>
      <c r="G365" s="47"/>
    </row>
    <row r="366" spans="1:14" x14ac:dyDescent="0.25">
      <c r="A366" s="38" t="s">
        <v>315</v>
      </c>
      <c r="B366" s="46">
        <v>0.56468589999999996</v>
      </c>
      <c r="C366" s="46">
        <v>1.7733200000000001E-2</v>
      </c>
      <c r="D366" s="46">
        <v>-18.2</v>
      </c>
      <c r="E366" s="46">
        <v>0</v>
      </c>
      <c r="F366" s="46">
        <v>0.53097740000000004</v>
      </c>
      <c r="G366" s="46">
        <v>0.60053440000000002</v>
      </c>
    </row>
    <row r="367" spans="1:14" x14ac:dyDescent="0.25">
      <c r="A367" s="38" t="s">
        <v>316</v>
      </c>
      <c r="B367" s="46">
        <v>0.46313480000000001</v>
      </c>
      <c r="C367" s="46">
        <v>2.15751E-2</v>
      </c>
      <c r="D367" s="46">
        <v>-16.52</v>
      </c>
      <c r="E367" s="46">
        <v>0</v>
      </c>
      <c r="F367" s="46">
        <v>0.42272149999999997</v>
      </c>
      <c r="G367" s="46">
        <v>0.50741179999999997</v>
      </c>
    </row>
    <row r="368" spans="1:14" x14ac:dyDescent="0.25">
      <c r="A368" s="38" t="s">
        <v>317</v>
      </c>
      <c r="B368" s="46">
        <v>0.34706880000000001</v>
      </c>
      <c r="C368" s="46">
        <v>2.1267899999999999E-2</v>
      </c>
      <c r="D368" s="46">
        <v>-17.27</v>
      </c>
      <c r="E368" s="46">
        <v>0</v>
      </c>
      <c r="F368" s="46">
        <v>0.30779040000000002</v>
      </c>
      <c r="G368" s="46">
        <v>0.39135969999999998</v>
      </c>
    </row>
    <row r="369" spans="1:7" x14ac:dyDescent="0.25">
      <c r="A369" s="38" t="s">
        <v>82</v>
      </c>
      <c r="B369" s="46">
        <v>0.40303430000000001</v>
      </c>
      <c r="C369" s="46">
        <v>2.9245699999999999E-2</v>
      </c>
      <c r="D369" s="46">
        <v>-12.52</v>
      </c>
      <c r="E369" s="46">
        <v>0</v>
      </c>
      <c r="F369" s="46">
        <v>0.34960330000000001</v>
      </c>
      <c r="G369" s="46">
        <v>0.46463120000000002</v>
      </c>
    </row>
    <row r="370" spans="1:7" x14ac:dyDescent="0.25">
      <c r="A370" s="49"/>
      <c r="B370" s="47"/>
      <c r="C370" s="47"/>
      <c r="D370" s="47"/>
      <c r="E370" s="47"/>
      <c r="F370" s="47"/>
      <c r="G370" s="47"/>
    </row>
    <row r="371" spans="1:7" x14ac:dyDescent="0.25">
      <c r="A371" s="49" t="s">
        <v>110</v>
      </c>
      <c r="B371" s="47"/>
      <c r="C371" s="47"/>
      <c r="D371" s="47"/>
      <c r="E371" s="47"/>
      <c r="F371" s="47"/>
      <c r="G371" s="47"/>
    </row>
    <row r="372" spans="1:7" x14ac:dyDescent="0.25">
      <c r="A372" s="49" t="s">
        <v>154</v>
      </c>
      <c r="B372" s="46">
        <v>1.25007E-2</v>
      </c>
      <c r="C372" s="46">
        <v>1.2444500000000001E-2</v>
      </c>
      <c r="D372" s="46">
        <v>-4.4000000000000004</v>
      </c>
      <c r="E372" s="46">
        <v>0</v>
      </c>
      <c r="F372" s="46">
        <f>B372-0.0017765</f>
        <v>1.07242E-2</v>
      </c>
      <c r="G372" s="46">
        <f>0.0879645-B372</f>
        <v>7.5463799999999998E-2</v>
      </c>
    </row>
    <row r="373" spans="1:7" x14ac:dyDescent="0.25">
      <c r="A373" s="49" t="s">
        <v>155</v>
      </c>
      <c r="B373" s="46">
        <v>4.69662E-2</v>
      </c>
      <c r="C373" s="46">
        <v>2.78038E-2</v>
      </c>
      <c r="D373" s="46">
        <v>-5.17</v>
      </c>
      <c r="E373" s="46">
        <v>0</v>
      </c>
      <c r="F373" s="46">
        <f>B373-0.014719</f>
        <v>3.2247200000000004E-2</v>
      </c>
      <c r="G373" s="46">
        <f>0.1498623-B373</f>
        <v>0.1028961</v>
      </c>
    </row>
    <row r="374" spans="1:7" x14ac:dyDescent="0.25">
      <c r="A374" s="49" t="s">
        <v>156</v>
      </c>
      <c r="B374" s="46">
        <v>0.25</v>
      </c>
      <c r="C374" s="46">
        <v>6.6591800000000007E-2</v>
      </c>
      <c r="D374" s="46">
        <v>-5.2</v>
      </c>
      <c r="E374" s="46">
        <v>0</v>
      </c>
      <c r="F374" s="46">
        <f>B374-0.1483227</f>
        <v>0.1016773</v>
      </c>
      <c r="G374" s="46">
        <f>0.4213784-B374</f>
        <v>0.17137839999999999</v>
      </c>
    </row>
    <row r="375" spans="1:7" x14ac:dyDescent="0.25">
      <c r="A375" s="49" t="s">
        <v>157</v>
      </c>
      <c r="B375" s="46">
        <v>0.31310500000000002</v>
      </c>
      <c r="C375" s="46">
        <v>8.3113300000000001E-2</v>
      </c>
      <c r="D375" s="46">
        <v>-4.37</v>
      </c>
      <c r="E375" s="46">
        <v>0</v>
      </c>
      <c r="F375" s="46">
        <f>B375-0.1860971</f>
        <v>0.12700790000000003</v>
      </c>
      <c r="G375" s="46">
        <f>0.5267933-B375</f>
        <v>0.2136883</v>
      </c>
    </row>
    <row r="376" spans="1:7" x14ac:dyDescent="0.25">
      <c r="A376" s="49" t="s">
        <v>158</v>
      </c>
      <c r="B376" s="46">
        <v>0.2</v>
      </c>
      <c r="C376" s="46">
        <v>5.6018900000000003E-2</v>
      </c>
      <c r="D376" s="46">
        <v>-5.75</v>
      </c>
      <c r="E376" s="46">
        <v>0</v>
      </c>
      <c r="F376" s="46">
        <f>B376-0.1155082</f>
        <v>8.4491800000000006E-2</v>
      </c>
      <c r="G376" s="46">
        <f>0.3462956-B376</f>
        <v>0.14629559999999997</v>
      </c>
    </row>
    <row r="377" spans="1:7" x14ac:dyDescent="0.25">
      <c r="A377" s="49" t="s">
        <v>159</v>
      </c>
      <c r="B377" s="46">
        <v>0.21917349999999999</v>
      </c>
      <c r="C377" s="46">
        <v>6.4354499999999995E-2</v>
      </c>
      <c r="D377" s="46">
        <v>-5.17</v>
      </c>
      <c r="E377" s="46">
        <v>0</v>
      </c>
      <c r="F377" s="46">
        <f>B377-0.1232694</f>
        <v>9.5904099999999992E-2</v>
      </c>
      <c r="G377" s="46">
        <f>0.3896913-B377</f>
        <v>0.17051780000000002</v>
      </c>
    </row>
    <row r="378" spans="1:7" x14ac:dyDescent="0.25">
      <c r="A378" s="49" t="s">
        <v>160</v>
      </c>
      <c r="B378" s="46">
        <v>0.23749999999999999</v>
      </c>
      <c r="C378" s="46">
        <v>6.1597499999999999E-2</v>
      </c>
      <c r="D378" s="46">
        <v>-5.54</v>
      </c>
      <c r="E378" s="46">
        <v>0</v>
      </c>
      <c r="F378" s="46">
        <f>B378-0.1428557</f>
        <v>9.4644299999999987E-2</v>
      </c>
      <c r="G378" s="46">
        <f>0.3948477-B378</f>
        <v>0.15734770000000003</v>
      </c>
    </row>
    <row r="379" spans="1:7" x14ac:dyDescent="0.25">
      <c r="A379" s="49" t="s">
        <v>161</v>
      </c>
      <c r="B379" s="46">
        <v>0.36007070000000002</v>
      </c>
      <c r="C379" s="46">
        <v>8.7637900000000005E-2</v>
      </c>
      <c r="D379" s="46">
        <v>-4.2</v>
      </c>
      <c r="E379" s="46">
        <v>0</v>
      </c>
      <c r="F379" s="46">
        <f>B379-0.2234669</f>
        <v>0.13660380000000003</v>
      </c>
      <c r="G379" s="46">
        <f>0.5801794-B379</f>
        <v>0.22010869999999999</v>
      </c>
    </row>
    <row r="380" spans="1:7" x14ac:dyDescent="0.25">
      <c r="A380" s="49" t="s">
        <v>189</v>
      </c>
      <c r="B380" s="46">
        <v>0.72499999999999998</v>
      </c>
      <c r="C380" s="46">
        <v>0.138484</v>
      </c>
      <c r="D380" s="46">
        <v>-1.68</v>
      </c>
      <c r="E380" s="46">
        <v>9.1999999999999998E-2</v>
      </c>
      <c r="F380" s="46">
        <f>B380-0.498595</f>
        <v>0.22640499999999997</v>
      </c>
      <c r="G380" s="46">
        <f>1.054212-B380</f>
        <v>0.32921199999999995</v>
      </c>
    </row>
    <row r="381" spans="1:7" x14ac:dyDescent="0.25">
      <c r="A381" s="49" t="s">
        <v>162</v>
      </c>
      <c r="B381" s="46">
        <v>1.3150409999999999</v>
      </c>
      <c r="C381" s="46">
        <v>0.22619320000000001</v>
      </c>
      <c r="D381" s="46">
        <v>1.59</v>
      </c>
      <c r="E381" s="46">
        <v>0.111</v>
      </c>
      <c r="F381" s="46">
        <f>B381-0.9387038</f>
        <v>0.37633719999999993</v>
      </c>
      <c r="G381" s="46">
        <f>1.842255-B381</f>
        <v>0.52721400000000007</v>
      </c>
    </row>
    <row r="382" spans="1:7" x14ac:dyDescent="0.25">
      <c r="A382" s="49" t="s">
        <v>163</v>
      </c>
      <c r="B382" s="46">
        <v>1</v>
      </c>
      <c r="C382" s="46"/>
      <c r="D382" s="46"/>
      <c r="E382" s="46"/>
      <c r="F382" s="46">
        <v>0</v>
      </c>
      <c r="G382" s="46">
        <v>0</v>
      </c>
    </row>
    <row r="383" spans="1:7" x14ac:dyDescent="0.25">
      <c r="A383" s="49" t="s">
        <v>164</v>
      </c>
      <c r="B383" s="46">
        <v>1.502904</v>
      </c>
      <c r="C383" s="46">
        <v>0.23948069999999999</v>
      </c>
      <c r="D383" s="46">
        <v>2.56</v>
      </c>
      <c r="E383" s="46">
        <v>1.0999999999999999E-2</v>
      </c>
      <c r="F383" s="46">
        <f>B383-1.099756</f>
        <v>0.40314800000000006</v>
      </c>
      <c r="G383" s="46">
        <f>2.053838-B383</f>
        <v>0.55093399999999981</v>
      </c>
    </row>
    <row r="384" spans="1:7" x14ac:dyDescent="0.25">
      <c r="A384" s="49" t="s">
        <v>165</v>
      </c>
      <c r="B384" s="46">
        <v>0.1000007</v>
      </c>
      <c r="C384" s="46">
        <v>3.75454E-2</v>
      </c>
      <c r="D384" s="46">
        <v>-6.13</v>
      </c>
      <c r="E384" s="46">
        <v>0</v>
      </c>
      <c r="F384" s="46">
        <f>B384-0.0479091</f>
        <v>5.2091599999999995E-2</v>
      </c>
      <c r="G384" s="46">
        <f>0.2087314-B384</f>
        <v>0.10873070000000001</v>
      </c>
    </row>
    <row r="385" spans="1:7" x14ac:dyDescent="0.25">
      <c r="A385" s="49" t="s">
        <v>166</v>
      </c>
      <c r="B385" s="46">
        <v>0.43834689999999998</v>
      </c>
      <c r="C385" s="46">
        <v>0.1009381</v>
      </c>
      <c r="D385" s="46">
        <v>-3.58</v>
      </c>
      <c r="E385" s="46">
        <v>0</v>
      </c>
      <c r="F385" s="46">
        <f>B385-0.2791334</f>
        <v>0.15921350000000001</v>
      </c>
      <c r="G385" s="46">
        <f>0.6883734-B385</f>
        <v>0.25002650000000004</v>
      </c>
    </row>
    <row r="386" spans="1:7" x14ac:dyDescent="0.25">
      <c r="A386" s="49" t="s">
        <v>167</v>
      </c>
      <c r="B386" s="46">
        <v>0.51249999999999996</v>
      </c>
      <c r="C386" s="46">
        <v>0.1029293</v>
      </c>
      <c r="D386" s="46">
        <v>-3.33</v>
      </c>
      <c r="E386" s="46">
        <v>1E-3</v>
      </c>
      <c r="F386" s="46">
        <f>B386-0.3457328</f>
        <v>0.16676719999999995</v>
      </c>
      <c r="G386" s="46">
        <f>0.7597088-B386</f>
        <v>0.24720880000000001</v>
      </c>
    </row>
    <row r="387" spans="1:7" x14ac:dyDescent="0.25">
      <c r="A387" s="49" t="s">
        <v>168</v>
      </c>
      <c r="B387" s="46">
        <v>0.50096790000000002</v>
      </c>
      <c r="C387" s="46">
        <v>0.1078754</v>
      </c>
      <c r="D387" s="46">
        <v>-3.21</v>
      </c>
      <c r="E387" s="46">
        <v>1E-3</v>
      </c>
      <c r="F387" s="46">
        <f>B387-0.3284864</f>
        <v>0.17248150000000001</v>
      </c>
      <c r="G387" s="46">
        <f>0.7640159-B387</f>
        <v>0.26304799999999995</v>
      </c>
    </row>
    <row r="388" spans="1:7" x14ac:dyDescent="0.25">
      <c r="A388" s="49" t="s">
        <v>169</v>
      </c>
      <c r="B388" s="46">
        <v>0.72499999999999998</v>
      </c>
      <c r="C388" s="46">
        <v>0.13380629999999999</v>
      </c>
      <c r="D388" s="46">
        <v>-1.74</v>
      </c>
      <c r="E388" s="46">
        <v>8.1000000000000003E-2</v>
      </c>
      <c r="F388" s="46">
        <f>B388-0.5049401</f>
        <v>0.22005989999999997</v>
      </c>
      <c r="G388" s="46">
        <f>1.040965-B388</f>
        <v>0.31596499999999994</v>
      </c>
    </row>
    <row r="389" spans="1:7" x14ac:dyDescent="0.25">
      <c r="A389" s="49" t="s">
        <v>170</v>
      </c>
      <c r="B389" s="46">
        <v>1.221109</v>
      </c>
      <c r="C389" s="46">
        <v>0.2019813</v>
      </c>
      <c r="D389" s="46">
        <v>1.21</v>
      </c>
      <c r="E389" s="46">
        <v>0.22700000000000001</v>
      </c>
      <c r="F389" s="46">
        <f>B389-0.8829964</f>
        <v>0.33811259999999999</v>
      </c>
      <c r="G389" s="46">
        <f>1.688691-B389</f>
        <v>0.46758199999999994</v>
      </c>
    </row>
    <row r="390" spans="1:7" x14ac:dyDescent="0.25">
      <c r="A390" s="49" t="s">
        <v>171</v>
      </c>
      <c r="B390" s="46">
        <v>0.1609546</v>
      </c>
      <c r="C390" s="46">
        <v>3.1037700000000001E-2</v>
      </c>
      <c r="D390" s="46">
        <v>-9.4700000000000006</v>
      </c>
      <c r="E390" s="46">
        <v>0</v>
      </c>
      <c r="F390" s="46">
        <f>B390-0.1102966</f>
        <v>5.0658000000000009E-2</v>
      </c>
      <c r="G390" s="46">
        <f>0.2348795-B390</f>
        <v>7.3924899999999988E-2</v>
      </c>
    </row>
    <row r="391" spans="1:7" x14ac:dyDescent="0.25">
      <c r="A391" s="49" t="s">
        <v>172</v>
      </c>
      <c r="B391" s="46">
        <v>0.24976219999999999</v>
      </c>
      <c r="C391" s="46">
        <v>4.1790300000000002E-2</v>
      </c>
      <c r="D391" s="46">
        <v>-8.2899999999999991</v>
      </c>
      <c r="E391" s="46">
        <v>0</v>
      </c>
      <c r="F391" s="46">
        <f>B391-0.1799298</f>
        <v>6.9832399999999989E-2</v>
      </c>
      <c r="G391" s="46">
        <f>0.346697-B391</f>
        <v>9.6934799999999988E-2</v>
      </c>
    </row>
    <row r="392" spans="1:7" x14ac:dyDescent="0.25">
      <c r="A392" s="49" t="s">
        <v>173</v>
      </c>
      <c r="B392" s="46">
        <v>1.221792</v>
      </c>
      <c r="C392" s="46">
        <v>0.16523660000000001</v>
      </c>
      <c r="D392" s="46">
        <v>1.48</v>
      </c>
      <c r="E392" s="46">
        <v>0.13900000000000001</v>
      </c>
      <c r="F392" s="46">
        <f>B392-0.9373025</f>
        <v>0.28448949999999995</v>
      </c>
      <c r="G392" s="46">
        <f>1.59263-B392</f>
        <v>0.370838</v>
      </c>
    </row>
    <row r="393" spans="1:7" x14ac:dyDescent="0.25">
      <c r="A393" s="49" t="s">
        <v>174</v>
      </c>
      <c r="B393" s="46">
        <v>1.242934</v>
      </c>
      <c r="C393" s="46">
        <v>0.16767550000000001</v>
      </c>
      <c r="D393" s="46">
        <v>1.61</v>
      </c>
      <c r="E393" s="46">
        <v>0.107</v>
      </c>
      <c r="F393" s="46">
        <f>B393-0.954154</f>
        <v>0.28878000000000004</v>
      </c>
      <c r="G393" s="46">
        <f>1.619115-B393</f>
        <v>0.3761810000000001</v>
      </c>
    </row>
    <row r="394" spans="1:7" x14ac:dyDescent="0.25">
      <c r="A394" s="49" t="s">
        <v>175</v>
      </c>
      <c r="B394" s="46">
        <v>0.20119329999999999</v>
      </c>
      <c r="C394" s="46">
        <v>3.7695399999999997E-2</v>
      </c>
      <c r="D394" s="46">
        <v>-8.56</v>
      </c>
      <c r="E394" s="46">
        <v>0</v>
      </c>
      <c r="F394" s="46">
        <f>B394-0.1393584</f>
        <v>6.1834899999999998E-2</v>
      </c>
      <c r="G394" s="46">
        <f>0.2904649-B394</f>
        <v>8.9271600000000034E-2</v>
      </c>
    </row>
    <row r="395" spans="1:7" x14ac:dyDescent="0.25">
      <c r="A395" s="49" t="s">
        <v>176</v>
      </c>
      <c r="B395" s="46">
        <v>0.14398050000000001</v>
      </c>
      <c r="C395" s="46">
        <v>2.7442000000000001E-2</v>
      </c>
      <c r="D395" s="46">
        <v>-10.17</v>
      </c>
      <c r="E395" s="46">
        <v>0</v>
      </c>
      <c r="F395" s="46">
        <f>B395-0.0990988</f>
        <v>4.488170000000001E-2</v>
      </c>
      <c r="G395" s="46">
        <f>0.2091891-B395</f>
        <v>6.5208599999999978E-2</v>
      </c>
    </row>
    <row r="396" spans="1:7" x14ac:dyDescent="0.25">
      <c r="A396" s="49" t="s">
        <v>177</v>
      </c>
      <c r="B396" s="46">
        <v>0.30361900000000003</v>
      </c>
      <c r="C396" s="46">
        <v>5.0303300000000002E-2</v>
      </c>
      <c r="D396" s="46">
        <v>-7.19</v>
      </c>
      <c r="E396" s="46">
        <v>0</v>
      </c>
      <c r="F396" s="46">
        <f>B396-0.2194334</f>
        <v>8.4185600000000027E-2</v>
      </c>
      <c r="G396" s="46">
        <f>0.4201024-B396</f>
        <v>0.11648339999999996</v>
      </c>
    </row>
    <row r="397" spans="1:7" x14ac:dyDescent="0.25">
      <c r="A397" s="49" t="s">
        <v>178</v>
      </c>
      <c r="B397" s="46">
        <v>0.35554380000000002</v>
      </c>
      <c r="C397" s="46">
        <v>5.5900199999999997E-2</v>
      </c>
      <c r="D397" s="46">
        <v>-6.58</v>
      </c>
      <c r="E397" s="46">
        <v>0</v>
      </c>
      <c r="F397" s="46">
        <f>B397-0.2612542</f>
        <v>9.4289600000000029E-2</v>
      </c>
      <c r="G397" s="46">
        <f>0.4838635-B397</f>
        <v>0.12831969999999998</v>
      </c>
    </row>
    <row r="398" spans="1:7" x14ac:dyDescent="0.25">
      <c r="A398" s="49" t="s">
        <v>179</v>
      </c>
      <c r="B398" s="46">
        <v>1.3681140000000001</v>
      </c>
      <c r="C398" s="46">
        <v>0.18586939999999999</v>
      </c>
      <c r="D398" s="46">
        <v>2.31</v>
      </c>
      <c r="E398" s="46">
        <v>2.1000000000000001E-2</v>
      </c>
      <c r="F398" s="46">
        <f>B398-1.048286</f>
        <v>0.319828</v>
      </c>
      <c r="G398" s="46">
        <f>1.785521-B398</f>
        <v>0.41740699999999986</v>
      </c>
    </row>
    <row r="399" spans="1:7" x14ac:dyDescent="0.25">
      <c r="A399" s="49" t="s">
        <v>180</v>
      </c>
      <c r="B399" s="46">
        <v>2.3271959999999998</v>
      </c>
      <c r="C399" s="46">
        <v>0.30720720000000001</v>
      </c>
      <c r="D399" s="46">
        <v>6.4</v>
      </c>
      <c r="E399" s="46">
        <v>0</v>
      </c>
      <c r="F399" s="46">
        <f>B399-1.796668</f>
        <v>0.53052799999999989</v>
      </c>
      <c r="G399" s="46">
        <f>3.014379-B399</f>
        <v>0.6871830000000001</v>
      </c>
    </row>
    <row r="400" spans="1:7" x14ac:dyDescent="0.25">
      <c r="A400" s="49" t="s">
        <v>181</v>
      </c>
      <c r="B400" s="46">
        <v>1.6973400000000001</v>
      </c>
      <c r="C400" s="46">
        <v>0.22738739999999999</v>
      </c>
      <c r="D400" s="46">
        <v>3.95</v>
      </c>
      <c r="E400" s="46">
        <v>0</v>
      </c>
      <c r="F400" s="46">
        <f>B400-1.305377</f>
        <v>0.39196300000000006</v>
      </c>
      <c r="G400" s="46">
        <f>2.206997-B400</f>
        <v>0.5096569999999998</v>
      </c>
    </row>
    <row r="401" spans="1:7" x14ac:dyDescent="0.25">
      <c r="A401" s="49" t="s">
        <v>182</v>
      </c>
      <c r="B401" s="46">
        <v>2.1743999999999999</v>
      </c>
      <c r="C401" s="46">
        <v>0.28812680000000002</v>
      </c>
      <c r="D401" s="46">
        <v>5.86</v>
      </c>
      <c r="E401" s="46">
        <v>0</v>
      </c>
      <c r="F401" s="46">
        <f>B401-1.677057</f>
        <v>0.49734299999999987</v>
      </c>
      <c r="G401" s="46">
        <f>2.819233-B401</f>
        <v>0.64483300000000021</v>
      </c>
    </row>
    <row r="402" spans="1:7" x14ac:dyDescent="0.25">
      <c r="A402" s="49" t="s">
        <v>183</v>
      </c>
      <c r="B402" s="46">
        <v>0.28167059999999999</v>
      </c>
      <c r="C402" s="46">
        <v>4.6293599999999997E-2</v>
      </c>
      <c r="D402" s="46">
        <v>-7.71</v>
      </c>
      <c r="E402" s="46">
        <v>0</v>
      </c>
      <c r="F402" s="46">
        <f>B402-0.2041003</f>
        <v>7.7570299999999981E-2</v>
      </c>
      <c r="G402" s="46">
        <f>0.3887224-B402</f>
        <v>0.10705180000000003</v>
      </c>
    </row>
    <row r="403" spans="1:7" x14ac:dyDescent="0.25">
      <c r="A403" s="49" t="s">
        <v>184</v>
      </c>
      <c r="B403" s="46">
        <v>0.50540099999999999</v>
      </c>
      <c r="C403" s="46">
        <v>7.4302499999999994E-2</v>
      </c>
      <c r="D403" s="46">
        <v>-4.6399999999999997</v>
      </c>
      <c r="E403" s="46">
        <v>0</v>
      </c>
      <c r="F403" s="46">
        <f>B403-0.3788743</f>
        <v>0.12652669999999999</v>
      </c>
      <c r="G403" s="46">
        <f>0.6741819-B403</f>
        <v>0.16878090000000001</v>
      </c>
    </row>
    <row r="404" spans="1:7" x14ac:dyDescent="0.25">
      <c r="A404" s="49" t="s">
        <v>185</v>
      </c>
      <c r="B404" s="46">
        <v>0.20850940000000001</v>
      </c>
      <c r="C404" s="46">
        <v>3.8137299999999999E-2</v>
      </c>
      <c r="D404" s="46">
        <v>-8.57</v>
      </c>
      <c r="E404" s="46">
        <v>0</v>
      </c>
      <c r="F404" s="46">
        <f>B404-0.1456924</f>
        <v>6.2817000000000012E-2</v>
      </c>
      <c r="G404" s="46">
        <f>0.2984106-B404</f>
        <v>8.9901200000000014E-2</v>
      </c>
    </row>
    <row r="405" spans="1:7" x14ac:dyDescent="0.25">
      <c r="A405" s="49" t="s">
        <v>186</v>
      </c>
      <c r="B405" s="46">
        <v>0.26445410000000003</v>
      </c>
      <c r="C405" s="46">
        <v>4.4011000000000002E-2</v>
      </c>
      <c r="D405" s="46">
        <v>-7.99</v>
      </c>
      <c r="E405" s="46">
        <v>0</v>
      </c>
      <c r="F405" s="46">
        <f>B405-0.1908497</f>
        <v>7.3604400000000014E-2</v>
      </c>
      <c r="G405" s="46">
        <f>0.3664451-B405</f>
        <v>0.101991</v>
      </c>
    </row>
    <row r="406" spans="1:7" x14ac:dyDescent="0.25">
      <c r="A406" s="49" t="s">
        <v>187</v>
      </c>
      <c r="B406" s="46">
        <v>0.42433500000000002</v>
      </c>
      <c r="C406" s="46">
        <v>6.5602199999999999E-2</v>
      </c>
      <c r="D406" s="46">
        <v>-5.54</v>
      </c>
      <c r="E406" s="46">
        <v>0</v>
      </c>
      <c r="F406" s="46">
        <f>B406-0.3134101</f>
        <v>0.11092489999999999</v>
      </c>
      <c r="G406" s="46">
        <f>0.5745194-B406</f>
        <v>0.1501844</v>
      </c>
    </row>
    <row r="407" spans="1:7" x14ac:dyDescent="0.25">
      <c r="A407" s="49" t="s">
        <v>188</v>
      </c>
      <c r="B407" s="46">
        <v>0.68170370000000002</v>
      </c>
      <c r="C407" s="46">
        <v>9.7774200000000006E-2</v>
      </c>
      <c r="D407" s="46">
        <v>-2.67</v>
      </c>
      <c r="E407" s="46">
        <v>8.0000000000000002E-3</v>
      </c>
      <c r="F407" s="46">
        <f>B407-0.5146489</f>
        <v>0.16705480000000006</v>
      </c>
      <c r="G407" s="46">
        <f>0.9029846-B407</f>
        <v>0.2212809</v>
      </c>
    </row>
    <row r="408" spans="1:7" x14ac:dyDescent="0.25">
      <c r="A408" s="49" t="s">
        <v>273</v>
      </c>
      <c r="B408" s="46">
        <v>0.72026869999999998</v>
      </c>
      <c r="C408" s="46">
        <v>0.1721241</v>
      </c>
      <c r="D408" s="46">
        <v>-1.37</v>
      </c>
      <c r="E408" s="46">
        <v>0.17</v>
      </c>
      <c r="F408" s="46">
        <f>B408-0.4509009</f>
        <v>0.26936779999999999</v>
      </c>
      <c r="G408" s="46">
        <f>1.150557-B408</f>
        <v>0.43028830000000007</v>
      </c>
    </row>
    <row r="409" spans="1:7" x14ac:dyDescent="0.25">
      <c r="A409" s="49" t="s">
        <v>274</v>
      </c>
      <c r="B409" s="46">
        <v>0.50631280000000001</v>
      </c>
      <c r="C409" s="46">
        <v>0.10839550000000001</v>
      </c>
      <c r="D409" s="46">
        <v>-3.18</v>
      </c>
      <c r="E409" s="46">
        <v>1E-3</v>
      </c>
      <c r="F409" s="46">
        <f>B409-0.3328028</f>
        <v>0.17351</v>
      </c>
      <c r="G409" s="46">
        <f>0.7702841-B409</f>
        <v>0.26397130000000002</v>
      </c>
    </row>
    <row r="410" spans="1:7" x14ac:dyDescent="0.25">
      <c r="A410" s="49" t="s">
        <v>275</v>
      </c>
      <c r="B410" s="46">
        <v>1.0149239999999999</v>
      </c>
      <c r="C410" s="46">
        <v>0.2257258</v>
      </c>
      <c r="D410" s="46">
        <v>7.0000000000000007E-2</v>
      </c>
      <c r="E410" s="46">
        <v>0.94699999999999995</v>
      </c>
      <c r="F410" s="46">
        <f>B410-0.6563277</f>
        <v>0.35859629999999998</v>
      </c>
      <c r="G410" s="46">
        <f>1.569446-B410</f>
        <v>0.55452199999999996</v>
      </c>
    </row>
    <row r="411" spans="1:7" x14ac:dyDescent="0.25">
      <c r="A411" s="49" t="s">
        <v>276</v>
      </c>
      <c r="B411" s="46">
        <v>1.08934</v>
      </c>
      <c r="C411" s="46">
        <v>0.1920471</v>
      </c>
      <c r="D411" s="46">
        <v>0.49</v>
      </c>
      <c r="E411" s="46">
        <v>0.627</v>
      </c>
      <c r="F411" s="46">
        <f>B411-0.7710797</f>
        <v>0.31826029999999994</v>
      </c>
      <c r="G411" s="46">
        <f>1.53896-B411</f>
        <v>0.44962000000000013</v>
      </c>
    </row>
    <row r="412" spans="1:7" x14ac:dyDescent="0.25">
      <c r="A412" s="49" t="s">
        <v>277</v>
      </c>
      <c r="B412" s="46">
        <v>0.13095789999999999</v>
      </c>
      <c r="C412" s="46">
        <v>6.64545E-2</v>
      </c>
      <c r="D412" s="46">
        <v>-4.01</v>
      </c>
      <c r="E412" s="46">
        <v>0</v>
      </c>
      <c r="F412" s="46">
        <f>B412-0.0484385</f>
        <v>8.2519399999999993E-2</v>
      </c>
      <c r="G412" s="46">
        <f>0.354057-B412</f>
        <v>0.22309910000000002</v>
      </c>
    </row>
    <row r="413" spans="1:7" x14ac:dyDescent="0.25">
      <c r="A413" s="49" t="s">
        <v>278</v>
      </c>
      <c r="B413" s="46">
        <v>6.1371299999999997E-2</v>
      </c>
      <c r="C413" s="46">
        <v>3.15176E-2</v>
      </c>
      <c r="D413" s="46">
        <v>-5.43</v>
      </c>
      <c r="E413" s="46">
        <v>0</v>
      </c>
      <c r="F413" s="46">
        <f>B413-0.0224298</f>
        <v>3.8941499999999997E-2</v>
      </c>
      <c r="G413" s="46">
        <f>0.1679211-B413</f>
        <v>0.1065498</v>
      </c>
    </row>
    <row r="414" spans="1:7" x14ac:dyDescent="0.25">
      <c r="A414" s="49" t="s">
        <v>279</v>
      </c>
      <c r="B414" s="46">
        <v>0.26191589999999998</v>
      </c>
      <c r="C414" s="46">
        <v>9.6510899999999997E-2</v>
      </c>
      <c r="D414" s="46">
        <v>-3.64</v>
      </c>
      <c r="E414" s="46">
        <v>0</v>
      </c>
      <c r="F414" s="46">
        <f>B414-0.1272069</f>
        <v>0.13470899999999997</v>
      </c>
      <c r="G414" s="46">
        <f>0.5392782-B414</f>
        <v>0.27736230000000006</v>
      </c>
    </row>
    <row r="415" spans="1:7" x14ac:dyDescent="0.25">
      <c r="A415" s="49" t="s">
        <v>280</v>
      </c>
      <c r="B415" s="46">
        <v>0.15342810000000001</v>
      </c>
      <c r="C415" s="46">
        <v>5.2050300000000001E-2</v>
      </c>
      <c r="D415" s="46">
        <v>-5.53</v>
      </c>
      <c r="E415" s="46">
        <v>0</v>
      </c>
      <c r="F415" s="46">
        <f>B415-0.0789107</f>
        <v>7.4517400000000011E-2</v>
      </c>
      <c r="G415" s="46">
        <f>0.2983143-B415</f>
        <v>0.14488619999999997</v>
      </c>
    </row>
    <row r="416" spans="1:7" x14ac:dyDescent="0.25">
      <c r="A416" s="49" t="s">
        <v>281</v>
      </c>
      <c r="B416" s="46">
        <v>1.27684</v>
      </c>
      <c r="C416" s="46">
        <v>0.2839583</v>
      </c>
      <c r="D416" s="46">
        <v>1.1000000000000001</v>
      </c>
      <c r="E416" s="46">
        <v>0.27200000000000002</v>
      </c>
      <c r="F416" s="46">
        <f>B416-0.8257271</f>
        <v>0.45111289999999993</v>
      </c>
      <c r="G416" s="46">
        <f>1.974406-B416</f>
        <v>0.69756600000000013</v>
      </c>
    </row>
    <row r="417" spans="1:22" x14ac:dyDescent="0.25">
      <c r="A417" s="49" t="s">
        <v>282</v>
      </c>
      <c r="B417" s="46">
        <v>2.5622500000000001</v>
      </c>
      <c r="C417" s="46">
        <v>0.41580109999999998</v>
      </c>
      <c r="D417" s="46">
        <v>5.8</v>
      </c>
      <c r="E417" s="46">
        <v>0</v>
      </c>
      <c r="F417" s="46">
        <f>B417-1.864184</f>
        <v>0.69806600000000008</v>
      </c>
      <c r="G417" s="46">
        <f>3.521715-B417</f>
        <v>0.95946499999999979</v>
      </c>
    </row>
    <row r="418" spans="1:22" x14ac:dyDescent="0.25">
      <c r="A418" s="49" t="s">
        <v>283</v>
      </c>
      <c r="B418" s="46">
        <v>4.0269570000000003</v>
      </c>
      <c r="C418" s="46">
        <v>0.67244970000000004</v>
      </c>
      <c r="D418" s="46">
        <v>8.34</v>
      </c>
      <c r="E418" s="46">
        <v>0</v>
      </c>
      <c r="F418" s="46">
        <f>B418-2.902935</f>
        <v>1.1240220000000005</v>
      </c>
      <c r="G418" s="46">
        <f>5.586202-B418</f>
        <v>1.5592449999999998</v>
      </c>
    </row>
    <row r="419" spans="1:22" x14ac:dyDescent="0.25">
      <c r="A419" s="49" t="s">
        <v>284</v>
      </c>
      <c r="B419" s="46">
        <v>7.1650939999999999</v>
      </c>
      <c r="C419" s="46">
        <v>1.030953</v>
      </c>
      <c r="D419" s="46">
        <v>13.69</v>
      </c>
      <c r="E419" s="46">
        <v>0</v>
      </c>
      <c r="F419" s="46">
        <f>B419-5.404386</f>
        <v>1.7607080000000002</v>
      </c>
      <c r="G419" s="46">
        <f>9.499428-B419</f>
        <v>2.3343340000000001</v>
      </c>
    </row>
    <row r="420" spans="1:22" x14ac:dyDescent="0.25">
      <c r="A420" s="49" t="s">
        <v>285</v>
      </c>
      <c r="B420" s="46">
        <v>0.3928738</v>
      </c>
      <c r="C420" s="46">
        <v>0.120434</v>
      </c>
      <c r="D420" s="46">
        <v>-3.05</v>
      </c>
      <c r="E420" s="46">
        <v>2E-3</v>
      </c>
      <c r="F420" s="46">
        <f>B420-0.2154371</f>
        <v>0.1774367</v>
      </c>
      <c r="G420" s="46">
        <f>0.7164498-B420</f>
        <v>0.32357600000000003</v>
      </c>
    </row>
    <row r="421" spans="1:22" x14ac:dyDescent="0.25">
      <c r="A421" s="49" t="s">
        <v>286</v>
      </c>
      <c r="B421" s="46">
        <v>1.181397</v>
      </c>
      <c r="C421" s="46">
        <v>0.20547899999999999</v>
      </c>
      <c r="D421" s="46">
        <v>0.96</v>
      </c>
      <c r="E421" s="46">
        <v>0.33800000000000002</v>
      </c>
      <c r="F421" s="46">
        <f>B421-0.8401314</f>
        <v>0.34126560000000006</v>
      </c>
      <c r="G421" s="46">
        <f>1.661286-B421</f>
        <v>0.47988900000000001</v>
      </c>
    </row>
    <row r="422" spans="1:22" x14ac:dyDescent="0.25">
      <c r="A422" s="49" t="s">
        <v>287</v>
      </c>
      <c r="B422" s="46">
        <v>6.5479099999999998E-2</v>
      </c>
      <c r="C422" s="46">
        <v>4.6847699999999999E-2</v>
      </c>
      <c r="D422" s="46">
        <v>-3.81</v>
      </c>
      <c r="E422" s="46">
        <v>0</v>
      </c>
      <c r="F422" s="46">
        <f>B422-0.0161102</f>
        <v>4.9368899999999993E-2</v>
      </c>
      <c r="G422" s="46">
        <f>0.2661363-B422</f>
        <v>0.20065719999999998</v>
      </c>
    </row>
    <row r="423" spans="1:22" x14ac:dyDescent="0.25">
      <c r="A423" s="49" t="s">
        <v>288</v>
      </c>
      <c r="B423" s="46">
        <v>9.2056899999999997E-2</v>
      </c>
      <c r="C423" s="46">
        <v>3.9524900000000002E-2</v>
      </c>
      <c r="D423" s="46">
        <v>-5.56</v>
      </c>
      <c r="E423" s="46">
        <v>0</v>
      </c>
      <c r="F423" s="46">
        <f>B423-0.0396817</f>
        <v>5.2375199999999997E-2</v>
      </c>
      <c r="G423" s="46">
        <f>0.2135614-B423</f>
        <v>0.12150450000000002</v>
      </c>
    </row>
    <row r="424" spans="1:22" x14ac:dyDescent="0.25">
      <c r="A424" s="49" t="s">
        <v>289</v>
      </c>
      <c r="B424" s="46">
        <v>0.16369739999999999</v>
      </c>
      <c r="C424" s="46">
        <v>7.4523300000000001E-2</v>
      </c>
      <c r="D424" s="46">
        <v>-3.98</v>
      </c>
      <c r="E424" s="46">
        <v>0</v>
      </c>
      <c r="F424" s="46">
        <f>B424-0.0670706</f>
        <v>9.6626799999999999E-2</v>
      </c>
      <c r="G424" s="46">
        <f>0.3995318-B424</f>
        <v>0.2358344</v>
      </c>
    </row>
    <row r="425" spans="1:22" x14ac:dyDescent="0.25">
      <c r="A425" s="49" t="s">
        <v>290</v>
      </c>
      <c r="B425" s="46">
        <v>0.44494159999999999</v>
      </c>
      <c r="C425" s="46">
        <v>9.9234900000000001E-2</v>
      </c>
      <c r="D425" s="46">
        <v>-3.63</v>
      </c>
      <c r="E425" s="46">
        <v>0</v>
      </c>
      <c r="F425" s="46">
        <f>B425-0.2873825</f>
        <v>0.15755910000000001</v>
      </c>
      <c r="G425" s="46">
        <f>0.6888834-B425</f>
        <v>0.24394180000000004</v>
      </c>
    </row>
    <row r="426" spans="1:22" x14ac:dyDescent="0.25">
      <c r="A426" s="49"/>
      <c r="B426" s="47"/>
      <c r="C426" s="47"/>
      <c r="D426" s="47"/>
      <c r="E426" s="47"/>
      <c r="F426" s="47"/>
      <c r="G426" s="47"/>
    </row>
    <row r="427" spans="1:22" x14ac:dyDescent="0.25">
      <c r="A427" s="50" t="s">
        <v>6</v>
      </c>
      <c r="B427" s="48">
        <v>8.5357999999999996E-3</v>
      </c>
      <c r="C427" s="48">
        <v>1.0862000000000001E-3</v>
      </c>
      <c r="D427" s="48">
        <v>-37.43</v>
      </c>
      <c r="E427" s="48">
        <v>0</v>
      </c>
      <c r="F427" s="48">
        <v>6.6515000000000003E-3</v>
      </c>
      <c r="G427" s="48">
        <v>1.09537E-2</v>
      </c>
    </row>
    <row r="428" spans="1:22" x14ac:dyDescent="0.25">
      <c r="T428" s="46"/>
      <c r="U428" s="46"/>
    </row>
    <row r="429" spans="1:22" ht="15.75" thickBot="1" x14ac:dyDescent="0.3">
      <c r="T429" s="46"/>
      <c r="U429" s="46"/>
    </row>
    <row r="430" spans="1:22" x14ac:dyDescent="0.25">
      <c r="A430" s="10"/>
      <c r="B430" s="11"/>
      <c r="C430" s="11" t="s">
        <v>9</v>
      </c>
      <c r="D430" s="11" t="s">
        <v>10</v>
      </c>
      <c r="E430" s="11" t="s">
        <v>40</v>
      </c>
      <c r="F430" s="11" t="s">
        <v>11</v>
      </c>
      <c r="G430" s="11" t="s">
        <v>7</v>
      </c>
      <c r="H430" s="11" t="s">
        <v>8</v>
      </c>
      <c r="I430" s="11" t="s">
        <v>62</v>
      </c>
      <c r="J430" s="11" t="s">
        <v>64</v>
      </c>
      <c r="K430" s="12" t="s">
        <v>65</v>
      </c>
      <c r="M430" s="46">
        <v>1.07242E-2</v>
      </c>
      <c r="N430" s="46">
        <v>7.5463799999999998E-2</v>
      </c>
      <c r="O430" s="46">
        <v>9.4644299999999987E-2</v>
      </c>
      <c r="P430" s="46">
        <v>0.15734770000000003</v>
      </c>
      <c r="Q430" s="46">
        <v>5.2091599999999995E-2</v>
      </c>
      <c r="R430" s="46">
        <v>0.10873070000000001</v>
      </c>
      <c r="S430" s="7"/>
      <c r="T430" s="46"/>
      <c r="U430" s="46"/>
      <c r="V430" s="9"/>
    </row>
    <row r="431" spans="1:22" x14ac:dyDescent="0.25">
      <c r="A431" s="24" t="s">
        <v>105</v>
      </c>
      <c r="B431" s="7" t="s">
        <v>12</v>
      </c>
      <c r="C431" s="14">
        <f>B372</f>
        <v>1.25007E-2</v>
      </c>
      <c r="D431" s="15">
        <f>B374</f>
        <v>0.25</v>
      </c>
      <c r="E431" s="15">
        <f>B376</f>
        <v>0.2</v>
      </c>
      <c r="F431" s="15">
        <f>B378</f>
        <v>0.23749999999999999</v>
      </c>
      <c r="G431" s="15">
        <f>B380</f>
        <v>0.72499999999999998</v>
      </c>
      <c r="H431" s="15">
        <f>B382</f>
        <v>1</v>
      </c>
      <c r="I431" s="16">
        <f>B384</f>
        <v>0.1000007</v>
      </c>
      <c r="J431" s="16">
        <f>B386</f>
        <v>0.51249999999999996</v>
      </c>
      <c r="K431" s="18">
        <f>B388</f>
        <v>0.72499999999999998</v>
      </c>
      <c r="M431" s="46">
        <v>3.2247200000000004E-2</v>
      </c>
      <c r="N431" s="46">
        <v>0.1028961</v>
      </c>
      <c r="O431" s="46">
        <v>0.13660380000000003</v>
      </c>
      <c r="P431" s="46">
        <v>0.22010869999999999</v>
      </c>
      <c r="Q431" s="46">
        <v>0.15921350000000001</v>
      </c>
      <c r="R431" s="46">
        <v>0.25002650000000004</v>
      </c>
      <c r="S431" s="7"/>
      <c r="T431" s="46"/>
      <c r="U431" s="46"/>
      <c r="V431" s="9"/>
    </row>
    <row r="432" spans="1:22" x14ac:dyDescent="0.25">
      <c r="A432" s="24"/>
      <c r="B432" s="7" t="s">
        <v>371</v>
      </c>
      <c r="C432" s="15">
        <f>B373</f>
        <v>4.69662E-2</v>
      </c>
      <c r="D432" s="15">
        <f>B375</f>
        <v>0.31310500000000002</v>
      </c>
      <c r="E432" s="15">
        <f>B377</f>
        <v>0.21917349999999999</v>
      </c>
      <c r="F432" s="15">
        <f>B379</f>
        <v>0.36007070000000002</v>
      </c>
      <c r="G432" s="15">
        <f>B381</f>
        <v>1.3150409999999999</v>
      </c>
      <c r="H432" s="15">
        <f>B383</f>
        <v>1.502904</v>
      </c>
      <c r="I432" s="16">
        <f>B385</f>
        <v>0.43834689999999998</v>
      </c>
      <c r="J432" s="16">
        <f>B387</f>
        <v>0.50096790000000002</v>
      </c>
      <c r="K432" s="18">
        <f>B389</f>
        <v>1.221109</v>
      </c>
      <c r="M432" s="46">
        <v>0.26936779999999999</v>
      </c>
      <c r="N432" s="46">
        <v>0.43028830000000007</v>
      </c>
      <c r="O432" s="46">
        <v>0.13470899999999997</v>
      </c>
      <c r="P432" s="46">
        <v>0.27736230000000006</v>
      </c>
      <c r="Q432" s="46">
        <v>0.1774367</v>
      </c>
      <c r="R432" s="46">
        <v>0.32357600000000003</v>
      </c>
      <c r="S432" s="9"/>
      <c r="T432" s="46"/>
      <c r="U432" s="46"/>
      <c r="V432" s="9"/>
    </row>
    <row r="433" spans="1:22" x14ac:dyDescent="0.25">
      <c r="A433" s="24" t="s">
        <v>106</v>
      </c>
      <c r="B433" s="7" t="s">
        <v>12</v>
      </c>
      <c r="C433" s="25">
        <f>B408</f>
        <v>0.72026869999999998</v>
      </c>
      <c r="D433" s="25">
        <f>B410</f>
        <v>1.0149239999999999</v>
      </c>
      <c r="E433" s="15">
        <f>B412</f>
        <v>0.13095789999999999</v>
      </c>
      <c r="F433" s="15">
        <f>B414</f>
        <v>0.26191589999999998</v>
      </c>
      <c r="G433" s="25">
        <f>B416</f>
        <v>1.27684</v>
      </c>
      <c r="H433" s="25">
        <f>B418</f>
        <v>4.0269570000000003</v>
      </c>
      <c r="I433" s="16">
        <f>B420</f>
        <v>0.3928738</v>
      </c>
      <c r="J433" s="16">
        <f>B422</f>
        <v>6.5479099999999998E-2</v>
      </c>
      <c r="K433" s="39">
        <f>B424</f>
        <v>0.16369739999999999</v>
      </c>
      <c r="M433" s="46">
        <v>0.17351</v>
      </c>
      <c r="N433" s="46">
        <v>0.26397130000000002</v>
      </c>
      <c r="O433" s="46">
        <v>7.4517400000000011E-2</v>
      </c>
      <c r="P433" s="46">
        <v>0.14488619999999997</v>
      </c>
      <c r="Q433" s="46">
        <v>0.34126560000000006</v>
      </c>
      <c r="R433" s="46">
        <v>0.47988900000000001</v>
      </c>
      <c r="S433" s="9"/>
      <c r="T433" s="46"/>
      <c r="U433" s="46"/>
      <c r="V433" s="9"/>
    </row>
    <row r="434" spans="1:22" ht="15.75" thickBot="1" x14ac:dyDescent="0.3">
      <c r="A434" s="26"/>
      <c r="B434" s="27" t="s">
        <v>371</v>
      </c>
      <c r="C434" s="29">
        <f>B409</f>
        <v>0.50631280000000001</v>
      </c>
      <c r="D434" s="28">
        <f>B411</f>
        <v>1.08934</v>
      </c>
      <c r="E434" s="29">
        <f>B413</f>
        <v>6.1371299999999997E-2</v>
      </c>
      <c r="F434" s="29">
        <f>B415</f>
        <v>0.15342810000000001</v>
      </c>
      <c r="G434" s="28">
        <f>B417</f>
        <v>2.5622500000000001</v>
      </c>
      <c r="H434" s="28">
        <f>B419</f>
        <v>7.1650939999999999</v>
      </c>
      <c r="I434" s="28">
        <f>B421</f>
        <v>1.181397</v>
      </c>
      <c r="J434" s="29">
        <f>B423</f>
        <v>9.2056899999999997E-2</v>
      </c>
      <c r="K434" s="31">
        <f>B425</f>
        <v>0.44494159999999999</v>
      </c>
      <c r="M434" s="46">
        <v>0.1016773</v>
      </c>
      <c r="N434" s="46">
        <v>0.17137839999999999</v>
      </c>
      <c r="O434" s="46">
        <v>0.22640499999999997</v>
      </c>
      <c r="P434" s="46">
        <v>0.32921199999999995</v>
      </c>
      <c r="Q434" s="46">
        <v>0.16676719999999995</v>
      </c>
      <c r="R434" s="46">
        <v>0.24720880000000001</v>
      </c>
      <c r="S434" s="9"/>
      <c r="T434" s="46"/>
      <c r="U434" s="46"/>
      <c r="V434" s="9"/>
    </row>
    <row r="435" spans="1:22" x14ac:dyDescent="0.25">
      <c r="M435" s="46">
        <v>0.12700790000000003</v>
      </c>
      <c r="N435" s="46">
        <v>0.2136883</v>
      </c>
      <c r="O435" s="46">
        <v>0.37633719999999993</v>
      </c>
      <c r="P435" s="46">
        <v>0.52721400000000007</v>
      </c>
      <c r="Q435" s="46">
        <v>0.17248150000000001</v>
      </c>
      <c r="R435" s="46">
        <v>0.26304799999999995</v>
      </c>
      <c r="S435" s="9"/>
      <c r="T435" s="46"/>
      <c r="U435" s="46"/>
      <c r="V435" s="7"/>
    </row>
    <row r="436" spans="1:22" x14ac:dyDescent="0.25">
      <c r="M436" s="46">
        <v>0.35859629999999998</v>
      </c>
      <c r="N436" s="46">
        <v>0.55452199999999996</v>
      </c>
      <c r="O436" s="46">
        <v>0.45111289999999993</v>
      </c>
      <c r="P436" s="46">
        <v>0.69756600000000013</v>
      </c>
      <c r="Q436" s="46">
        <v>4.9368899999999993E-2</v>
      </c>
      <c r="R436" s="46">
        <v>0.20065719999999998</v>
      </c>
      <c r="S436" s="9"/>
      <c r="T436" s="46"/>
      <c r="U436" s="46"/>
      <c r="V436" s="7"/>
    </row>
    <row r="437" spans="1:22" x14ac:dyDescent="0.25">
      <c r="M437" s="46">
        <v>0.31826029999999994</v>
      </c>
      <c r="N437" s="46">
        <v>0.44962000000000013</v>
      </c>
      <c r="O437" s="46">
        <v>0.69806600000000008</v>
      </c>
      <c r="P437" s="46">
        <v>0.95946499999999979</v>
      </c>
      <c r="Q437" s="46">
        <v>5.2375199999999997E-2</v>
      </c>
      <c r="R437" s="46">
        <v>0.12150450000000002</v>
      </c>
      <c r="S437" s="9"/>
      <c r="T437" s="46"/>
      <c r="U437" s="46"/>
      <c r="V437" s="7"/>
    </row>
    <row r="438" spans="1:22" x14ac:dyDescent="0.25">
      <c r="M438" s="46">
        <v>8.4491800000000006E-2</v>
      </c>
      <c r="N438" s="46">
        <v>0.14629559999999997</v>
      </c>
      <c r="O438" s="46">
        <v>0</v>
      </c>
      <c r="P438" s="46">
        <v>0</v>
      </c>
      <c r="Q438" s="46">
        <v>0.22005989999999997</v>
      </c>
      <c r="R438" s="46">
        <v>0.31596499999999994</v>
      </c>
      <c r="S438" s="7"/>
      <c r="T438" s="46"/>
      <c r="U438" s="46"/>
      <c r="V438" s="7"/>
    </row>
    <row r="439" spans="1:22" x14ac:dyDescent="0.25">
      <c r="M439" s="46">
        <v>9.5904099999999992E-2</v>
      </c>
      <c r="N439" s="46">
        <v>0.17051780000000002</v>
      </c>
      <c r="O439" s="46">
        <v>0.40314800000000006</v>
      </c>
      <c r="P439" s="46">
        <v>0.55093399999999981</v>
      </c>
      <c r="Q439" s="46">
        <v>0.33811259999999999</v>
      </c>
      <c r="R439" s="46">
        <v>0.46758199999999994</v>
      </c>
      <c r="S439" s="7"/>
      <c r="T439" s="46"/>
      <c r="U439" s="46"/>
      <c r="V439" s="7"/>
    </row>
    <row r="440" spans="1:22" x14ac:dyDescent="0.25">
      <c r="M440" s="46">
        <v>8.2519399999999993E-2</v>
      </c>
      <c r="N440" s="46">
        <v>0.22309910000000002</v>
      </c>
      <c r="O440" s="46">
        <v>1.1240220000000005</v>
      </c>
      <c r="P440" s="46">
        <v>1.5592449999999998</v>
      </c>
      <c r="Q440" s="46">
        <v>9.6626799999999999E-2</v>
      </c>
      <c r="R440" s="46">
        <v>0.2358344</v>
      </c>
      <c r="S440" s="7"/>
      <c r="T440" s="46"/>
      <c r="U440" s="46"/>
      <c r="V440" s="7"/>
    </row>
    <row r="441" spans="1:22" x14ac:dyDescent="0.25">
      <c r="M441" s="46">
        <v>3.8941499999999997E-2</v>
      </c>
      <c r="N441" s="46">
        <v>0.1065498</v>
      </c>
      <c r="O441" s="46">
        <v>1.7607080000000002</v>
      </c>
      <c r="P441" s="46">
        <v>2.3343340000000001</v>
      </c>
      <c r="Q441" s="46">
        <v>0.15755910000000001</v>
      </c>
      <c r="R441" s="46">
        <v>0.24394180000000004</v>
      </c>
      <c r="S441" s="7"/>
      <c r="T441" s="46"/>
      <c r="U441" s="46"/>
      <c r="V441" s="7"/>
    </row>
    <row r="442" spans="1:22" x14ac:dyDescent="0.25">
      <c r="M442" s="7"/>
      <c r="N442" s="7"/>
      <c r="O442" s="7"/>
      <c r="P442" s="7"/>
      <c r="Q442" s="9"/>
      <c r="R442" s="9"/>
      <c r="S442" s="9"/>
      <c r="T442" s="46"/>
      <c r="U442" s="46"/>
      <c r="V442" s="9"/>
    </row>
    <row r="443" spans="1:22" x14ac:dyDescent="0.25">
      <c r="M443" s="9"/>
      <c r="N443" s="9"/>
      <c r="O443" s="7"/>
      <c r="P443" s="7"/>
      <c r="Q443" s="9"/>
      <c r="R443" s="7"/>
      <c r="S443" s="9"/>
      <c r="T443" s="46"/>
      <c r="U443" s="46"/>
      <c r="V443" s="9"/>
    </row>
    <row r="444" spans="1:22" x14ac:dyDescent="0.25">
      <c r="M444" s="9"/>
      <c r="N444" s="9"/>
      <c r="O444" s="7"/>
      <c r="P444" s="9"/>
      <c r="Q444" s="9"/>
      <c r="R444" s="9"/>
      <c r="S444" s="9"/>
      <c r="T444" s="46"/>
      <c r="U444" s="46"/>
      <c r="V444" s="9"/>
    </row>
    <row r="445" spans="1:22" x14ac:dyDescent="0.25">
      <c r="M445" s="9"/>
      <c r="N445" s="9"/>
      <c r="O445" s="9"/>
      <c r="P445" s="9"/>
      <c r="Q445" s="9"/>
      <c r="R445" s="9"/>
      <c r="S445" s="9"/>
      <c r="T445" s="46"/>
      <c r="U445" s="46"/>
      <c r="V445" s="9"/>
    </row>
    <row r="446" spans="1:22" x14ac:dyDescent="0.25">
      <c r="M446" s="7"/>
      <c r="N446" s="7"/>
      <c r="O446" s="9"/>
      <c r="P446" s="9"/>
      <c r="Q446" s="9"/>
      <c r="R446" s="23"/>
      <c r="S446" s="23"/>
      <c r="T446" s="46"/>
      <c r="U446" s="46"/>
      <c r="V446" s="9"/>
    </row>
    <row r="447" spans="1:22" x14ac:dyDescent="0.25">
      <c r="M447" s="7"/>
      <c r="N447" s="7"/>
      <c r="O447" s="7"/>
      <c r="P447" s="9"/>
      <c r="Q447" s="9"/>
      <c r="R447" s="7"/>
      <c r="S447" s="7"/>
      <c r="T447" s="7"/>
      <c r="U447" s="7"/>
      <c r="V447" s="9"/>
    </row>
    <row r="448" spans="1:22" x14ac:dyDescent="0.25">
      <c r="M448" s="7"/>
      <c r="N448" s="7"/>
      <c r="O448" s="7"/>
      <c r="P448" s="9"/>
      <c r="Q448" s="9"/>
      <c r="R448" s="7"/>
      <c r="S448" s="7"/>
      <c r="U448" s="9"/>
      <c r="V448" s="9"/>
    </row>
    <row r="449" spans="13:22" x14ac:dyDescent="0.25">
      <c r="M449" s="7"/>
      <c r="N449" s="7"/>
      <c r="O449" s="7"/>
      <c r="P449" s="9"/>
      <c r="Q449" s="9"/>
      <c r="R449" s="7"/>
      <c r="S449" s="7"/>
      <c r="U449" s="9"/>
      <c r="V449" s="9"/>
    </row>
    <row r="450" spans="13:22" x14ac:dyDescent="0.25">
      <c r="M450" s="7"/>
      <c r="N450" s="9"/>
      <c r="O450" s="9"/>
      <c r="P450" s="7"/>
      <c r="Q450" s="9"/>
      <c r="U450" s="7"/>
      <c r="V450" s="9"/>
    </row>
    <row r="451" spans="13:22" x14ac:dyDescent="0.25">
      <c r="M451" s="9"/>
      <c r="N451" s="9"/>
      <c r="O451" s="9"/>
      <c r="P451" s="7"/>
      <c r="Q451" s="9"/>
      <c r="U451" s="7"/>
      <c r="V451" s="9"/>
    </row>
    <row r="452" spans="13:22" x14ac:dyDescent="0.25">
      <c r="N452" s="9"/>
      <c r="O452" s="9"/>
      <c r="P452" s="7"/>
      <c r="Q452" s="9"/>
      <c r="U452" s="9"/>
      <c r="V452" s="9"/>
    </row>
    <row r="453" spans="13:22" x14ac:dyDescent="0.25">
      <c r="N453" s="9"/>
      <c r="O453" s="9"/>
      <c r="P453" s="7"/>
      <c r="Q453" s="9"/>
      <c r="U453" s="9"/>
      <c r="V453" s="9"/>
    </row>
    <row r="454" spans="13:22" x14ac:dyDescent="0.25">
      <c r="N454" s="9"/>
      <c r="O454" s="9"/>
      <c r="P454" s="9"/>
      <c r="Q454" s="9"/>
      <c r="U454" s="7"/>
      <c r="V454" s="7"/>
    </row>
    <row r="455" spans="13:22" x14ac:dyDescent="0.25">
      <c r="N455" s="9"/>
      <c r="O455" s="9"/>
      <c r="P455" s="7"/>
      <c r="Q455" s="9"/>
      <c r="U455" s="7"/>
      <c r="V455" s="7"/>
    </row>
    <row r="456" spans="13:22" x14ac:dyDescent="0.25">
      <c r="N456" s="9"/>
      <c r="O456" s="9"/>
      <c r="P456" s="9"/>
      <c r="Q456" s="9"/>
      <c r="U456" s="7"/>
      <c r="V456" s="7"/>
    </row>
    <row r="457" spans="13:22" x14ac:dyDescent="0.25">
      <c r="N457" s="9"/>
      <c r="O457" s="9"/>
      <c r="P457" s="9"/>
      <c r="Q457" s="9"/>
      <c r="U457" s="7"/>
      <c r="V457" s="7"/>
    </row>
    <row r="458" spans="13:22" x14ac:dyDescent="0.25">
      <c r="N458" s="7"/>
      <c r="O458" s="7"/>
      <c r="U458" s="23"/>
      <c r="V458" s="23"/>
    </row>
    <row r="459" spans="13:22" x14ac:dyDescent="0.25">
      <c r="N459" s="7"/>
      <c r="O459" s="7"/>
      <c r="U459" s="7"/>
      <c r="V459" s="7"/>
    </row>
    <row r="460" spans="13:22" x14ac:dyDescent="0.25">
      <c r="N460" s="7"/>
      <c r="O460" s="9"/>
      <c r="U460" s="7"/>
      <c r="V460" s="7"/>
    </row>
    <row r="461" spans="13:22" x14ac:dyDescent="0.25">
      <c r="N461" s="23"/>
      <c r="O461" s="23"/>
      <c r="U461" s="7"/>
      <c r="V461" s="7"/>
    </row>
    <row r="462" spans="13:22" x14ac:dyDescent="0.25">
      <c r="N462" s="7"/>
      <c r="O462" s="9"/>
    </row>
    <row r="463" spans="13:22" x14ac:dyDescent="0.25">
      <c r="N463" s="7"/>
      <c r="O463" s="9"/>
    </row>
    <row r="464" spans="13:22" x14ac:dyDescent="0.25">
      <c r="N464" s="7"/>
      <c r="O464" s="9"/>
    </row>
    <row r="465" spans="14:15" x14ac:dyDescent="0.25">
      <c r="N465" s="7"/>
      <c r="O465" s="9"/>
    </row>
    <row r="466" spans="14:15" x14ac:dyDescent="0.25">
      <c r="N466" s="9"/>
      <c r="O466" s="9"/>
    </row>
    <row r="467" spans="14:15" x14ac:dyDescent="0.25">
      <c r="N467" s="7"/>
      <c r="O467" s="9"/>
    </row>
    <row r="468" spans="14:15" x14ac:dyDescent="0.25">
      <c r="N468" s="9"/>
      <c r="O468" s="9"/>
    </row>
    <row r="469" spans="14:15" x14ac:dyDescent="0.25">
      <c r="N469" s="9"/>
      <c r="O469" s="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503F-1D44-4129-9338-D3F17082DF6D}">
  <dimension ref="A1:Y472"/>
  <sheetViews>
    <sheetView topLeftCell="A312" workbookViewId="0">
      <selection activeCell="M329" sqref="M329"/>
    </sheetView>
  </sheetViews>
  <sheetFormatPr defaultColWidth="8.7109375" defaultRowHeight="15" x14ac:dyDescent="0.25"/>
  <cols>
    <col min="1" max="1" width="8.7109375" style="4"/>
    <col min="2" max="2" width="9.42578125" style="4" bestFit="1" customWidth="1"/>
    <col min="3" max="3" width="8.7109375" style="4"/>
    <col min="4" max="4" width="9.140625" style="4" bestFit="1" customWidth="1"/>
    <col min="5" max="5" width="9.7109375" style="4" bestFit="1" customWidth="1"/>
    <col min="6" max="7" width="10.42578125" style="4" bestFit="1" customWidth="1"/>
    <col min="8" max="16384" width="8.7109375" style="4"/>
  </cols>
  <sheetData>
    <row r="1" spans="1:8" s="1" customFormat="1" x14ac:dyDescent="0.25">
      <c r="A1" s="1" t="s">
        <v>0</v>
      </c>
    </row>
    <row r="2" spans="1:8" s="1" customFormat="1" x14ac:dyDescent="0.25">
      <c r="A2" s="1" t="s">
        <v>47</v>
      </c>
    </row>
    <row r="4" spans="1:8" x14ac:dyDescent="0.25">
      <c r="A4" s="36"/>
      <c r="B4" s="2" t="s">
        <v>1</v>
      </c>
      <c r="C4" s="3"/>
      <c r="D4" s="3"/>
      <c r="E4" s="3"/>
      <c r="F4" s="3"/>
      <c r="G4" s="3"/>
    </row>
    <row r="5" spans="1:8" x14ac:dyDescent="0.25">
      <c r="A5" s="5" t="s">
        <v>2</v>
      </c>
      <c r="B5" s="6" t="s">
        <v>269</v>
      </c>
      <c r="C5" s="6" t="s">
        <v>270</v>
      </c>
      <c r="D5" s="6" t="s">
        <v>3</v>
      </c>
      <c r="E5" s="6" t="s">
        <v>4</v>
      </c>
      <c r="F5" s="6" t="s">
        <v>271</v>
      </c>
      <c r="G5" s="6" t="s">
        <v>272</v>
      </c>
      <c r="H5" s="7"/>
    </row>
    <row r="6" spans="1:8" x14ac:dyDescent="0.25">
      <c r="A6" s="36"/>
      <c r="B6" s="2"/>
      <c r="C6" s="2"/>
      <c r="D6" s="3"/>
      <c r="E6" s="3"/>
      <c r="F6" s="3"/>
      <c r="G6" s="3"/>
    </row>
    <row r="7" spans="1:8" x14ac:dyDescent="0.25">
      <c r="A7" s="36" t="s">
        <v>5</v>
      </c>
      <c r="B7" s="3"/>
      <c r="C7" s="3"/>
      <c r="D7" s="3"/>
      <c r="E7" s="3"/>
      <c r="F7" s="3"/>
      <c r="G7" s="3"/>
    </row>
    <row r="8" spans="1:8" x14ac:dyDescent="0.25">
      <c r="A8" s="36" t="s">
        <v>46</v>
      </c>
      <c r="B8" s="2">
        <v>3.0710600000000001E-2</v>
      </c>
      <c r="C8" s="2">
        <v>7.8960999999999996E-3</v>
      </c>
      <c r="D8" s="2">
        <v>-13.55</v>
      </c>
      <c r="E8" s="2">
        <v>0</v>
      </c>
      <c r="F8" s="2">
        <v>1.8553699999999999E-2</v>
      </c>
      <c r="G8" s="2">
        <v>5.0832799999999997E-2</v>
      </c>
      <c r="H8" s="9"/>
    </row>
    <row r="9" spans="1:8" x14ac:dyDescent="0.25">
      <c r="A9" s="36" t="s">
        <v>16</v>
      </c>
      <c r="B9" s="2">
        <v>0.14671909999999999</v>
      </c>
      <c r="C9" s="2">
        <v>3.3164600000000002E-2</v>
      </c>
      <c r="D9" s="2">
        <v>-8.49</v>
      </c>
      <c r="E9" s="2">
        <v>0</v>
      </c>
      <c r="F9" s="2">
        <v>9.4206200000000004E-2</v>
      </c>
      <c r="G9" s="2">
        <v>0.22850380000000001</v>
      </c>
    </row>
    <row r="10" spans="1:8" x14ac:dyDescent="0.25">
      <c r="A10" s="36" t="s">
        <v>17</v>
      </c>
      <c r="B10" s="2">
        <v>0.21628430000000001</v>
      </c>
      <c r="C10" s="2">
        <v>3.5036200000000003E-2</v>
      </c>
      <c r="D10" s="2">
        <v>-9.4499999999999993</v>
      </c>
      <c r="E10" s="2">
        <v>0</v>
      </c>
      <c r="F10" s="2">
        <v>0.15744820000000001</v>
      </c>
      <c r="G10" s="2">
        <v>0.2971066</v>
      </c>
    </row>
    <row r="11" spans="1:8" x14ac:dyDescent="0.25">
      <c r="A11" s="36" t="s">
        <v>18</v>
      </c>
      <c r="B11" s="2">
        <v>0.22702929999999999</v>
      </c>
      <c r="C11" s="2">
        <v>8.7167300000000003E-2</v>
      </c>
      <c r="D11" s="2">
        <v>-3.86</v>
      </c>
      <c r="E11" s="2">
        <v>0</v>
      </c>
      <c r="F11" s="2">
        <v>0.1069708</v>
      </c>
      <c r="G11" s="2">
        <v>0.48183500000000001</v>
      </c>
      <c r="H11" s="9"/>
    </row>
    <row r="12" spans="1:8" x14ac:dyDescent="0.25">
      <c r="A12" s="36" t="s">
        <v>19</v>
      </c>
      <c r="B12" s="2">
        <v>0.11708250000000001</v>
      </c>
      <c r="C12" s="2">
        <v>1.6530199999999998E-2</v>
      </c>
      <c r="D12" s="2">
        <v>-15.19</v>
      </c>
      <c r="E12" s="2">
        <v>0</v>
      </c>
      <c r="F12" s="2">
        <v>8.8780200000000004E-2</v>
      </c>
      <c r="G12" s="2">
        <v>0.1544074</v>
      </c>
      <c r="H12" s="7"/>
    </row>
    <row r="13" spans="1:8" x14ac:dyDescent="0.25">
      <c r="A13" s="36" t="s">
        <v>20</v>
      </c>
      <c r="B13" s="2">
        <v>0.28215210000000002</v>
      </c>
      <c r="C13" s="2">
        <v>4.42491E-2</v>
      </c>
      <c r="D13" s="2">
        <v>-8.07</v>
      </c>
      <c r="E13" s="2">
        <v>0</v>
      </c>
      <c r="F13" s="2">
        <v>0.20748739999999999</v>
      </c>
      <c r="G13" s="2">
        <v>0.3836849</v>
      </c>
      <c r="H13" s="7"/>
    </row>
    <row r="14" spans="1:8" x14ac:dyDescent="0.25">
      <c r="A14" s="36" t="s">
        <v>21</v>
      </c>
      <c r="B14" s="2">
        <v>0.3849861</v>
      </c>
      <c r="C14" s="2">
        <v>4.7951100000000003E-2</v>
      </c>
      <c r="D14" s="2">
        <v>-7.66</v>
      </c>
      <c r="E14" s="2">
        <v>0</v>
      </c>
      <c r="F14" s="2">
        <v>0.30159589999999997</v>
      </c>
      <c r="G14" s="2">
        <v>0.49143330000000002</v>
      </c>
      <c r="H14" s="7"/>
    </row>
    <row r="15" spans="1:8" x14ac:dyDescent="0.25">
      <c r="A15" s="36" t="s">
        <v>22</v>
      </c>
      <c r="B15" s="2">
        <v>0.97298260000000003</v>
      </c>
      <c r="C15" s="2">
        <v>0.1945307</v>
      </c>
      <c r="D15" s="2">
        <v>-0.14000000000000001</v>
      </c>
      <c r="E15" s="2">
        <v>0.89100000000000001</v>
      </c>
      <c r="F15" s="2">
        <v>0.65754029999999997</v>
      </c>
      <c r="G15" s="2">
        <v>1.4397519999999999</v>
      </c>
      <c r="H15" s="7"/>
    </row>
    <row r="16" spans="1:8" x14ac:dyDescent="0.25">
      <c r="A16" s="36" t="s">
        <v>23</v>
      </c>
      <c r="B16" s="2">
        <v>0.81957769999999996</v>
      </c>
      <c r="C16" s="2">
        <v>6.3361799999999996E-2</v>
      </c>
      <c r="D16" s="2">
        <v>-2.57</v>
      </c>
      <c r="E16" s="2">
        <v>0.01</v>
      </c>
      <c r="F16" s="2">
        <v>0.70434189999999997</v>
      </c>
      <c r="G16" s="2">
        <v>0.95366700000000004</v>
      </c>
      <c r="H16" s="7"/>
    </row>
    <row r="17" spans="1:8" x14ac:dyDescent="0.25">
      <c r="A17" s="36" t="s">
        <v>24</v>
      </c>
      <c r="B17" s="2">
        <v>1.884776</v>
      </c>
      <c r="C17" s="2">
        <v>0.15515029999999999</v>
      </c>
      <c r="D17" s="2">
        <v>7.7</v>
      </c>
      <c r="E17" s="2">
        <v>0</v>
      </c>
      <c r="F17" s="2">
        <v>1.60395</v>
      </c>
      <c r="G17" s="2">
        <v>2.2147700000000001</v>
      </c>
      <c r="H17" s="9"/>
    </row>
    <row r="18" spans="1:8" x14ac:dyDescent="0.25">
      <c r="A18" s="36" t="s">
        <v>25</v>
      </c>
      <c r="B18" s="2">
        <v>2.7338339999999999</v>
      </c>
      <c r="C18" s="2">
        <v>0.2028681</v>
      </c>
      <c r="D18" s="2">
        <v>13.55</v>
      </c>
      <c r="E18" s="2">
        <v>0</v>
      </c>
      <c r="F18" s="2">
        <v>2.363782</v>
      </c>
      <c r="G18" s="2">
        <v>3.1618170000000001</v>
      </c>
    </row>
    <row r="19" spans="1:8" x14ac:dyDescent="0.25">
      <c r="A19" s="36" t="s">
        <v>26</v>
      </c>
      <c r="B19" s="2">
        <v>3.1459769999999998</v>
      </c>
      <c r="C19" s="2">
        <v>0.38421749999999999</v>
      </c>
      <c r="D19" s="2">
        <v>9.3800000000000008</v>
      </c>
      <c r="E19" s="2">
        <v>0</v>
      </c>
      <c r="F19" s="2">
        <v>2.4762729999999999</v>
      </c>
      <c r="G19" s="2">
        <v>3.9968020000000002</v>
      </c>
    </row>
    <row r="20" spans="1:8" x14ac:dyDescent="0.25">
      <c r="A20" s="36" t="s">
        <v>27</v>
      </c>
      <c r="B20" s="2">
        <v>0.36852210000000002</v>
      </c>
      <c r="C20" s="2">
        <v>3.4380000000000001E-2</v>
      </c>
      <c r="D20" s="2">
        <v>-10.7</v>
      </c>
      <c r="E20" s="2">
        <v>0</v>
      </c>
      <c r="F20" s="2">
        <v>0.30694009999999999</v>
      </c>
      <c r="G20" s="2">
        <v>0.4424593</v>
      </c>
      <c r="H20" s="7"/>
    </row>
    <row r="21" spans="1:8" x14ac:dyDescent="0.25">
      <c r="A21" s="36" t="s">
        <v>28</v>
      </c>
      <c r="B21" s="2">
        <v>0.81824110000000005</v>
      </c>
      <c r="C21" s="2">
        <v>8.4884500000000002E-2</v>
      </c>
      <c r="D21" s="2">
        <v>-1.93</v>
      </c>
      <c r="E21" s="2">
        <v>5.2999999999999999E-2</v>
      </c>
      <c r="F21" s="2">
        <v>0.66769389999999995</v>
      </c>
      <c r="G21" s="2">
        <v>1.0027330000000001</v>
      </c>
      <c r="H21" s="7"/>
    </row>
    <row r="22" spans="1:8" x14ac:dyDescent="0.25">
      <c r="A22" s="36" t="s">
        <v>29</v>
      </c>
      <c r="B22" s="2">
        <v>0.9992335</v>
      </c>
      <c r="C22" s="2">
        <v>9.0549299999999999E-2</v>
      </c>
      <c r="D22" s="2">
        <v>-0.01</v>
      </c>
      <c r="E22" s="2">
        <v>0.99299999999999999</v>
      </c>
      <c r="F22" s="2">
        <v>0.83662760000000003</v>
      </c>
      <c r="G22" s="2">
        <v>1.193443</v>
      </c>
      <c r="H22" s="7"/>
    </row>
    <row r="23" spans="1:8" x14ac:dyDescent="0.25">
      <c r="A23" s="36" t="s">
        <v>30</v>
      </c>
      <c r="B23" s="2">
        <v>1.070281</v>
      </c>
      <c r="C23" s="2">
        <v>0.1968598</v>
      </c>
      <c r="D23" s="2">
        <v>0.37</v>
      </c>
      <c r="E23" s="2">
        <v>0.71199999999999997</v>
      </c>
      <c r="F23" s="2">
        <v>0.74633510000000003</v>
      </c>
      <c r="G23" s="2">
        <v>1.5348349999999999</v>
      </c>
      <c r="H23" s="9"/>
    </row>
    <row r="24" spans="1:8" x14ac:dyDescent="0.25">
      <c r="A24" s="36" t="s">
        <v>67</v>
      </c>
      <c r="B24" s="2">
        <v>1.7332050000000001</v>
      </c>
      <c r="C24" s="2">
        <v>0.14489869999999999</v>
      </c>
      <c r="D24" s="2">
        <v>6.58</v>
      </c>
      <c r="E24" s="2">
        <v>0</v>
      </c>
      <c r="F24" s="2">
        <v>1.4712559999999999</v>
      </c>
      <c r="G24" s="2">
        <v>2.0417930000000002</v>
      </c>
      <c r="H24" s="9"/>
    </row>
    <row r="25" spans="1:8" x14ac:dyDescent="0.25">
      <c r="A25" s="36" t="s">
        <v>31</v>
      </c>
      <c r="B25" s="2">
        <v>5.406034</v>
      </c>
      <c r="C25" s="2">
        <v>0.44084849999999998</v>
      </c>
      <c r="D25" s="2">
        <v>20.69</v>
      </c>
      <c r="E25" s="2">
        <v>0</v>
      </c>
      <c r="F25" s="2">
        <v>4.6075010000000001</v>
      </c>
      <c r="G25" s="2">
        <v>6.342962</v>
      </c>
      <c r="H25" s="9"/>
    </row>
    <row r="26" spans="1:8" x14ac:dyDescent="0.25">
      <c r="A26" s="36" t="s">
        <v>32</v>
      </c>
      <c r="B26" s="2">
        <v>7.8165149999999999</v>
      </c>
      <c r="C26" s="2">
        <v>0.53965810000000003</v>
      </c>
      <c r="D26" s="2">
        <v>29.78</v>
      </c>
      <c r="E26" s="2">
        <v>0</v>
      </c>
      <c r="F26" s="2">
        <v>6.8272459999999997</v>
      </c>
      <c r="G26" s="2">
        <v>8.9491289999999992</v>
      </c>
      <c r="H26" s="9"/>
    </row>
    <row r="27" spans="1:8" x14ac:dyDescent="0.25">
      <c r="A27" s="36" t="s">
        <v>33</v>
      </c>
      <c r="B27" s="2">
        <v>10.86497</v>
      </c>
      <c r="C27" s="2">
        <v>1.0836490000000001</v>
      </c>
      <c r="D27" s="2">
        <v>23.92</v>
      </c>
      <c r="E27" s="2">
        <v>0</v>
      </c>
      <c r="F27" s="2">
        <v>8.9357629999999997</v>
      </c>
      <c r="G27" s="2">
        <v>13.21069</v>
      </c>
    </row>
    <row r="28" spans="1:8" x14ac:dyDescent="0.25">
      <c r="A28" s="36" t="s">
        <v>34</v>
      </c>
      <c r="B28" s="2">
        <v>1</v>
      </c>
      <c r="C28" s="2"/>
      <c r="D28" s="2"/>
      <c r="E28" s="2"/>
      <c r="F28" s="2"/>
      <c r="G28" s="2"/>
    </row>
    <row r="29" spans="1:8" x14ac:dyDescent="0.25">
      <c r="A29" s="36" t="s">
        <v>35</v>
      </c>
      <c r="B29" s="2">
        <v>3.171389</v>
      </c>
      <c r="C29" s="2">
        <v>0.25888169999999999</v>
      </c>
      <c r="D29" s="2">
        <v>14.14</v>
      </c>
      <c r="E29" s="2">
        <v>0</v>
      </c>
      <c r="F29" s="2">
        <v>2.7025000000000001</v>
      </c>
      <c r="G29" s="2">
        <v>3.7216330000000002</v>
      </c>
    </row>
    <row r="30" spans="1:8" x14ac:dyDescent="0.25">
      <c r="A30" s="36" t="s">
        <v>36</v>
      </c>
      <c r="B30" s="2">
        <v>2.9241640000000002</v>
      </c>
      <c r="C30" s="2">
        <v>0.21766199999999999</v>
      </c>
      <c r="D30" s="2">
        <v>14.42</v>
      </c>
      <c r="E30" s="2">
        <v>0</v>
      </c>
      <c r="F30" s="2">
        <v>2.5272139999999998</v>
      </c>
      <c r="G30" s="2">
        <v>3.3834629999999999</v>
      </c>
    </row>
    <row r="31" spans="1:8" x14ac:dyDescent="0.25">
      <c r="A31" s="36" t="s">
        <v>37</v>
      </c>
      <c r="B31" s="2">
        <v>6.7784459999999997</v>
      </c>
      <c r="C31" s="2">
        <v>0.74019619999999997</v>
      </c>
      <c r="D31" s="2">
        <v>17.53</v>
      </c>
      <c r="E31" s="2">
        <v>0</v>
      </c>
      <c r="F31" s="2">
        <v>5.472429</v>
      </c>
      <c r="G31" s="2">
        <v>8.3961469999999991</v>
      </c>
    </row>
    <row r="32" spans="1:8" x14ac:dyDescent="0.25">
      <c r="A32" s="36" t="s">
        <v>50</v>
      </c>
      <c r="B32" s="2">
        <v>9.9808099999999997E-2</v>
      </c>
      <c r="C32" s="2">
        <v>1.49348E-2</v>
      </c>
      <c r="D32" s="2">
        <v>-15.4</v>
      </c>
      <c r="E32" s="2">
        <v>0</v>
      </c>
      <c r="F32" s="2">
        <v>7.4438199999999996E-2</v>
      </c>
      <c r="G32" s="2">
        <v>0.13382430000000001</v>
      </c>
    </row>
    <row r="33" spans="1:11" x14ac:dyDescent="0.25">
      <c r="A33" s="36" t="s">
        <v>51</v>
      </c>
      <c r="B33" s="2">
        <v>0.25957989999999997</v>
      </c>
      <c r="C33" s="2">
        <v>4.1267400000000003E-2</v>
      </c>
      <c r="D33" s="2">
        <v>-8.48</v>
      </c>
      <c r="E33" s="2">
        <v>0</v>
      </c>
      <c r="F33" s="2">
        <v>0.19008549999999999</v>
      </c>
      <c r="G33" s="2">
        <v>0.3544812</v>
      </c>
      <c r="H33" s="7"/>
    </row>
    <row r="34" spans="1:11" x14ac:dyDescent="0.25">
      <c r="A34" s="36" t="s">
        <v>52</v>
      </c>
      <c r="B34" s="2">
        <v>0.33740350000000002</v>
      </c>
      <c r="C34" s="2">
        <v>4.3516300000000001E-2</v>
      </c>
      <c r="D34" s="2">
        <v>-8.42</v>
      </c>
      <c r="E34" s="2">
        <v>0</v>
      </c>
      <c r="F34" s="2">
        <v>0.26203949999999998</v>
      </c>
      <c r="G34" s="2">
        <v>0.43444270000000001</v>
      </c>
      <c r="H34" s="9"/>
    </row>
    <row r="35" spans="1:11" x14ac:dyDescent="0.25">
      <c r="A35" s="36" t="s">
        <v>53</v>
      </c>
      <c r="B35" s="2">
        <v>0.55135679999999998</v>
      </c>
      <c r="C35" s="2">
        <v>0.13819480000000001</v>
      </c>
      <c r="D35" s="2">
        <v>-2.38</v>
      </c>
      <c r="E35" s="2">
        <v>1.7999999999999999E-2</v>
      </c>
      <c r="F35" s="2">
        <v>0.33735199999999999</v>
      </c>
      <c r="G35" s="2">
        <v>0.901119</v>
      </c>
      <c r="H35" s="9"/>
    </row>
    <row r="36" spans="1:11" x14ac:dyDescent="0.25">
      <c r="A36" s="36" t="s">
        <v>54</v>
      </c>
      <c r="B36" s="2">
        <v>0.1247601</v>
      </c>
      <c r="C36" s="2">
        <v>1.7614500000000002E-2</v>
      </c>
      <c r="D36" s="2">
        <v>-14.74</v>
      </c>
      <c r="E36" s="2">
        <v>0</v>
      </c>
      <c r="F36" s="2">
        <v>9.4601299999999999E-2</v>
      </c>
      <c r="G36" s="2">
        <v>0.1645335</v>
      </c>
      <c r="H36" s="9"/>
    </row>
    <row r="37" spans="1:11" x14ac:dyDescent="0.25">
      <c r="A37" s="36" t="s">
        <v>55</v>
      </c>
      <c r="B37" s="2">
        <v>0.3047243</v>
      </c>
      <c r="C37" s="2">
        <v>4.6270800000000001E-2</v>
      </c>
      <c r="D37" s="2">
        <v>-7.83</v>
      </c>
      <c r="E37" s="2">
        <v>0</v>
      </c>
      <c r="F37" s="2">
        <v>0.2262854</v>
      </c>
      <c r="G37" s="2">
        <v>0.41035290000000002</v>
      </c>
      <c r="H37" s="9"/>
    </row>
    <row r="38" spans="1:11" x14ac:dyDescent="0.25">
      <c r="A38" s="36" t="s">
        <v>56</v>
      </c>
      <c r="B38" s="2">
        <v>0.35038059999999999</v>
      </c>
      <c r="C38" s="2">
        <v>4.4803900000000001E-2</v>
      </c>
      <c r="D38" s="2">
        <v>-8.1999999999999993</v>
      </c>
      <c r="E38" s="2">
        <v>0</v>
      </c>
      <c r="F38" s="2">
        <v>0.27270620000000001</v>
      </c>
      <c r="G38" s="2">
        <v>0.45017869999999999</v>
      </c>
      <c r="H38" s="9"/>
    </row>
    <row r="39" spans="1:11" x14ac:dyDescent="0.25">
      <c r="A39" s="36" t="s">
        <v>57</v>
      </c>
      <c r="B39" s="2">
        <v>0.77838609999999997</v>
      </c>
      <c r="C39" s="2">
        <v>0.16664029999999999</v>
      </c>
      <c r="D39" s="2">
        <v>-1.17</v>
      </c>
      <c r="E39" s="2">
        <v>0.24199999999999999</v>
      </c>
      <c r="F39" s="2">
        <v>0.51164189999999998</v>
      </c>
      <c r="G39" s="2">
        <v>1.1841969999999999</v>
      </c>
      <c r="H39" s="9"/>
    </row>
    <row r="40" spans="1:11" x14ac:dyDescent="0.25">
      <c r="A40" s="36" t="s">
        <v>58</v>
      </c>
      <c r="B40" s="2">
        <v>0.69097889999999995</v>
      </c>
      <c r="C40" s="2">
        <v>6.5130499999999994E-2</v>
      </c>
      <c r="D40" s="2">
        <v>-3.92</v>
      </c>
      <c r="E40" s="2">
        <v>0</v>
      </c>
      <c r="F40" s="2">
        <v>0.57442320000000002</v>
      </c>
      <c r="G40" s="2">
        <v>0.83118479999999995</v>
      </c>
      <c r="H40" s="9"/>
    </row>
    <row r="41" spans="1:11" x14ac:dyDescent="0.25">
      <c r="A41" s="36" t="s">
        <v>59</v>
      </c>
      <c r="B41" s="2">
        <v>1.80013</v>
      </c>
      <c r="C41" s="2">
        <v>0.18084439999999999</v>
      </c>
      <c r="D41" s="2">
        <v>5.85</v>
      </c>
      <c r="E41" s="2">
        <v>0</v>
      </c>
      <c r="F41" s="2">
        <v>1.478396</v>
      </c>
      <c r="G41" s="2">
        <v>2.1918820000000001</v>
      </c>
      <c r="H41" s="9"/>
    </row>
    <row r="42" spans="1:11" x14ac:dyDescent="0.25">
      <c r="A42" s="36" t="s">
        <v>60</v>
      </c>
      <c r="B42" s="2">
        <v>2.6992280000000002</v>
      </c>
      <c r="C42" s="2">
        <v>0.20430190000000001</v>
      </c>
      <c r="D42" s="2">
        <v>13.12</v>
      </c>
      <c r="E42" s="2">
        <v>0</v>
      </c>
      <c r="F42" s="2">
        <v>2.327089</v>
      </c>
      <c r="G42" s="2">
        <v>3.130878</v>
      </c>
      <c r="H42" s="9"/>
    </row>
    <row r="43" spans="1:11" x14ac:dyDescent="0.25">
      <c r="A43" s="36" t="s">
        <v>61</v>
      </c>
      <c r="B43" s="2">
        <v>4.7676150000000002</v>
      </c>
      <c r="C43" s="2">
        <v>0.59212070000000006</v>
      </c>
      <c r="D43" s="2">
        <v>12.58</v>
      </c>
      <c r="E43" s="2">
        <v>0</v>
      </c>
      <c r="F43" s="2">
        <v>3.7375319999999999</v>
      </c>
      <c r="G43" s="2">
        <v>6.0815929999999998</v>
      </c>
      <c r="H43" s="9"/>
    </row>
    <row r="44" spans="1:11" x14ac:dyDescent="0.25">
      <c r="A44" s="36"/>
      <c r="B44" s="3"/>
      <c r="C44" s="3"/>
      <c r="D44" s="3"/>
      <c r="E44" s="3"/>
      <c r="F44" s="3"/>
      <c r="G44" s="3"/>
      <c r="H44" s="9"/>
    </row>
    <row r="45" spans="1:11" x14ac:dyDescent="0.25">
      <c r="A45" s="5" t="s">
        <v>6</v>
      </c>
      <c r="B45" s="6">
        <v>1.7409000000000001E-3</v>
      </c>
      <c r="C45" s="6">
        <v>1.053E-4</v>
      </c>
      <c r="D45" s="6">
        <v>-105.02</v>
      </c>
      <c r="E45" s="6">
        <v>0</v>
      </c>
      <c r="F45" s="6">
        <v>1.5462E-3</v>
      </c>
      <c r="G45" s="6">
        <v>1.9601000000000002E-3</v>
      </c>
      <c r="H45" s="9"/>
    </row>
    <row r="46" spans="1:11" x14ac:dyDescent="0.25">
      <c r="B46" s="7"/>
      <c r="C46" s="15"/>
      <c r="D46" s="9"/>
      <c r="E46" s="7"/>
      <c r="F46" s="7"/>
      <c r="G46" s="9"/>
      <c r="H46" s="9"/>
    </row>
    <row r="47" spans="1:11" ht="15.75" thickBot="1" x14ac:dyDescent="0.3">
      <c r="B47" s="7"/>
      <c r="C47" s="7"/>
      <c r="D47" s="7"/>
      <c r="E47" s="7"/>
      <c r="F47" s="7"/>
      <c r="G47" s="7"/>
      <c r="H47" s="7"/>
    </row>
    <row r="48" spans="1:11" x14ac:dyDescent="0.25">
      <c r="B48" s="10"/>
      <c r="C48" s="11" t="s">
        <v>9</v>
      </c>
      <c r="D48" s="11" t="s">
        <v>10</v>
      </c>
      <c r="E48" s="11" t="s">
        <v>40</v>
      </c>
      <c r="F48" s="11" t="s">
        <v>11</v>
      </c>
      <c r="G48" s="11" t="s">
        <v>89</v>
      </c>
      <c r="H48" s="11" t="s">
        <v>8</v>
      </c>
      <c r="I48" s="11" t="s">
        <v>62</v>
      </c>
      <c r="J48" s="11" t="s">
        <v>63</v>
      </c>
      <c r="K48" s="12" t="s">
        <v>65</v>
      </c>
    </row>
    <row r="49" spans="2:25" x14ac:dyDescent="0.25">
      <c r="B49" s="13" t="s">
        <v>12</v>
      </c>
      <c r="C49" s="14">
        <f>B8</f>
        <v>3.0710600000000001E-2</v>
      </c>
      <c r="D49" s="15">
        <f>B12</f>
        <v>0.11708250000000001</v>
      </c>
      <c r="E49" s="15">
        <f>B16</f>
        <v>0.81957769999999996</v>
      </c>
      <c r="F49" s="15">
        <f>B20</f>
        <v>0.36852210000000002</v>
      </c>
      <c r="G49" s="15">
        <f>B24</f>
        <v>1.7332050000000001</v>
      </c>
      <c r="H49" s="15">
        <f>B28</f>
        <v>1</v>
      </c>
      <c r="I49" s="4">
        <f>B32</f>
        <v>9.9808099999999997E-2</v>
      </c>
      <c r="J49" s="25">
        <f>B36</f>
        <v>0.1247601</v>
      </c>
      <c r="K49" s="17">
        <f>B40</f>
        <v>0.69097889999999995</v>
      </c>
    </row>
    <row r="50" spans="2:25" x14ac:dyDescent="0.25">
      <c r="B50" s="13" t="s">
        <v>13</v>
      </c>
      <c r="C50" s="15">
        <f>B9</f>
        <v>0.14671909999999999</v>
      </c>
      <c r="D50" s="15">
        <f>B13</f>
        <v>0.28215210000000002</v>
      </c>
      <c r="E50" s="15">
        <f>B17</f>
        <v>1.884776</v>
      </c>
      <c r="F50" s="15">
        <f>B21</f>
        <v>0.81824110000000005</v>
      </c>
      <c r="G50" s="15">
        <f>B25</f>
        <v>5.406034</v>
      </c>
      <c r="H50" s="15">
        <f>B29</f>
        <v>3.171389</v>
      </c>
      <c r="I50" s="4">
        <f>B33</f>
        <v>0.25957989999999997</v>
      </c>
      <c r="J50" s="25">
        <f>B37</f>
        <v>0.3047243</v>
      </c>
      <c r="K50" s="18">
        <f>B41</f>
        <v>1.80013</v>
      </c>
    </row>
    <row r="51" spans="2:25" x14ac:dyDescent="0.25">
      <c r="B51" s="13" t="s">
        <v>14</v>
      </c>
      <c r="C51" s="15">
        <f>B10</f>
        <v>0.21628430000000001</v>
      </c>
      <c r="D51" s="15">
        <f>B14</f>
        <v>0.3849861</v>
      </c>
      <c r="E51" s="15">
        <f>B18</f>
        <v>2.7338339999999999</v>
      </c>
      <c r="F51" s="15">
        <f>B22</f>
        <v>0.9992335</v>
      </c>
      <c r="G51" s="15">
        <f>B26</f>
        <v>7.8165149999999999</v>
      </c>
      <c r="H51" s="15">
        <f>B30</f>
        <v>2.9241640000000002</v>
      </c>
      <c r="I51" s="4">
        <f>B34</f>
        <v>0.33740350000000002</v>
      </c>
      <c r="J51" s="25">
        <f>B38</f>
        <v>0.35038059999999999</v>
      </c>
      <c r="K51" s="18">
        <f>B42</f>
        <v>2.6992280000000002</v>
      </c>
    </row>
    <row r="52" spans="2:25" ht="15.75" thickBot="1" x14ac:dyDescent="0.3">
      <c r="B52" s="19" t="s">
        <v>15</v>
      </c>
      <c r="C52" s="20">
        <f>B11</f>
        <v>0.22702929999999999</v>
      </c>
      <c r="D52" s="20">
        <f>B15</f>
        <v>0.97298260000000003</v>
      </c>
      <c r="E52" s="20">
        <f>B19</f>
        <v>3.1459769999999998</v>
      </c>
      <c r="F52" s="20">
        <f>B23</f>
        <v>1.070281</v>
      </c>
      <c r="G52" s="20">
        <f>B27</f>
        <v>10.86497</v>
      </c>
      <c r="H52" s="20">
        <f>B31</f>
        <v>6.7784459999999997</v>
      </c>
      <c r="I52" s="29">
        <f>B35</f>
        <v>0.55135679999999998</v>
      </c>
      <c r="J52" s="28">
        <f>B39</f>
        <v>0.77838609999999997</v>
      </c>
      <c r="K52" s="22">
        <f>B43</f>
        <v>4.7676150000000002</v>
      </c>
    </row>
    <row r="53" spans="2:25" x14ac:dyDescent="0.25">
      <c r="B53" s="7"/>
      <c r="C53" s="7"/>
      <c r="D53" s="7"/>
      <c r="E53" s="7"/>
      <c r="F53" s="7"/>
      <c r="G53" s="7"/>
      <c r="H53" s="7"/>
    </row>
    <row r="54" spans="2:25" x14ac:dyDescent="0.25">
      <c r="B54" s="7"/>
      <c r="C54" s="7"/>
      <c r="D54" s="7"/>
      <c r="E54" s="7"/>
      <c r="F54" s="7"/>
      <c r="G54" s="7"/>
      <c r="H54" s="7"/>
    </row>
    <row r="55" spans="2:25" x14ac:dyDescent="0.25">
      <c r="B55" s="7"/>
      <c r="C55" s="7"/>
      <c r="D55" s="7"/>
      <c r="E55" s="7"/>
      <c r="F55" s="7"/>
      <c r="G55" s="7"/>
      <c r="H55" s="7"/>
      <c r="X55" s="4">
        <v>1090</v>
      </c>
      <c r="Y55" s="4">
        <v>2000</v>
      </c>
    </row>
    <row r="56" spans="2:25" x14ac:dyDescent="0.25">
      <c r="B56" s="7"/>
      <c r="C56" s="7"/>
      <c r="D56" s="7"/>
      <c r="E56" s="7"/>
      <c r="F56" s="7"/>
      <c r="G56" s="7"/>
      <c r="H56" s="7"/>
    </row>
    <row r="57" spans="2:25" x14ac:dyDescent="0.25">
      <c r="B57" s="7"/>
      <c r="C57" s="7"/>
      <c r="D57" s="7"/>
      <c r="E57" s="7"/>
      <c r="F57" s="7"/>
      <c r="G57" s="7"/>
      <c r="H57" s="7"/>
    </row>
    <row r="58" spans="2:25" x14ac:dyDescent="0.25">
      <c r="B58" s="7"/>
      <c r="C58" s="7"/>
      <c r="D58" s="7"/>
      <c r="E58" s="7"/>
      <c r="F58" s="7"/>
      <c r="G58" s="7"/>
      <c r="H58" s="7"/>
    </row>
    <row r="59" spans="2:25" x14ac:dyDescent="0.25">
      <c r="B59" s="7"/>
      <c r="C59" s="7"/>
      <c r="D59" s="7"/>
      <c r="E59" s="7"/>
      <c r="F59" s="7"/>
      <c r="G59" s="7"/>
      <c r="H59" s="7"/>
    </row>
    <row r="60" spans="2:25" x14ac:dyDescent="0.25">
      <c r="B60" s="7"/>
      <c r="C60" s="7"/>
      <c r="D60" s="7"/>
      <c r="E60" s="7"/>
      <c r="F60" s="7"/>
      <c r="G60" s="7"/>
      <c r="H60" s="7"/>
    </row>
    <row r="61" spans="2:25" x14ac:dyDescent="0.25">
      <c r="B61" s="7"/>
      <c r="C61" s="7"/>
      <c r="D61" s="7"/>
      <c r="E61" s="7"/>
      <c r="F61" s="7"/>
      <c r="G61" s="7"/>
      <c r="H61" s="7"/>
    </row>
    <row r="62" spans="2:25" x14ac:dyDescent="0.25">
      <c r="B62" s="7"/>
      <c r="C62" s="7"/>
      <c r="D62" s="7"/>
      <c r="E62" s="7"/>
      <c r="F62" s="7"/>
      <c r="G62" s="7"/>
      <c r="H62" s="7"/>
    </row>
    <row r="63" spans="2:25" x14ac:dyDescent="0.25">
      <c r="B63" s="7"/>
      <c r="C63" s="7"/>
      <c r="D63" s="7"/>
      <c r="E63" s="7"/>
      <c r="F63" s="7"/>
      <c r="G63" s="7"/>
      <c r="H63" s="7"/>
    </row>
    <row r="64" spans="2:25" x14ac:dyDescent="0.25">
      <c r="B64" s="7"/>
      <c r="C64" s="7"/>
      <c r="D64" s="7"/>
      <c r="E64" s="7"/>
      <c r="F64" s="7"/>
      <c r="G64" s="7"/>
      <c r="H64" s="7"/>
    </row>
    <row r="65" spans="1:16" x14ac:dyDescent="0.25">
      <c r="B65" s="7"/>
      <c r="C65" s="7"/>
      <c r="D65" s="7"/>
      <c r="E65" s="7"/>
      <c r="F65" s="7"/>
      <c r="G65" s="7"/>
      <c r="H65" s="7"/>
    </row>
    <row r="66" spans="1:16" x14ac:dyDescent="0.25">
      <c r="B66" s="7"/>
      <c r="C66" s="7"/>
      <c r="D66" s="7"/>
      <c r="E66" s="7"/>
      <c r="F66" s="7"/>
      <c r="G66" s="7"/>
      <c r="H66" s="7"/>
    </row>
    <row r="67" spans="1:16" x14ac:dyDescent="0.25">
      <c r="B67" s="7"/>
      <c r="C67" s="7"/>
      <c r="D67" s="7"/>
      <c r="E67" s="7"/>
      <c r="F67" s="7"/>
      <c r="G67" s="7"/>
      <c r="H67" s="7"/>
    </row>
    <row r="68" spans="1:16" x14ac:dyDescent="0.25">
      <c r="B68" s="7"/>
    </row>
    <row r="69" spans="1:16" x14ac:dyDescent="0.25">
      <c r="B69" s="7"/>
      <c r="C69" s="7"/>
      <c r="D69" s="7"/>
      <c r="E69" s="7"/>
      <c r="F69" s="7"/>
      <c r="G69" s="7"/>
      <c r="H69" s="7"/>
    </row>
    <row r="70" spans="1:16" x14ac:dyDescent="0.25">
      <c r="O70" s="7"/>
      <c r="P70" s="7"/>
    </row>
    <row r="71" spans="1:16" x14ac:dyDescent="0.25">
      <c r="A71" s="36"/>
      <c r="B71" s="2" t="s">
        <v>1</v>
      </c>
      <c r="C71" s="3"/>
      <c r="D71" s="3"/>
      <c r="E71" s="3"/>
      <c r="F71" s="3"/>
      <c r="G71" s="3"/>
      <c r="O71" s="7"/>
      <c r="P71" s="7"/>
    </row>
    <row r="72" spans="1:16" x14ac:dyDescent="0.25">
      <c r="A72" s="5" t="s">
        <v>2</v>
      </c>
      <c r="B72" s="6" t="s">
        <v>269</v>
      </c>
      <c r="C72" s="6" t="s">
        <v>270</v>
      </c>
      <c r="D72" s="6" t="s">
        <v>3</v>
      </c>
      <c r="E72" s="6" t="s">
        <v>4</v>
      </c>
      <c r="F72" s="6" t="s">
        <v>271</v>
      </c>
      <c r="G72" s="6" t="s">
        <v>272</v>
      </c>
      <c r="O72" s="7"/>
      <c r="P72" s="7"/>
    </row>
    <row r="73" spans="1:16" x14ac:dyDescent="0.25">
      <c r="A73" s="36"/>
      <c r="B73" s="2"/>
      <c r="C73" s="2"/>
      <c r="D73" s="3"/>
      <c r="E73" s="3"/>
      <c r="F73" s="3"/>
      <c r="G73" s="3"/>
      <c r="O73" s="7"/>
      <c r="P73" s="7"/>
    </row>
    <row r="74" spans="1:16" x14ac:dyDescent="0.25">
      <c r="A74" s="36" t="s">
        <v>72</v>
      </c>
      <c r="B74" s="3"/>
      <c r="C74" s="3"/>
      <c r="D74" s="3"/>
      <c r="E74" s="3"/>
      <c r="F74" s="3"/>
      <c r="G74" s="3"/>
      <c r="O74" s="7"/>
      <c r="P74" s="7"/>
    </row>
    <row r="75" spans="1:16" x14ac:dyDescent="0.25">
      <c r="A75" s="36" t="s">
        <v>73</v>
      </c>
      <c r="B75" s="2">
        <v>1.7143010000000001</v>
      </c>
      <c r="C75" s="2">
        <v>5.4682099999999997E-2</v>
      </c>
      <c r="D75" s="2">
        <v>16.899999999999999</v>
      </c>
      <c r="E75" s="2">
        <v>0</v>
      </c>
      <c r="F75" s="2">
        <v>1.6104080000000001</v>
      </c>
      <c r="G75" s="2">
        <v>1.8248979999999999</v>
      </c>
      <c r="O75" s="7"/>
      <c r="P75" s="7"/>
    </row>
    <row r="76" spans="1:16" x14ac:dyDescent="0.25">
      <c r="A76" s="36"/>
      <c r="B76" s="3"/>
      <c r="C76" s="3"/>
      <c r="D76" s="3"/>
      <c r="E76" s="3"/>
      <c r="F76" s="3"/>
      <c r="G76" s="3"/>
      <c r="O76" s="7"/>
      <c r="P76" s="7"/>
    </row>
    <row r="77" spans="1:16" x14ac:dyDescent="0.25">
      <c r="A77" s="36" t="s">
        <v>74</v>
      </c>
      <c r="B77" s="3"/>
      <c r="C77" s="3"/>
      <c r="D77" s="3"/>
      <c r="E77" s="3"/>
      <c r="F77" s="3"/>
      <c r="G77" s="3"/>
      <c r="O77" s="7"/>
      <c r="P77" s="7"/>
    </row>
    <row r="78" spans="1:16" x14ac:dyDescent="0.25">
      <c r="A78" s="36" t="s">
        <v>75</v>
      </c>
      <c r="B78" s="2">
        <v>0.79786919999999995</v>
      </c>
      <c r="C78" s="2">
        <v>2.7044100000000001E-2</v>
      </c>
      <c r="D78" s="2">
        <v>-6.66</v>
      </c>
      <c r="E78" s="2">
        <v>0</v>
      </c>
      <c r="F78" s="2">
        <v>0.74658599999999997</v>
      </c>
      <c r="G78" s="2">
        <v>0.85267510000000002</v>
      </c>
      <c r="O78" s="7"/>
      <c r="P78" s="7"/>
    </row>
    <row r="79" spans="1:16" x14ac:dyDescent="0.25">
      <c r="A79" s="36" t="s">
        <v>76</v>
      </c>
      <c r="B79" s="2">
        <v>0.6692747</v>
      </c>
      <c r="C79" s="2">
        <v>2.9071199999999998E-2</v>
      </c>
      <c r="D79" s="2">
        <v>-9.24</v>
      </c>
      <c r="E79" s="2">
        <v>0</v>
      </c>
      <c r="F79" s="2">
        <v>0.61465420000000004</v>
      </c>
      <c r="G79" s="2">
        <v>0.72874890000000003</v>
      </c>
      <c r="O79" s="7"/>
      <c r="P79" s="7"/>
    </row>
    <row r="80" spans="1:16" x14ac:dyDescent="0.25">
      <c r="A80" s="36" t="s">
        <v>77</v>
      </c>
      <c r="B80" s="2">
        <v>0.59997800000000001</v>
      </c>
      <c r="C80" s="2">
        <v>3.1943699999999998E-2</v>
      </c>
      <c r="D80" s="2">
        <v>-9.6</v>
      </c>
      <c r="E80" s="2">
        <v>0</v>
      </c>
      <c r="F80" s="2">
        <v>0.54052540000000004</v>
      </c>
      <c r="G80" s="2">
        <v>0.66596979999999995</v>
      </c>
      <c r="O80" s="7"/>
      <c r="P80" s="9"/>
    </row>
    <row r="81" spans="1:7" x14ac:dyDescent="0.25">
      <c r="A81" s="36" t="s">
        <v>78</v>
      </c>
      <c r="B81" s="2">
        <v>0.55584610000000001</v>
      </c>
      <c r="C81" s="2">
        <v>3.2452000000000002E-2</v>
      </c>
      <c r="D81" s="2">
        <v>-10.06</v>
      </c>
      <c r="E81" s="2">
        <v>0</v>
      </c>
      <c r="F81" s="2">
        <v>0.49574550000000001</v>
      </c>
      <c r="G81" s="2">
        <v>0.62323280000000003</v>
      </c>
    </row>
    <row r="82" spans="1:7" x14ac:dyDescent="0.25">
      <c r="A82" s="36" t="s">
        <v>79</v>
      </c>
      <c r="B82" s="2">
        <v>0.53362540000000003</v>
      </c>
      <c r="C82" s="2">
        <v>3.9571599999999998E-2</v>
      </c>
      <c r="D82" s="2">
        <v>-8.4700000000000006</v>
      </c>
      <c r="E82" s="2">
        <v>0</v>
      </c>
      <c r="F82" s="2">
        <v>0.4614393</v>
      </c>
      <c r="G82" s="2">
        <v>0.61710399999999999</v>
      </c>
    </row>
    <row r="83" spans="1:7" x14ac:dyDescent="0.25">
      <c r="A83" s="36" t="s">
        <v>80</v>
      </c>
      <c r="B83" s="2">
        <v>0.39726460000000002</v>
      </c>
      <c r="C83" s="2">
        <v>3.0767699999999999E-2</v>
      </c>
      <c r="D83" s="2">
        <v>-11.92</v>
      </c>
      <c r="E83" s="2">
        <v>0</v>
      </c>
      <c r="F83" s="2">
        <v>0.34131479999999997</v>
      </c>
      <c r="G83" s="2">
        <v>0.46238580000000001</v>
      </c>
    </row>
    <row r="84" spans="1:7" x14ac:dyDescent="0.25">
      <c r="A84" s="36" t="s">
        <v>86</v>
      </c>
      <c r="B84" s="2">
        <v>0.30930780000000002</v>
      </c>
      <c r="C84" s="2">
        <v>2.5656700000000001E-2</v>
      </c>
      <c r="D84" s="2">
        <v>-14.15</v>
      </c>
      <c r="E84" s="2">
        <v>0</v>
      </c>
      <c r="F84" s="2">
        <v>0.26289639999999997</v>
      </c>
      <c r="G84" s="2">
        <v>0.36391259999999997</v>
      </c>
    </row>
    <row r="85" spans="1:7" x14ac:dyDescent="0.25">
      <c r="A85" s="36" t="s">
        <v>87</v>
      </c>
      <c r="B85" s="2">
        <v>0.19733020000000001</v>
      </c>
      <c r="C85" s="2">
        <v>3.0340800000000001E-2</v>
      </c>
      <c r="D85" s="2">
        <v>-10.55</v>
      </c>
      <c r="E85" s="2">
        <v>0</v>
      </c>
      <c r="F85" s="2">
        <v>0.1459876</v>
      </c>
      <c r="G85" s="2">
        <v>0.26672960000000001</v>
      </c>
    </row>
    <row r="86" spans="1:7" x14ac:dyDescent="0.25">
      <c r="A86" s="36" t="s">
        <v>88</v>
      </c>
      <c r="B86" s="2">
        <v>4.9666000000000002E-2</v>
      </c>
      <c r="C86" s="2">
        <v>1.39826E-2</v>
      </c>
      <c r="D86" s="2">
        <v>-10.66</v>
      </c>
      <c r="E86" s="2">
        <v>0</v>
      </c>
      <c r="F86" s="2">
        <v>2.86035E-2</v>
      </c>
      <c r="G86" s="2">
        <v>8.6238200000000001E-2</v>
      </c>
    </row>
    <row r="87" spans="1:7" x14ac:dyDescent="0.25">
      <c r="A87" s="36"/>
      <c r="B87" s="3"/>
      <c r="C87" s="3"/>
      <c r="D87" s="3"/>
      <c r="E87" s="3"/>
      <c r="F87" s="3"/>
      <c r="G87" s="3"/>
    </row>
    <row r="88" spans="1:7" x14ac:dyDescent="0.25">
      <c r="A88" s="36" t="s">
        <v>113</v>
      </c>
      <c r="B88" s="3"/>
      <c r="C88" s="3"/>
      <c r="D88" s="3"/>
      <c r="E88" s="3"/>
      <c r="F88" s="3"/>
      <c r="G88" s="3"/>
    </row>
    <row r="89" spans="1:7" x14ac:dyDescent="0.25">
      <c r="A89" s="36">
        <v>2</v>
      </c>
      <c r="B89" s="2">
        <v>0.95356640000000004</v>
      </c>
      <c r="C89" s="2">
        <v>2.3894599999999998E-2</v>
      </c>
      <c r="D89" s="2">
        <v>-1.9</v>
      </c>
      <c r="E89" s="2">
        <v>5.8000000000000003E-2</v>
      </c>
      <c r="F89" s="2">
        <v>0.90786520000000004</v>
      </c>
      <c r="G89" s="2">
        <v>1.001568</v>
      </c>
    </row>
    <row r="90" spans="1:7" x14ac:dyDescent="0.25">
      <c r="A90" s="36">
        <v>3</v>
      </c>
      <c r="B90" s="2">
        <v>1.4830099999999999</v>
      </c>
      <c r="C90" s="2">
        <v>0.1054534</v>
      </c>
      <c r="D90" s="2">
        <v>5.54</v>
      </c>
      <c r="E90" s="2">
        <v>0</v>
      </c>
      <c r="F90" s="2">
        <v>1.290081</v>
      </c>
      <c r="G90" s="2">
        <v>1.7047909999999999</v>
      </c>
    </row>
    <row r="91" spans="1:7" x14ac:dyDescent="0.25">
      <c r="A91" s="36"/>
      <c r="B91" s="3"/>
      <c r="C91" s="3"/>
      <c r="D91" s="3"/>
      <c r="E91" s="3"/>
      <c r="F91" s="3"/>
      <c r="G91" s="3"/>
    </row>
    <row r="92" spans="1:7" x14ac:dyDescent="0.25">
      <c r="A92" s="36" t="s">
        <v>108</v>
      </c>
      <c r="B92" s="3"/>
      <c r="C92" s="3"/>
      <c r="D92" s="3"/>
      <c r="E92" s="3"/>
      <c r="F92" s="3"/>
      <c r="G92" s="3"/>
    </row>
    <row r="93" spans="1:7" x14ac:dyDescent="0.25">
      <c r="A93" s="36">
        <v>2</v>
      </c>
      <c r="B93" s="2">
        <v>1.2324029999999999</v>
      </c>
      <c r="C93" s="2">
        <v>3.2401699999999999E-2</v>
      </c>
      <c r="D93" s="2">
        <v>7.95</v>
      </c>
      <c r="E93" s="2">
        <v>0</v>
      </c>
      <c r="F93" s="2">
        <v>1.1705049999999999</v>
      </c>
      <c r="G93" s="2">
        <v>1.297574</v>
      </c>
    </row>
    <row r="94" spans="1:7" x14ac:dyDescent="0.25">
      <c r="A94" s="36" t="s">
        <v>109</v>
      </c>
      <c r="B94" s="2">
        <v>1.662501</v>
      </c>
      <c r="C94" s="2">
        <v>6.1571300000000002E-2</v>
      </c>
      <c r="D94" s="2">
        <v>13.73</v>
      </c>
      <c r="E94" s="2">
        <v>0</v>
      </c>
      <c r="F94" s="2">
        <v>1.5460989999999999</v>
      </c>
      <c r="G94" s="2">
        <v>1.787666</v>
      </c>
    </row>
    <row r="95" spans="1:7" x14ac:dyDescent="0.25">
      <c r="A95" s="36"/>
      <c r="B95" s="3"/>
      <c r="C95" s="3"/>
      <c r="D95" s="3"/>
      <c r="E95" s="3"/>
      <c r="F95" s="3"/>
      <c r="G95" s="3"/>
    </row>
    <row r="96" spans="1:7" x14ac:dyDescent="0.25">
      <c r="A96" s="36" t="s">
        <v>81</v>
      </c>
      <c r="B96" s="3"/>
      <c r="C96" s="3"/>
      <c r="D96" s="3"/>
      <c r="E96" s="3"/>
      <c r="F96" s="3"/>
      <c r="G96" s="3"/>
    </row>
    <row r="97" spans="1:7" x14ac:dyDescent="0.25">
      <c r="A97" s="38" t="s">
        <v>315</v>
      </c>
      <c r="B97" s="2">
        <v>0.49281950000000002</v>
      </c>
      <c r="C97" s="2">
        <v>1.34684E-2</v>
      </c>
      <c r="D97" s="2">
        <v>-25.89</v>
      </c>
      <c r="E97" s="2">
        <v>0</v>
      </c>
      <c r="F97" s="2">
        <v>0.46711649999999999</v>
      </c>
      <c r="G97" s="2">
        <v>0.51993690000000004</v>
      </c>
    </row>
    <row r="98" spans="1:7" x14ac:dyDescent="0.25">
      <c r="A98" s="38" t="s">
        <v>316</v>
      </c>
      <c r="B98" s="2">
        <v>0.31594919999999999</v>
      </c>
      <c r="C98" s="2">
        <v>1.29593E-2</v>
      </c>
      <c r="D98" s="2">
        <v>-28.09</v>
      </c>
      <c r="E98" s="2">
        <v>0</v>
      </c>
      <c r="F98" s="2">
        <v>0.29154360000000001</v>
      </c>
      <c r="G98" s="2">
        <v>0.34239770000000003</v>
      </c>
    </row>
    <row r="99" spans="1:7" x14ac:dyDescent="0.25">
      <c r="A99" s="38" t="s">
        <v>317</v>
      </c>
      <c r="B99" s="2">
        <v>0.27757979999999999</v>
      </c>
      <c r="C99" s="2">
        <v>1.2154099999999999E-2</v>
      </c>
      <c r="D99" s="2">
        <v>-29.27</v>
      </c>
      <c r="E99" s="2">
        <v>0</v>
      </c>
      <c r="F99" s="2">
        <v>0.25475179999999997</v>
      </c>
      <c r="G99" s="2">
        <v>0.30245339999999998</v>
      </c>
    </row>
    <row r="100" spans="1:7" x14ac:dyDescent="0.25">
      <c r="A100" s="38" t="s">
        <v>82</v>
      </c>
      <c r="B100" s="2">
        <v>0.4266781</v>
      </c>
      <c r="C100" s="2">
        <v>2.02775E-2</v>
      </c>
      <c r="D100" s="2">
        <v>-17.920000000000002</v>
      </c>
      <c r="E100" s="2">
        <v>0</v>
      </c>
      <c r="F100" s="2">
        <v>0.38872960000000001</v>
      </c>
      <c r="G100" s="2">
        <v>0.4683311</v>
      </c>
    </row>
    <row r="101" spans="1:7" x14ac:dyDescent="0.25">
      <c r="A101" s="36"/>
      <c r="B101" s="3"/>
      <c r="C101" s="3"/>
      <c r="D101" s="3"/>
      <c r="E101" s="3"/>
      <c r="F101" s="3"/>
      <c r="G101" s="3"/>
    </row>
    <row r="102" spans="1:7" x14ac:dyDescent="0.25">
      <c r="A102" s="36" t="s">
        <v>5</v>
      </c>
      <c r="B102" s="3"/>
      <c r="C102" s="3"/>
      <c r="D102" s="3"/>
      <c r="E102" s="3"/>
      <c r="F102" s="3"/>
      <c r="G102" s="3"/>
    </row>
    <row r="103" spans="1:7" x14ac:dyDescent="0.25">
      <c r="A103" s="36" t="s">
        <v>46</v>
      </c>
      <c r="B103" s="2">
        <v>3.0710600000000001E-2</v>
      </c>
      <c r="C103" s="2">
        <v>7.8960999999999996E-3</v>
      </c>
      <c r="D103" s="2">
        <v>-13.55</v>
      </c>
      <c r="E103" s="2">
        <v>0</v>
      </c>
      <c r="F103" s="2">
        <f>B103-0.0185538</f>
        <v>1.2156800000000002E-2</v>
      </c>
      <c r="G103" s="2">
        <f>0.0508329-B103</f>
        <v>2.0122299999999999E-2</v>
      </c>
    </row>
    <row r="104" spans="1:7" x14ac:dyDescent="0.25">
      <c r="A104" s="36" t="s">
        <v>16</v>
      </c>
      <c r="B104" s="2">
        <v>8.0262500000000001E-2</v>
      </c>
      <c r="C104" s="2">
        <v>1.81961E-2</v>
      </c>
      <c r="D104" s="2">
        <v>-11.13</v>
      </c>
      <c r="E104" s="2">
        <v>0</v>
      </c>
      <c r="F104" s="2">
        <f>B104-0.0514681</f>
        <v>2.8794399999999998E-2</v>
      </c>
      <c r="G104" s="2">
        <f>0.1251661-B104</f>
        <v>4.4903600000000002E-2</v>
      </c>
    </row>
    <row r="105" spans="1:7" x14ac:dyDescent="0.25">
      <c r="A105" s="36" t="s">
        <v>17</v>
      </c>
      <c r="B105" s="2">
        <v>9.3861299999999995E-2</v>
      </c>
      <c r="C105" s="2">
        <v>1.5314400000000001E-2</v>
      </c>
      <c r="D105" s="2">
        <v>-14.5</v>
      </c>
      <c r="E105" s="2">
        <v>0</v>
      </c>
      <c r="F105" s="2">
        <f>B105-0.0681718</f>
        <v>2.568949999999999E-2</v>
      </c>
      <c r="G105" s="2">
        <f>0.1292315-B105</f>
        <v>3.5370200000000004E-2</v>
      </c>
    </row>
    <row r="106" spans="1:7" x14ac:dyDescent="0.25">
      <c r="A106" s="36" t="s">
        <v>18</v>
      </c>
      <c r="B106" s="2">
        <v>7.2863499999999998E-2</v>
      </c>
      <c r="C106" s="2">
        <v>2.79843E-2</v>
      </c>
      <c r="D106" s="2">
        <v>-6.82</v>
      </c>
      <c r="E106" s="2">
        <v>0</v>
      </c>
      <c r="F106" s="2">
        <f>B106-0.0343237</f>
        <v>3.8539799999999999E-2</v>
      </c>
      <c r="G106" s="2">
        <f>0.1546771-B106</f>
        <v>8.1813600000000014E-2</v>
      </c>
    </row>
    <row r="107" spans="1:7" x14ac:dyDescent="0.25">
      <c r="A107" s="36" t="s">
        <v>19</v>
      </c>
      <c r="B107" s="2">
        <v>0.11708250000000001</v>
      </c>
      <c r="C107" s="2">
        <v>1.6530199999999998E-2</v>
      </c>
      <c r="D107" s="2">
        <v>-15.19</v>
      </c>
      <c r="E107" s="2">
        <v>0</v>
      </c>
      <c r="F107" s="2">
        <f>B107-0.0887802</f>
        <v>2.8302300000000002E-2</v>
      </c>
      <c r="G107" s="2">
        <f>0.1544074-B107</f>
        <v>3.7324899999999994E-2</v>
      </c>
    </row>
    <row r="108" spans="1:7" x14ac:dyDescent="0.25">
      <c r="A108" s="36" t="s">
        <v>20</v>
      </c>
      <c r="B108" s="2">
        <v>0.15435090000000001</v>
      </c>
      <c r="C108" s="2">
        <v>2.4361000000000001E-2</v>
      </c>
      <c r="D108" s="2">
        <v>-11.84</v>
      </c>
      <c r="E108" s="2">
        <v>0</v>
      </c>
      <c r="F108" s="2">
        <f>B108-0.1132831</f>
        <v>4.1067800000000015E-2</v>
      </c>
      <c r="G108" s="2">
        <f>0.2103067-B108</f>
        <v>5.59558E-2</v>
      </c>
    </row>
    <row r="109" spans="1:7" x14ac:dyDescent="0.25">
      <c r="A109" s="36" t="s">
        <v>21</v>
      </c>
      <c r="B109" s="2">
        <v>0.1670731</v>
      </c>
      <c r="C109" s="2">
        <v>2.1145199999999999E-2</v>
      </c>
      <c r="D109" s="2">
        <v>-14.14</v>
      </c>
      <c r="E109" s="2">
        <v>0</v>
      </c>
      <c r="F109" s="2">
        <f>B109-0.1303695</f>
        <v>3.6703600000000003E-2</v>
      </c>
      <c r="G109" s="2">
        <f>0.21411-B109</f>
        <v>4.7036899999999993E-2</v>
      </c>
    </row>
    <row r="110" spans="1:7" x14ac:dyDescent="0.25">
      <c r="A110" s="36" t="s">
        <v>22</v>
      </c>
      <c r="B110" s="2">
        <v>0.3122723</v>
      </c>
      <c r="C110" s="2">
        <v>6.2410199999999999E-2</v>
      </c>
      <c r="D110" s="2">
        <v>-5.82</v>
      </c>
      <c r="E110" s="2">
        <v>0</v>
      </c>
      <c r="F110" s="2">
        <f>B110-0.2110638</f>
        <v>0.10120850000000001</v>
      </c>
      <c r="G110" s="2">
        <f>0.4620119-B110</f>
        <v>0.14973959999999997</v>
      </c>
    </row>
    <row r="111" spans="1:7" x14ac:dyDescent="0.25">
      <c r="A111" s="36" t="s">
        <v>23</v>
      </c>
      <c r="B111" s="2">
        <v>0.81957769999999996</v>
      </c>
      <c r="C111" s="2">
        <v>6.3361799999999996E-2</v>
      </c>
      <c r="D111" s="2">
        <v>-2.57</v>
      </c>
      <c r="E111" s="2">
        <v>0.01</v>
      </c>
      <c r="F111" s="2">
        <f>B111-0.7043419</f>
        <v>0.1152358</v>
      </c>
      <c r="G111" s="2">
        <f>0.953667-B111</f>
        <v>0.13408930000000008</v>
      </c>
    </row>
    <row r="112" spans="1:7" x14ac:dyDescent="0.25">
      <c r="A112" s="36" t="s">
        <v>24</v>
      </c>
      <c r="B112" s="2">
        <v>1.031064</v>
      </c>
      <c r="C112" s="2">
        <v>8.7664800000000001E-2</v>
      </c>
      <c r="D112" s="2">
        <v>0.36</v>
      </c>
      <c r="E112" s="2">
        <v>0.71899999999999997</v>
      </c>
      <c r="F112" s="2">
        <f>B112-0.8727973</f>
        <v>0.15826669999999998</v>
      </c>
      <c r="G112" s="2">
        <f>1.21803-B112</f>
        <v>0.18696599999999997</v>
      </c>
    </row>
    <row r="113" spans="1:7" x14ac:dyDescent="0.25">
      <c r="A113" s="36" t="s">
        <v>25</v>
      </c>
      <c r="B113" s="2">
        <v>1.186407</v>
      </c>
      <c r="C113" s="2">
        <v>9.28422E-2</v>
      </c>
      <c r="D113" s="2">
        <v>2.1800000000000002</v>
      </c>
      <c r="E113" s="2">
        <v>2.9000000000000001E-2</v>
      </c>
      <c r="F113" s="2">
        <f>B113-1.017707</f>
        <v>0.16870000000000007</v>
      </c>
      <c r="G113" s="2">
        <f>1.38307-B113</f>
        <v>0.19666300000000003</v>
      </c>
    </row>
    <row r="114" spans="1:7" x14ac:dyDescent="0.25">
      <c r="A114" s="36" t="s">
        <v>26</v>
      </c>
      <c r="B114" s="2">
        <v>1.0096799999999999</v>
      </c>
      <c r="C114" s="2">
        <v>0.125607</v>
      </c>
      <c r="D114" s="2">
        <v>0.08</v>
      </c>
      <c r="E114" s="2">
        <v>0.93799999999999994</v>
      </c>
      <c r="F114" s="2">
        <f>B114-0.7912106</f>
        <v>0.21846939999999992</v>
      </c>
      <c r="G114" s="2">
        <f>1.288474-B114</f>
        <v>0.27879399999999999</v>
      </c>
    </row>
    <row r="115" spans="1:7" x14ac:dyDescent="0.25">
      <c r="A115" s="36" t="s">
        <v>27</v>
      </c>
      <c r="B115" s="2">
        <v>0.36852210000000002</v>
      </c>
      <c r="C115" s="2">
        <v>3.4380000000000001E-2</v>
      </c>
      <c r="D115" s="2">
        <v>-10.7</v>
      </c>
      <c r="E115" s="2">
        <v>0</v>
      </c>
      <c r="F115" s="2">
        <f>B115-0.3069401</f>
        <v>6.1582000000000026E-2</v>
      </c>
      <c r="G115" s="2">
        <f>0.4424593-B115</f>
        <v>7.3937199999999981E-2</v>
      </c>
    </row>
    <row r="116" spans="1:7" x14ac:dyDescent="0.25">
      <c r="A116" s="36" t="s">
        <v>28</v>
      </c>
      <c r="B116" s="2">
        <v>0.4476176</v>
      </c>
      <c r="C116" s="2">
        <v>4.72051E-2</v>
      </c>
      <c r="D116" s="2">
        <v>-7.62</v>
      </c>
      <c r="E116" s="2">
        <v>0</v>
      </c>
      <c r="F116" s="2">
        <f>B116-0.364033</f>
        <v>8.3584600000000009E-2</v>
      </c>
      <c r="G116" s="2">
        <f>0.5503938-B116</f>
        <v>0.10277620000000004</v>
      </c>
    </row>
    <row r="117" spans="1:7" x14ac:dyDescent="0.25">
      <c r="A117" s="36" t="s">
        <v>29</v>
      </c>
      <c r="B117" s="2">
        <v>0.4336391</v>
      </c>
      <c r="C117" s="2">
        <v>4.0646099999999998E-2</v>
      </c>
      <c r="D117" s="2">
        <v>-8.91</v>
      </c>
      <c r="E117" s="2">
        <v>0</v>
      </c>
      <c r="F117" s="2">
        <f>B117-0.3608636</f>
        <v>7.2775499999999993E-2</v>
      </c>
      <c r="G117" s="2">
        <f>0.5210913-B117</f>
        <v>8.7452200000000035E-2</v>
      </c>
    </row>
    <row r="118" spans="1:7" x14ac:dyDescent="0.25">
      <c r="A118" s="36" t="s">
        <v>30</v>
      </c>
      <c r="B118" s="2">
        <v>0.34349950000000001</v>
      </c>
      <c r="C118" s="2">
        <v>6.3796000000000005E-2</v>
      </c>
      <c r="D118" s="2">
        <v>-5.75</v>
      </c>
      <c r="E118" s="2">
        <v>0</v>
      </c>
      <c r="F118" s="2">
        <f>B118-0.238692</f>
        <v>0.10480750000000003</v>
      </c>
      <c r="G118" s="2">
        <f>0.494327-B118</f>
        <v>0.1508275</v>
      </c>
    </row>
    <row r="119" spans="1:7" x14ac:dyDescent="0.25">
      <c r="A119" s="36" t="s">
        <v>67</v>
      </c>
      <c r="B119" s="2">
        <v>1.7332050000000001</v>
      </c>
      <c r="C119" s="2">
        <v>0.14489869999999999</v>
      </c>
      <c r="D119" s="2">
        <v>6.58</v>
      </c>
      <c r="E119" s="2">
        <v>0</v>
      </c>
      <c r="F119" s="2">
        <f>B119-1.471256</f>
        <v>0.26194900000000021</v>
      </c>
      <c r="G119" s="2">
        <f>2.041793-B119</f>
        <v>0.30858800000000008</v>
      </c>
    </row>
    <row r="120" spans="1:7" x14ac:dyDescent="0.25">
      <c r="A120" s="36" t="s">
        <v>31</v>
      </c>
      <c r="B120" s="2">
        <v>2.957363</v>
      </c>
      <c r="C120" s="2">
        <v>0.2308356</v>
      </c>
      <c r="D120" s="2">
        <v>13.89</v>
      </c>
      <c r="E120" s="2">
        <v>0</v>
      </c>
      <c r="F120" s="2">
        <f>B120-2.537842</f>
        <v>0.41952100000000003</v>
      </c>
      <c r="G120" s="2">
        <f>3.446234-B120</f>
        <v>0.48887100000000006</v>
      </c>
    </row>
    <row r="121" spans="1:7" x14ac:dyDescent="0.25">
      <c r="A121" s="36" t="s">
        <v>32</v>
      </c>
      <c r="B121" s="2">
        <v>3.3883920000000001</v>
      </c>
      <c r="C121" s="2">
        <v>0.24280160000000001</v>
      </c>
      <c r="D121" s="2">
        <v>17.03</v>
      </c>
      <c r="E121" s="2">
        <v>0</v>
      </c>
      <c r="F121" s="2">
        <f>B121-2.944416</f>
        <v>0.44397600000000015</v>
      </c>
      <c r="G121" s="2">
        <f>3.899313-B121</f>
        <v>0.51092099999999974</v>
      </c>
    </row>
    <row r="122" spans="1:7" x14ac:dyDescent="0.25">
      <c r="A122" s="36" t="s">
        <v>33</v>
      </c>
      <c r="B122" s="2">
        <v>3.4870399999999999</v>
      </c>
      <c r="C122" s="2">
        <v>0.3391458</v>
      </c>
      <c r="D122" s="2">
        <v>12.84</v>
      </c>
      <c r="E122" s="2">
        <v>0</v>
      </c>
      <c r="F122" s="2">
        <f>B122-2.881841</f>
        <v>0.60519899999999982</v>
      </c>
      <c r="G122" s="2">
        <f>4.219334-B122</f>
        <v>0.732294</v>
      </c>
    </row>
    <row r="123" spans="1:7" x14ac:dyDescent="0.25">
      <c r="A123" s="36" t="s">
        <v>34</v>
      </c>
      <c r="B123" s="2">
        <v>1</v>
      </c>
      <c r="C123" s="2"/>
      <c r="D123" s="2"/>
      <c r="E123" s="2"/>
      <c r="F123" s="2">
        <v>0</v>
      </c>
      <c r="G123" s="2">
        <v>0</v>
      </c>
    </row>
    <row r="124" spans="1:7" x14ac:dyDescent="0.25">
      <c r="A124" s="36" t="s">
        <v>35</v>
      </c>
      <c r="B124" s="2">
        <v>1.734904</v>
      </c>
      <c r="C124" s="2">
        <v>0.13541690000000001</v>
      </c>
      <c r="D124" s="2">
        <v>7.06</v>
      </c>
      <c r="E124" s="2">
        <v>0</v>
      </c>
      <c r="F124" s="2">
        <f>B124-1.488797</f>
        <v>0.24610700000000008</v>
      </c>
      <c r="G124" s="2">
        <f>2.021694-B124</f>
        <v>0.2867900000000001</v>
      </c>
    </row>
    <row r="125" spans="1:7" x14ac:dyDescent="0.25">
      <c r="A125" s="36" t="s">
        <v>36</v>
      </c>
      <c r="B125" s="2">
        <v>1.269004</v>
      </c>
      <c r="C125" s="2">
        <v>9.8018400000000006E-2</v>
      </c>
      <c r="D125" s="2">
        <v>3.08</v>
      </c>
      <c r="E125" s="2">
        <v>2E-3</v>
      </c>
      <c r="F125" s="2">
        <f>B125-1.090727</f>
        <v>0.17827700000000002</v>
      </c>
      <c r="G125" s="2">
        <f>1.476421-B125</f>
        <v>0.20741699999999996</v>
      </c>
    </row>
    <row r="126" spans="1:7" x14ac:dyDescent="0.25">
      <c r="A126" s="36" t="s">
        <v>37</v>
      </c>
      <c r="B126" s="2">
        <v>2.175497</v>
      </c>
      <c r="C126" s="2">
        <v>0.23657130000000001</v>
      </c>
      <c r="D126" s="2">
        <v>7.15</v>
      </c>
      <c r="E126" s="2">
        <v>0</v>
      </c>
      <c r="F126" s="2">
        <f>B126-1.757906</f>
        <v>0.41759100000000005</v>
      </c>
      <c r="G126" s="2">
        <f>2.692286-B126</f>
        <v>0.51678900000000016</v>
      </c>
    </row>
    <row r="127" spans="1:7" x14ac:dyDescent="0.25">
      <c r="A127" s="36" t="s">
        <v>50</v>
      </c>
      <c r="B127" s="2">
        <v>9.9808099999999997E-2</v>
      </c>
      <c r="C127" s="2">
        <v>1.49348E-2</v>
      </c>
      <c r="D127" s="2">
        <v>-15.4</v>
      </c>
      <c r="E127" s="2">
        <v>0</v>
      </c>
      <c r="F127" s="2">
        <f>B127-0.0744382</f>
        <v>2.5369900000000001E-2</v>
      </c>
      <c r="G127" s="2">
        <f>0.1338243-B127</f>
        <v>3.401620000000001E-2</v>
      </c>
    </row>
    <row r="128" spans="1:7" x14ac:dyDescent="0.25">
      <c r="A128" s="36" t="s">
        <v>51</v>
      </c>
      <c r="B128" s="2">
        <v>0.14200280000000001</v>
      </c>
      <c r="C128" s="2">
        <v>2.28843E-2</v>
      </c>
      <c r="D128" s="2">
        <v>-12.11</v>
      </c>
      <c r="E128" s="2">
        <v>0</v>
      </c>
      <c r="F128" s="2">
        <f>B128-0.1035435</f>
        <v>3.8459300000000016E-2</v>
      </c>
      <c r="G128" s="2">
        <f>0.1947472-B128</f>
        <v>5.2744399999999997E-2</v>
      </c>
    </row>
    <row r="129" spans="1:11" x14ac:dyDescent="0.25">
      <c r="A129" s="36" t="s">
        <v>52</v>
      </c>
      <c r="B129" s="2">
        <v>0.14642359999999999</v>
      </c>
      <c r="C129" s="2">
        <v>1.9268299999999999E-2</v>
      </c>
      <c r="D129" s="2">
        <v>-14.6</v>
      </c>
      <c r="E129" s="2">
        <v>0</v>
      </c>
      <c r="F129" s="2">
        <f>B129-0.1131355</f>
        <v>3.3288099999999987E-2</v>
      </c>
      <c r="G129" s="2">
        <f>0.1895061-B129</f>
        <v>4.3082500000000024E-2</v>
      </c>
    </row>
    <row r="130" spans="1:11" x14ac:dyDescent="0.25">
      <c r="A130" s="36" t="s">
        <v>53</v>
      </c>
      <c r="B130" s="2">
        <v>0.17695430000000001</v>
      </c>
      <c r="C130" s="2">
        <v>4.4333699999999997E-2</v>
      </c>
      <c r="D130" s="2">
        <v>-6.91</v>
      </c>
      <c r="E130" s="2">
        <v>0</v>
      </c>
      <c r="F130" s="2">
        <f>B130-0.1082937</f>
        <v>6.8660600000000002E-2</v>
      </c>
      <c r="G130" s="2">
        <f>0.2891472-B130</f>
        <v>0.11219289999999998</v>
      </c>
    </row>
    <row r="131" spans="1:11" x14ac:dyDescent="0.25">
      <c r="A131" s="36" t="s">
        <v>54</v>
      </c>
      <c r="B131" s="2">
        <v>0.1247601</v>
      </c>
      <c r="C131" s="2">
        <v>1.7614500000000002E-2</v>
      </c>
      <c r="D131" s="2">
        <v>-14.74</v>
      </c>
      <c r="E131" s="2">
        <v>0</v>
      </c>
      <c r="F131" s="2">
        <f>B131-0.0946013</f>
        <v>3.0158799999999999E-2</v>
      </c>
      <c r="G131" s="2">
        <f>0.1645335-B131</f>
        <v>3.97734E-2</v>
      </c>
    </row>
    <row r="132" spans="1:11" x14ac:dyDescent="0.25">
      <c r="A132" s="36" t="s">
        <v>55</v>
      </c>
      <c r="B132" s="2">
        <v>0.16669900000000001</v>
      </c>
      <c r="C132" s="2">
        <v>2.5449300000000001E-2</v>
      </c>
      <c r="D132" s="2">
        <v>-11.74</v>
      </c>
      <c r="E132" s="2">
        <v>0</v>
      </c>
      <c r="F132" s="2">
        <f>B132-0.1235899</f>
        <v>4.3109100000000011E-2</v>
      </c>
      <c r="G132" s="2">
        <f>0.2248447-B132</f>
        <v>5.8145699999999995E-2</v>
      </c>
    </row>
    <row r="133" spans="1:11" x14ac:dyDescent="0.25">
      <c r="A133" s="36" t="s">
        <v>56</v>
      </c>
      <c r="B133" s="2">
        <v>0.1520553</v>
      </c>
      <c r="C133" s="2">
        <v>1.9806899999999999E-2</v>
      </c>
      <c r="D133" s="2">
        <v>-14.46</v>
      </c>
      <c r="E133" s="2">
        <v>0</v>
      </c>
      <c r="F133" s="2">
        <f>B133-0.117794</f>
        <v>3.4261300000000008E-2</v>
      </c>
      <c r="G133" s="2">
        <f>0.1962817-B133</f>
        <v>4.4226399999999999E-2</v>
      </c>
    </row>
    <row r="134" spans="1:11" x14ac:dyDescent="0.25">
      <c r="A134" s="36" t="s">
        <v>57</v>
      </c>
      <c r="B134" s="2">
        <v>0.24981780000000001</v>
      </c>
      <c r="C134" s="2">
        <v>5.36921E-2</v>
      </c>
      <c r="D134" s="2">
        <v>-6.45</v>
      </c>
      <c r="E134" s="2">
        <v>0</v>
      </c>
      <c r="F134" s="2">
        <f>B134-0.1639377</f>
        <v>8.5880100000000015E-2</v>
      </c>
      <c r="G134" s="2">
        <f>0.3806869-B134</f>
        <v>0.13086909999999999</v>
      </c>
    </row>
    <row r="135" spans="1:11" x14ac:dyDescent="0.25">
      <c r="A135" s="36" t="s">
        <v>58</v>
      </c>
      <c r="B135" s="2">
        <v>0.69097889999999995</v>
      </c>
      <c r="C135" s="2">
        <v>6.5130499999999994E-2</v>
      </c>
      <c r="D135" s="2">
        <v>-3.92</v>
      </c>
      <c r="E135" s="2">
        <v>0</v>
      </c>
      <c r="F135" s="2">
        <f>B135-0.5744232</f>
        <v>0.11655569999999993</v>
      </c>
      <c r="G135" s="2">
        <f>0.8311848-B135</f>
        <v>0.14020589999999999</v>
      </c>
    </row>
    <row r="136" spans="1:11" x14ac:dyDescent="0.25">
      <c r="A136" s="36" t="s">
        <v>59</v>
      </c>
      <c r="B136" s="2">
        <v>0.98475869999999999</v>
      </c>
      <c r="C136" s="2">
        <v>9.8163299999999995E-2</v>
      </c>
      <c r="D136" s="2">
        <v>-0.15</v>
      </c>
      <c r="E136" s="2">
        <v>0.878</v>
      </c>
      <c r="F136" s="2">
        <f>B136-0.8099903</f>
        <v>0.17476839999999993</v>
      </c>
      <c r="G136" s="2">
        <f>1.197236-B136</f>
        <v>0.21247729999999998</v>
      </c>
    </row>
    <row r="137" spans="1:11" x14ac:dyDescent="0.25">
      <c r="A137" s="36" t="s">
        <v>60</v>
      </c>
      <c r="B137" s="2">
        <v>1.171389</v>
      </c>
      <c r="C137" s="2">
        <v>9.2467599999999997E-2</v>
      </c>
      <c r="D137" s="2">
        <v>2</v>
      </c>
      <c r="E137" s="2">
        <v>4.4999999999999998E-2</v>
      </c>
      <c r="F137" s="2">
        <f>B137-1.003479</f>
        <v>0.16791</v>
      </c>
      <c r="G137" s="2">
        <f>1.367394-B137</f>
        <v>0.19600499999999998</v>
      </c>
    </row>
    <row r="138" spans="1:11" x14ac:dyDescent="0.25">
      <c r="A138" s="36" t="s">
        <v>61</v>
      </c>
      <c r="B138" s="2">
        <v>1.5301340000000001</v>
      </c>
      <c r="C138" s="2">
        <v>0.18738550000000001</v>
      </c>
      <c r="D138" s="2">
        <v>3.47</v>
      </c>
      <c r="E138" s="2">
        <v>1E-3</v>
      </c>
      <c r="F138" s="2">
        <f>B138-1.203617</f>
        <v>0.32651700000000017</v>
      </c>
      <c r="G138" s="2">
        <f>1.945228-B138</f>
        <v>0.41509399999999985</v>
      </c>
    </row>
    <row r="139" spans="1:11" x14ac:dyDescent="0.25">
      <c r="A139" s="36"/>
      <c r="B139" s="3"/>
      <c r="C139" s="3"/>
      <c r="D139" s="3"/>
      <c r="E139" s="3"/>
      <c r="F139" s="3"/>
      <c r="G139" s="3"/>
    </row>
    <row r="140" spans="1:11" x14ac:dyDescent="0.25">
      <c r="A140" s="5" t="s">
        <v>6</v>
      </c>
      <c r="B140" s="6">
        <v>6.0828000000000002E-3</v>
      </c>
      <c r="C140" s="6">
        <v>3.9899999999999999E-4</v>
      </c>
      <c r="D140" s="6">
        <v>-77.790000000000006</v>
      </c>
      <c r="E140" s="6">
        <v>0</v>
      </c>
      <c r="F140" s="6">
        <v>5.3489999999999996E-3</v>
      </c>
      <c r="G140" s="6">
        <v>6.9173000000000004E-3</v>
      </c>
    </row>
    <row r="142" spans="1:11" ht="15.75" thickBot="1" x14ac:dyDescent="0.3"/>
    <row r="143" spans="1:11" x14ac:dyDescent="0.25">
      <c r="B143" s="10"/>
      <c r="C143" s="11" t="s">
        <v>9</v>
      </c>
      <c r="D143" s="11" t="s">
        <v>10</v>
      </c>
      <c r="E143" s="11" t="s">
        <v>40</v>
      </c>
      <c r="F143" s="11" t="s">
        <v>11</v>
      </c>
      <c r="G143" s="11" t="s">
        <v>89</v>
      </c>
      <c r="H143" s="11" t="s">
        <v>8</v>
      </c>
      <c r="I143" s="11" t="s">
        <v>62</v>
      </c>
      <c r="J143" s="11" t="s">
        <v>63</v>
      </c>
      <c r="K143" s="12" t="s">
        <v>65</v>
      </c>
    </row>
    <row r="144" spans="1:11" x14ac:dyDescent="0.25">
      <c r="B144" s="13" t="s">
        <v>12</v>
      </c>
      <c r="C144" s="14">
        <f>B103</f>
        <v>3.0710600000000001E-2</v>
      </c>
      <c r="D144" s="15">
        <f>B107</f>
        <v>0.11708250000000001</v>
      </c>
      <c r="E144" s="15">
        <f>B111</f>
        <v>0.81957769999999996</v>
      </c>
      <c r="F144" s="15">
        <f>B115</f>
        <v>0.36852210000000002</v>
      </c>
      <c r="G144" s="15">
        <f>B119</f>
        <v>1.7332050000000001</v>
      </c>
      <c r="H144" s="15">
        <f>B123</f>
        <v>1</v>
      </c>
      <c r="I144" s="4">
        <f>B127</f>
        <v>9.9808099999999997E-2</v>
      </c>
      <c r="J144" s="25">
        <f>B131</f>
        <v>0.1247601</v>
      </c>
      <c r="K144" s="17">
        <f>B135</f>
        <v>0.69097889999999995</v>
      </c>
    </row>
    <row r="145" spans="2:11" x14ac:dyDescent="0.25">
      <c r="B145" s="13" t="s">
        <v>13</v>
      </c>
      <c r="C145" s="15">
        <f>B104</f>
        <v>8.0262500000000001E-2</v>
      </c>
      <c r="D145" s="15">
        <f>B108</f>
        <v>0.15435090000000001</v>
      </c>
      <c r="E145" s="15">
        <f>B112</f>
        <v>1.031064</v>
      </c>
      <c r="F145" s="15">
        <f>B116</f>
        <v>0.4476176</v>
      </c>
      <c r="G145" s="15">
        <f>B120</f>
        <v>2.957363</v>
      </c>
      <c r="H145" s="15">
        <f>B124</f>
        <v>1.734904</v>
      </c>
      <c r="I145" s="4">
        <f>B128</f>
        <v>0.14200280000000001</v>
      </c>
      <c r="J145" s="25">
        <f>B132</f>
        <v>0.16669900000000001</v>
      </c>
      <c r="K145" s="18">
        <f>B136</f>
        <v>0.98475869999999999</v>
      </c>
    </row>
    <row r="146" spans="2:11" x14ac:dyDescent="0.25">
      <c r="B146" s="13" t="s">
        <v>14</v>
      </c>
      <c r="C146" s="15">
        <f>B105</f>
        <v>9.3861299999999995E-2</v>
      </c>
      <c r="D146" s="15">
        <f>B109</f>
        <v>0.1670731</v>
      </c>
      <c r="E146" s="15">
        <f>B113</f>
        <v>1.186407</v>
      </c>
      <c r="F146" s="15">
        <f>B117</f>
        <v>0.4336391</v>
      </c>
      <c r="G146" s="15">
        <f>B121</f>
        <v>3.3883920000000001</v>
      </c>
      <c r="H146" s="15">
        <f>B125</f>
        <v>1.269004</v>
      </c>
      <c r="I146" s="4">
        <f>B129</f>
        <v>0.14642359999999999</v>
      </c>
      <c r="J146" s="25">
        <f>B133</f>
        <v>0.1520553</v>
      </c>
      <c r="K146" s="18">
        <f>B137</f>
        <v>1.171389</v>
      </c>
    </row>
    <row r="147" spans="2:11" ht="15.75" thickBot="1" x14ac:dyDescent="0.3">
      <c r="B147" s="19" t="s">
        <v>371</v>
      </c>
      <c r="C147" s="20">
        <f>B106</f>
        <v>7.2863499999999998E-2</v>
      </c>
      <c r="D147" s="20">
        <f>B110</f>
        <v>0.3122723</v>
      </c>
      <c r="E147" s="20">
        <f>B114</f>
        <v>1.0096799999999999</v>
      </c>
      <c r="F147" s="20">
        <f>B118</f>
        <v>0.34349950000000001</v>
      </c>
      <c r="G147" s="20">
        <f>B122</f>
        <v>3.4870399999999999</v>
      </c>
      <c r="H147" s="20">
        <f>B126</f>
        <v>2.175497</v>
      </c>
      <c r="I147" s="29">
        <f>B130</f>
        <v>0.17695430000000001</v>
      </c>
      <c r="J147" s="28">
        <f>B134</f>
        <v>0.24981780000000001</v>
      </c>
      <c r="K147" s="22">
        <f>B138</f>
        <v>1.5301340000000001</v>
      </c>
    </row>
    <row r="166" spans="1:7" s="1" customFormat="1" x14ac:dyDescent="0.25">
      <c r="A166" s="1" t="s">
        <v>90</v>
      </c>
    </row>
    <row r="168" spans="1:7" x14ac:dyDescent="0.25">
      <c r="A168" s="49"/>
      <c r="B168" s="46" t="s">
        <v>1</v>
      </c>
      <c r="C168" s="47"/>
      <c r="D168" s="47"/>
      <c r="E168" s="47"/>
      <c r="F168" s="47"/>
      <c r="G168" s="47"/>
    </row>
    <row r="169" spans="1:7" x14ac:dyDescent="0.25">
      <c r="A169" s="50" t="s">
        <v>2</v>
      </c>
      <c r="B169" s="48" t="s">
        <v>269</v>
      </c>
      <c r="C169" s="48" t="s">
        <v>270</v>
      </c>
      <c r="D169" s="48" t="s">
        <v>3</v>
      </c>
      <c r="E169" s="48" t="s">
        <v>4</v>
      </c>
      <c r="F169" s="48" t="s">
        <v>271</v>
      </c>
      <c r="G169" s="48" t="s">
        <v>272</v>
      </c>
    </row>
    <row r="170" spans="1:7" x14ac:dyDescent="0.25">
      <c r="A170" s="49"/>
      <c r="B170" s="46"/>
      <c r="C170" s="46"/>
      <c r="D170" s="47"/>
      <c r="E170" s="47"/>
      <c r="F170" s="47"/>
      <c r="G170" s="47"/>
    </row>
    <row r="171" spans="1:7" x14ac:dyDescent="0.25">
      <c r="A171" s="49" t="s">
        <v>74</v>
      </c>
      <c r="B171" s="47"/>
      <c r="C171" s="47"/>
      <c r="D171" s="47"/>
      <c r="E171" s="47"/>
      <c r="F171" s="47"/>
      <c r="G171" s="47"/>
    </row>
    <row r="172" spans="1:7" x14ac:dyDescent="0.25">
      <c r="A172" s="49" t="s">
        <v>75</v>
      </c>
      <c r="B172" s="46">
        <v>0.78056369999999997</v>
      </c>
      <c r="C172" s="46">
        <v>2.63503E-2</v>
      </c>
      <c r="D172" s="46">
        <v>-7.34</v>
      </c>
      <c r="E172" s="46">
        <v>0</v>
      </c>
      <c r="F172" s="46">
        <v>0.73058959999999995</v>
      </c>
      <c r="G172" s="46">
        <v>0.83395620000000004</v>
      </c>
    </row>
    <row r="173" spans="1:7" x14ac:dyDescent="0.25">
      <c r="A173" s="49" t="s">
        <v>76</v>
      </c>
      <c r="B173" s="46">
        <v>0.64210610000000001</v>
      </c>
      <c r="C173" s="46">
        <v>2.8277E-2</v>
      </c>
      <c r="D173" s="46">
        <v>-10.06</v>
      </c>
      <c r="E173" s="46">
        <v>0</v>
      </c>
      <c r="F173" s="46">
        <v>0.58900870000000005</v>
      </c>
      <c r="G173" s="46">
        <v>0.69999009999999995</v>
      </c>
    </row>
    <row r="174" spans="1:7" x14ac:dyDescent="0.25">
      <c r="A174" s="49" t="s">
        <v>77</v>
      </c>
      <c r="B174" s="46">
        <v>0.57044450000000002</v>
      </c>
      <c r="C174" s="46">
        <v>3.0778099999999999E-2</v>
      </c>
      <c r="D174" s="46">
        <v>-10.4</v>
      </c>
      <c r="E174" s="46">
        <v>0</v>
      </c>
      <c r="F174" s="46">
        <v>0.51320060000000001</v>
      </c>
      <c r="G174" s="46">
        <v>0.63407360000000001</v>
      </c>
    </row>
    <row r="175" spans="1:7" x14ac:dyDescent="0.25">
      <c r="A175" s="49" t="s">
        <v>78</v>
      </c>
      <c r="B175" s="46">
        <v>0.51691659999999995</v>
      </c>
      <c r="C175" s="46">
        <v>3.0738399999999999E-2</v>
      </c>
      <c r="D175" s="46">
        <v>-11.1</v>
      </c>
      <c r="E175" s="46">
        <v>0</v>
      </c>
      <c r="F175" s="46">
        <v>0.46004869999999998</v>
      </c>
      <c r="G175" s="46">
        <v>0.5808141</v>
      </c>
    </row>
    <row r="176" spans="1:7" x14ac:dyDescent="0.25">
      <c r="A176" s="49" t="s">
        <v>79</v>
      </c>
      <c r="B176" s="46">
        <v>0.49511630000000001</v>
      </c>
      <c r="C176" s="46">
        <v>3.72223E-2</v>
      </c>
      <c r="D176" s="46">
        <v>-9.35</v>
      </c>
      <c r="E176" s="46">
        <v>0</v>
      </c>
      <c r="F176" s="46">
        <v>0.4272823</v>
      </c>
      <c r="G176" s="46">
        <v>0.57371939999999999</v>
      </c>
    </row>
    <row r="177" spans="1:7" x14ac:dyDescent="0.25">
      <c r="A177" s="49" t="s">
        <v>80</v>
      </c>
      <c r="B177" s="46">
        <v>0.35992750000000001</v>
      </c>
      <c r="C177" s="46">
        <v>2.7928700000000001E-2</v>
      </c>
      <c r="D177" s="46">
        <v>-13.17</v>
      </c>
      <c r="E177" s="46">
        <v>0</v>
      </c>
      <c r="F177" s="46">
        <v>0.30914740000000002</v>
      </c>
      <c r="G177" s="46">
        <v>0.41904849999999999</v>
      </c>
    </row>
    <row r="178" spans="1:7" x14ac:dyDescent="0.25">
      <c r="A178" s="49" t="s">
        <v>86</v>
      </c>
      <c r="B178" s="46">
        <v>0.27350940000000001</v>
      </c>
      <c r="C178" s="46">
        <v>2.3055200000000001E-2</v>
      </c>
      <c r="D178" s="46">
        <v>-15.38</v>
      </c>
      <c r="E178" s="46">
        <v>0</v>
      </c>
      <c r="F178" s="46">
        <v>0.23185739999999999</v>
      </c>
      <c r="G178" s="46">
        <v>0.32264389999999998</v>
      </c>
    </row>
    <row r="179" spans="1:7" x14ac:dyDescent="0.25">
      <c r="A179" s="49" t="s">
        <v>87</v>
      </c>
      <c r="B179" s="46">
        <v>0.17327149999999999</v>
      </c>
      <c r="C179" s="46">
        <v>2.6699000000000001E-2</v>
      </c>
      <c r="D179" s="46">
        <v>-11.38</v>
      </c>
      <c r="E179" s="46">
        <v>0</v>
      </c>
      <c r="F179" s="46">
        <v>0.12810540000000001</v>
      </c>
      <c r="G179" s="46">
        <v>0.23436180000000001</v>
      </c>
    </row>
    <row r="180" spans="1:7" x14ac:dyDescent="0.25">
      <c r="A180" s="49" t="s">
        <v>88</v>
      </c>
      <c r="B180" s="46">
        <v>4.2304799999999997E-2</v>
      </c>
      <c r="C180" s="46">
        <v>1.1924300000000001E-2</v>
      </c>
      <c r="D180" s="46">
        <v>-11.22</v>
      </c>
      <c r="E180" s="46">
        <v>0</v>
      </c>
      <c r="F180" s="46">
        <v>2.4348100000000001E-2</v>
      </c>
      <c r="G180" s="46">
        <v>7.35045E-2</v>
      </c>
    </row>
    <row r="181" spans="1:7" x14ac:dyDescent="0.25">
      <c r="A181" s="49"/>
      <c r="B181" s="47"/>
      <c r="C181" s="47"/>
      <c r="D181" s="47"/>
      <c r="E181" s="47"/>
      <c r="F181" s="47"/>
      <c r="G181" s="47"/>
    </row>
    <row r="182" spans="1:7" x14ac:dyDescent="0.25">
      <c r="A182" s="49" t="s">
        <v>113</v>
      </c>
      <c r="B182" s="47"/>
      <c r="C182" s="47"/>
      <c r="D182" s="47"/>
      <c r="E182" s="47"/>
      <c r="F182" s="47"/>
      <c r="G182" s="47"/>
    </row>
    <row r="183" spans="1:7" x14ac:dyDescent="0.25">
      <c r="A183" s="49">
        <v>2</v>
      </c>
      <c r="B183" s="46">
        <v>0.97919199999999995</v>
      </c>
      <c r="C183" s="46">
        <v>2.4591499999999999E-2</v>
      </c>
      <c r="D183" s="46">
        <v>-0.84</v>
      </c>
      <c r="E183" s="46">
        <v>0.40200000000000002</v>
      </c>
      <c r="F183" s="46">
        <v>0.93216060000000001</v>
      </c>
      <c r="G183" s="46">
        <v>1.0285960000000001</v>
      </c>
    </row>
    <row r="184" spans="1:7" x14ac:dyDescent="0.25">
      <c r="A184" s="49">
        <v>3</v>
      </c>
      <c r="B184" s="46">
        <v>1.517898</v>
      </c>
      <c r="C184" s="46">
        <v>0.1116938</v>
      </c>
      <c r="D184" s="46">
        <v>5.67</v>
      </c>
      <c r="E184" s="46">
        <v>0</v>
      </c>
      <c r="F184" s="46">
        <v>1.314036</v>
      </c>
      <c r="G184" s="46">
        <v>1.753387</v>
      </c>
    </row>
    <row r="185" spans="1:7" x14ac:dyDescent="0.25">
      <c r="A185" s="49"/>
      <c r="B185" s="47"/>
      <c r="C185" s="47"/>
      <c r="D185" s="47"/>
      <c r="E185" s="47"/>
      <c r="F185" s="47"/>
      <c r="G185" s="47"/>
    </row>
    <row r="186" spans="1:7" x14ac:dyDescent="0.25">
      <c r="A186" s="49" t="s">
        <v>108</v>
      </c>
      <c r="B186" s="47"/>
      <c r="C186" s="47"/>
      <c r="D186" s="47"/>
      <c r="E186" s="47"/>
      <c r="F186" s="47"/>
      <c r="G186" s="47"/>
    </row>
    <row r="187" spans="1:7" x14ac:dyDescent="0.25">
      <c r="A187" s="49">
        <v>2</v>
      </c>
      <c r="B187" s="46">
        <v>1.307118</v>
      </c>
      <c r="C187" s="46">
        <v>3.3070299999999997E-2</v>
      </c>
      <c r="D187" s="46">
        <v>10.59</v>
      </c>
      <c r="E187" s="46">
        <v>0</v>
      </c>
      <c r="F187" s="46">
        <v>1.2438819999999999</v>
      </c>
      <c r="G187" s="46">
        <v>1.3735679999999999</v>
      </c>
    </row>
    <row r="188" spans="1:7" x14ac:dyDescent="0.25">
      <c r="A188" s="49" t="s">
        <v>109</v>
      </c>
      <c r="B188" s="46">
        <v>1.7511190000000001</v>
      </c>
      <c r="C188" s="46">
        <v>6.3313099999999997E-2</v>
      </c>
      <c r="D188" s="46">
        <v>15.5</v>
      </c>
      <c r="E188" s="46">
        <v>0</v>
      </c>
      <c r="F188" s="46">
        <v>1.6313219999999999</v>
      </c>
      <c r="G188" s="46">
        <v>1.879713</v>
      </c>
    </row>
    <row r="189" spans="1:7" x14ac:dyDescent="0.25">
      <c r="A189" s="49"/>
      <c r="B189" s="47"/>
      <c r="C189" s="47"/>
      <c r="D189" s="47"/>
      <c r="E189" s="47"/>
      <c r="F189" s="47"/>
      <c r="G189" s="47"/>
    </row>
    <row r="190" spans="1:7" x14ac:dyDescent="0.25">
      <c r="A190" s="49" t="s">
        <v>81</v>
      </c>
      <c r="B190" s="47"/>
      <c r="C190" s="47"/>
      <c r="D190" s="47"/>
      <c r="E190" s="47"/>
      <c r="F190" s="47"/>
      <c r="G190" s="47"/>
    </row>
    <row r="191" spans="1:7" x14ac:dyDescent="0.25">
      <c r="A191" s="38" t="s">
        <v>315</v>
      </c>
      <c r="B191" s="46">
        <v>0.48960609999999999</v>
      </c>
      <c r="C191" s="46">
        <v>1.33207E-2</v>
      </c>
      <c r="D191" s="46">
        <v>-26.25</v>
      </c>
      <c r="E191" s="46">
        <v>0</v>
      </c>
      <c r="F191" s="46">
        <v>0.46418199999999998</v>
      </c>
      <c r="G191" s="46">
        <v>0.51642270000000001</v>
      </c>
    </row>
    <row r="192" spans="1:7" x14ac:dyDescent="0.25">
      <c r="A192" s="38" t="s">
        <v>316</v>
      </c>
      <c r="B192" s="46">
        <v>0.312444</v>
      </c>
      <c r="C192" s="46">
        <v>1.2769300000000001E-2</v>
      </c>
      <c r="D192" s="46">
        <v>-28.46</v>
      </c>
      <c r="E192" s="46">
        <v>0</v>
      </c>
      <c r="F192" s="46">
        <v>0.2883928</v>
      </c>
      <c r="G192" s="46">
        <v>0.338501</v>
      </c>
    </row>
    <row r="193" spans="1:7" x14ac:dyDescent="0.25">
      <c r="A193" s="38" t="s">
        <v>317</v>
      </c>
      <c r="B193" s="46">
        <v>0.2690111</v>
      </c>
      <c r="C193" s="46">
        <v>1.17132E-2</v>
      </c>
      <c r="D193" s="46">
        <v>-30.16</v>
      </c>
      <c r="E193" s="46">
        <v>0</v>
      </c>
      <c r="F193" s="46">
        <v>0.2470059</v>
      </c>
      <c r="G193" s="46">
        <v>0.29297659999999998</v>
      </c>
    </row>
    <row r="194" spans="1:7" x14ac:dyDescent="0.25">
      <c r="A194" s="38" t="s">
        <v>82</v>
      </c>
      <c r="B194" s="46">
        <v>0.3766369</v>
      </c>
      <c r="C194" s="46">
        <v>1.6796599999999998E-2</v>
      </c>
      <c r="D194" s="46">
        <v>-21.9</v>
      </c>
      <c r="E194" s="46">
        <v>0</v>
      </c>
      <c r="F194" s="46">
        <v>0.34511380000000003</v>
      </c>
      <c r="G194" s="46">
        <v>0.4110393</v>
      </c>
    </row>
    <row r="195" spans="1:7" x14ac:dyDescent="0.25">
      <c r="A195" s="49"/>
      <c r="B195" s="47"/>
      <c r="C195" s="47"/>
      <c r="D195" s="47"/>
      <c r="E195" s="47"/>
      <c r="F195" s="47"/>
      <c r="G195" s="47"/>
    </row>
    <row r="196" spans="1:7" x14ac:dyDescent="0.25">
      <c r="A196" s="49" t="s">
        <v>92</v>
      </c>
      <c r="B196" s="47"/>
      <c r="C196" s="47"/>
      <c r="D196" s="47"/>
      <c r="E196" s="47"/>
      <c r="F196" s="47"/>
      <c r="G196" s="47"/>
    </row>
    <row r="197" spans="1:7" x14ac:dyDescent="0.25">
      <c r="A197" s="49" t="s">
        <v>117</v>
      </c>
      <c r="B197" s="46">
        <v>7.30769E-2</v>
      </c>
      <c r="C197" s="46">
        <v>1.3577799999999999E-2</v>
      </c>
      <c r="D197" s="46">
        <v>-14.08</v>
      </c>
      <c r="E197" s="46">
        <v>0</v>
      </c>
      <c r="F197" s="46">
        <f>B197-0.0507722</f>
        <v>2.2304699999999997E-2</v>
      </c>
      <c r="G197" s="46">
        <f>0.1051804-B197</f>
        <v>3.2103499999999993E-2</v>
      </c>
    </row>
    <row r="198" spans="1:7" x14ac:dyDescent="0.25">
      <c r="A198" s="49" t="s">
        <v>118</v>
      </c>
      <c r="B198" s="46">
        <v>0.12062870000000001</v>
      </c>
      <c r="C198" s="46">
        <v>1.9531900000000001E-2</v>
      </c>
      <c r="D198" s="46">
        <v>-13.06</v>
      </c>
      <c r="E198" s="46">
        <v>0</v>
      </c>
      <c r="F198" s="46">
        <f>B198-0.0878267</f>
        <v>3.2802000000000012E-2</v>
      </c>
      <c r="G198" s="46">
        <f>0.1656819-B198</f>
        <v>4.5053199999999988E-2</v>
      </c>
    </row>
    <row r="199" spans="1:7" x14ac:dyDescent="0.25">
      <c r="A199" s="49" t="s">
        <v>119</v>
      </c>
      <c r="B199" s="46">
        <v>0.18076919999999999</v>
      </c>
      <c r="C199" s="46">
        <v>2.21517E-2</v>
      </c>
      <c r="D199" s="46">
        <v>-13.96</v>
      </c>
      <c r="E199" s="46">
        <v>0</v>
      </c>
      <c r="F199" s="46">
        <f>B199-0.1421729</f>
        <v>3.85963E-2</v>
      </c>
      <c r="G199" s="46">
        <f>0.2298434-B199</f>
        <v>4.9074200000000012E-2</v>
      </c>
    </row>
    <row r="200" spans="1:7" x14ac:dyDescent="0.25">
      <c r="A200" s="49" t="s">
        <v>120</v>
      </c>
      <c r="B200" s="46">
        <v>0.23141020000000001</v>
      </c>
      <c r="C200" s="46">
        <v>2.9204899999999999E-2</v>
      </c>
      <c r="D200" s="46">
        <v>-11.6</v>
      </c>
      <c r="E200" s="46">
        <v>0</v>
      </c>
      <c r="F200" s="46">
        <f>B200-0.1806997</f>
        <v>5.0710500000000019E-2</v>
      </c>
      <c r="G200" s="46">
        <f>0.2963518-B200</f>
        <v>6.4941599999999988E-2</v>
      </c>
    </row>
    <row r="201" spans="1:7" x14ac:dyDescent="0.25">
      <c r="A201" s="49" t="s">
        <v>121</v>
      </c>
      <c r="B201" s="46">
        <v>1.382692</v>
      </c>
      <c r="C201" s="46">
        <v>0.10160470000000001</v>
      </c>
      <c r="D201" s="46">
        <v>4.41</v>
      </c>
      <c r="E201" s="46">
        <v>0</v>
      </c>
      <c r="F201" s="46">
        <f>B201-1.197227</f>
        <v>0.18546499999999999</v>
      </c>
      <c r="G201" s="46">
        <f>1.596889-B201</f>
        <v>0.21419699999999997</v>
      </c>
    </row>
    <row r="202" spans="1:7" x14ac:dyDescent="0.25">
      <c r="A202" s="49" t="s">
        <v>122</v>
      </c>
      <c r="B202" s="46">
        <v>1.6395660000000001</v>
      </c>
      <c r="C202" s="46">
        <v>0.12528810000000001</v>
      </c>
      <c r="D202" s="46">
        <v>6.47</v>
      </c>
      <c r="E202" s="46">
        <v>0</v>
      </c>
      <c r="F202" s="46">
        <f>B202-1.41151</f>
        <v>0.22805600000000004</v>
      </c>
      <c r="G202" s="46">
        <f>1.904469-B202</f>
        <v>0.26490299999999989</v>
      </c>
    </row>
    <row r="203" spans="1:7" x14ac:dyDescent="0.25">
      <c r="A203" s="49" t="s">
        <v>123</v>
      </c>
      <c r="B203" s="46">
        <v>0.56923080000000004</v>
      </c>
      <c r="C203" s="46">
        <v>4.87193E-2</v>
      </c>
      <c r="D203" s="46">
        <v>-6.58</v>
      </c>
      <c r="E203" s="46">
        <v>0</v>
      </c>
      <c r="F203" s="46">
        <f>B203-0.4813221</f>
        <v>8.7908700000000062E-2</v>
      </c>
      <c r="G203" s="46">
        <f>0.673195-B203</f>
        <v>0.10396419999999995</v>
      </c>
    </row>
    <row r="204" spans="1:7" x14ac:dyDescent="0.25">
      <c r="A204" s="49" t="s">
        <v>124</v>
      </c>
      <c r="B204" s="46">
        <v>0.56867829999999997</v>
      </c>
      <c r="C204" s="46">
        <v>5.29682E-2</v>
      </c>
      <c r="D204" s="46">
        <v>-6.06</v>
      </c>
      <c r="E204" s="46">
        <v>0</v>
      </c>
      <c r="F204" s="46">
        <f>B204-0.4737873</f>
        <v>9.4890999999999948E-2</v>
      </c>
      <c r="G204" s="46">
        <f>0.6825741-B204</f>
        <v>0.11389579999999999</v>
      </c>
    </row>
    <row r="205" spans="1:7" x14ac:dyDescent="0.25">
      <c r="A205" s="49" t="s">
        <v>153</v>
      </c>
      <c r="B205" s="46">
        <v>2.8038460000000001</v>
      </c>
      <c r="C205" s="46">
        <v>0.2255306</v>
      </c>
      <c r="D205" s="46">
        <v>12.82</v>
      </c>
      <c r="E205" s="46">
        <v>0</v>
      </c>
      <c r="F205" s="46">
        <f>B205-2.394897</f>
        <v>0.40894900000000023</v>
      </c>
      <c r="G205" s="46">
        <f>3.282627-B205</f>
        <v>0.47878100000000012</v>
      </c>
    </row>
    <row r="206" spans="1:7" x14ac:dyDescent="0.25">
      <c r="A206" s="49" t="s">
        <v>125</v>
      </c>
      <c r="B206" s="46">
        <v>3.9462820000000001</v>
      </c>
      <c r="C206" s="46">
        <v>0.28428229999999999</v>
      </c>
      <c r="D206" s="46">
        <v>19.059999999999999</v>
      </c>
      <c r="E206" s="46">
        <v>0</v>
      </c>
      <c r="F206" s="46">
        <f>B206-3.426647</f>
        <v>0.51963500000000007</v>
      </c>
      <c r="G206" s="46">
        <f>4.544719-B206</f>
        <v>0.59843699999999966</v>
      </c>
    </row>
    <row r="207" spans="1:7" x14ac:dyDescent="0.25">
      <c r="A207" s="49" t="s">
        <v>126</v>
      </c>
      <c r="B207" s="46">
        <v>1</v>
      </c>
      <c r="C207" s="46"/>
      <c r="D207" s="46"/>
      <c r="E207" s="46"/>
      <c r="F207" s="46">
        <v>0</v>
      </c>
      <c r="G207" s="46">
        <v>0</v>
      </c>
    </row>
    <row r="208" spans="1:7" x14ac:dyDescent="0.25">
      <c r="A208" s="49" t="s">
        <v>127</v>
      </c>
      <c r="B208" s="46">
        <v>1.2235199999999999</v>
      </c>
      <c r="C208" s="46">
        <v>9.9322499999999994E-2</v>
      </c>
      <c r="D208" s="46">
        <v>2.4900000000000002</v>
      </c>
      <c r="E208" s="46">
        <v>1.2999999999999999E-2</v>
      </c>
      <c r="F208" s="46">
        <f>B208-1.043548</f>
        <v>0.17997200000000002</v>
      </c>
      <c r="G208" s="46">
        <f>1.43453-B208</f>
        <v>0.21101000000000014</v>
      </c>
    </row>
    <row r="209" spans="1:7" x14ac:dyDescent="0.25">
      <c r="A209" s="49" t="s">
        <v>128</v>
      </c>
      <c r="B209" s="46">
        <v>0.15384619999999999</v>
      </c>
      <c r="C209" s="46">
        <v>1.9862600000000001E-2</v>
      </c>
      <c r="D209" s="46">
        <v>-14.5</v>
      </c>
      <c r="E209" s="46">
        <v>0</v>
      </c>
      <c r="F209" s="46">
        <f>B209-0.1194512</f>
        <v>3.4394999999999995E-2</v>
      </c>
      <c r="G209" s="46">
        <f>0.1981449-B209</f>
        <v>4.4298700000000024E-2</v>
      </c>
    </row>
    <row r="210" spans="1:7" x14ac:dyDescent="0.25">
      <c r="A210" s="49" t="s">
        <v>129</v>
      </c>
      <c r="B210" s="46">
        <v>0.1920212</v>
      </c>
      <c r="C210" s="46">
        <v>2.5022599999999999E-2</v>
      </c>
      <c r="D210" s="46">
        <v>-12.66</v>
      </c>
      <c r="E210" s="46">
        <v>0</v>
      </c>
      <c r="F210" s="46">
        <f>B210-0.14874</f>
        <v>4.3281199999999992E-2</v>
      </c>
      <c r="G210" s="46">
        <f>0.2478966-B210</f>
        <v>5.5875399999999992E-2</v>
      </c>
    </row>
    <row r="211" spans="1:7" x14ac:dyDescent="0.25">
      <c r="A211" s="49" t="s">
        <v>130</v>
      </c>
      <c r="B211" s="46">
        <v>0.18461540000000001</v>
      </c>
      <c r="C211" s="46">
        <v>2.2577199999999999E-2</v>
      </c>
      <c r="D211" s="46">
        <v>-13.81</v>
      </c>
      <c r="E211" s="46">
        <v>0</v>
      </c>
      <c r="F211" s="46">
        <f>B211-0.1452686</f>
        <v>3.9346800000000015E-2</v>
      </c>
      <c r="G211" s="46">
        <f>0.2346195-B211</f>
        <v>5.0004099999999996E-2</v>
      </c>
    </row>
    <row r="212" spans="1:7" x14ac:dyDescent="0.25">
      <c r="A212" s="49" t="s">
        <v>131</v>
      </c>
      <c r="B212" s="46">
        <v>0.18463579999999999</v>
      </c>
      <c r="C212" s="46">
        <v>2.4891699999999999E-2</v>
      </c>
      <c r="D212" s="46">
        <v>-12.53</v>
      </c>
      <c r="E212" s="46">
        <v>0</v>
      </c>
      <c r="F212" s="46">
        <f>B212-0.1417624</f>
        <v>4.2873399999999978E-2</v>
      </c>
      <c r="G212" s="46">
        <f>0.2404754-B212</f>
        <v>5.5839600000000017E-2</v>
      </c>
    </row>
    <row r="213" spans="1:7" x14ac:dyDescent="0.25">
      <c r="A213" s="49" t="s">
        <v>132</v>
      </c>
      <c r="B213" s="46">
        <v>1.026923</v>
      </c>
      <c r="C213" s="46">
        <v>9.1994400000000004E-2</v>
      </c>
      <c r="D213" s="46">
        <v>0.3</v>
      </c>
      <c r="E213" s="46">
        <v>0.76700000000000002</v>
      </c>
      <c r="F213" s="46">
        <f>B213-0.8615592</f>
        <v>0.16536380000000006</v>
      </c>
      <c r="G213" s="46">
        <f>1.224026-B213</f>
        <v>0.19710300000000003</v>
      </c>
    </row>
    <row r="214" spans="1:7" x14ac:dyDescent="0.25">
      <c r="A214" s="49" t="s">
        <v>133</v>
      </c>
      <c r="B214" s="46">
        <v>1.543555</v>
      </c>
      <c r="C214" s="46">
        <v>0.12257129999999999</v>
      </c>
      <c r="D214" s="46">
        <v>5.47</v>
      </c>
      <c r="E214" s="46">
        <v>0</v>
      </c>
      <c r="F214" s="46">
        <f>B214-1.321082</f>
        <v>0.22247299999999992</v>
      </c>
      <c r="G214" s="46">
        <f>1.803494-B214</f>
        <v>0.25993899999999992</v>
      </c>
    </row>
    <row r="215" spans="1:7" x14ac:dyDescent="0.25">
      <c r="A215" s="49" t="s">
        <v>134</v>
      </c>
      <c r="B215" s="46">
        <v>4.2970399999999999E-2</v>
      </c>
      <c r="C215" s="46">
        <v>2.1631999999999998E-2</v>
      </c>
      <c r="D215" s="46">
        <v>-6.25</v>
      </c>
      <c r="E215" s="46">
        <v>0</v>
      </c>
      <c r="F215" s="46">
        <f>B215-0.0160199</f>
        <v>2.6950499999999999E-2</v>
      </c>
      <c r="G215" s="46">
        <f>0.1152601-B215</f>
        <v>7.2289700000000012E-2</v>
      </c>
    </row>
    <row r="216" spans="1:7" x14ac:dyDescent="0.25">
      <c r="A216" s="49" t="s">
        <v>135</v>
      </c>
      <c r="B216" s="46">
        <v>0.1021881</v>
      </c>
      <c r="C216" s="46">
        <v>3.6790900000000001E-2</v>
      </c>
      <c r="D216" s="46">
        <v>-6.34</v>
      </c>
      <c r="E216" s="46">
        <v>0</v>
      </c>
      <c r="F216" s="46">
        <f>B216-0.0504593</f>
        <v>5.1728800000000005E-2</v>
      </c>
      <c r="G216" s="46">
        <f>0.2069472-B216</f>
        <v>0.10475909999999999</v>
      </c>
    </row>
    <row r="217" spans="1:7" x14ac:dyDescent="0.25">
      <c r="A217" s="49" t="s">
        <v>136</v>
      </c>
      <c r="B217" s="46">
        <v>0.18262419999999999</v>
      </c>
      <c r="C217" s="46">
        <v>4.5330799999999997E-2</v>
      </c>
      <c r="D217" s="46">
        <v>-6.85</v>
      </c>
      <c r="E217" s="46">
        <v>0</v>
      </c>
      <c r="F217" s="46">
        <f>B217-0.1122726</f>
        <v>7.0351599999999986E-2</v>
      </c>
      <c r="G217" s="46">
        <f>0.2970591-B217</f>
        <v>0.11443490000000003</v>
      </c>
    </row>
    <row r="218" spans="1:7" x14ac:dyDescent="0.25">
      <c r="A218" s="49" t="s">
        <v>137</v>
      </c>
      <c r="B218" s="46">
        <v>0.31933790000000001</v>
      </c>
      <c r="C218" s="46">
        <v>6.9673100000000002E-2</v>
      </c>
      <c r="D218" s="46">
        <v>-5.23</v>
      </c>
      <c r="E218" s="46">
        <v>0</v>
      </c>
      <c r="F218" s="46">
        <f>B218-0.2082262</f>
        <v>0.11111170000000001</v>
      </c>
      <c r="G218" s="46">
        <f>0.48974-B218</f>
        <v>0.1704021</v>
      </c>
    </row>
    <row r="219" spans="1:7" x14ac:dyDescent="0.25">
      <c r="A219" s="49" t="s">
        <v>138</v>
      </c>
      <c r="B219" s="46">
        <v>0.45118910000000001</v>
      </c>
      <c r="C219" s="46">
        <v>7.4728100000000006E-2</v>
      </c>
      <c r="D219" s="46">
        <v>-4.8099999999999996</v>
      </c>
      <c r="E219" s="46">
        <v>0</v>
      </c>
      <c r="F219" s="46">
        <f>B219-0.3261208</f>
        <v>0.12506830000000002</v>
      </c>
      <c r="G219" s="46">
        <f>0.6242215-B219</f>
        <v>0.17303239999999998</v>
      </c>
    </row>
    <row r="220" spans="1:7" x14ac:dyDescent="0.25">
      <c r="A220" s="49" t="s">
        <v>139</v>
      </c>
      <c r="B220" s="46">
        <v>0.80473150000000004</v>
      </c>
      <c r="C220" s="46">
        <v>0.11155519999999999</v>
      </c>
      <c r="D220" s="46">
        <v>-1.57</v>
      </c>
      <c r="E220" s="46">
        <v>0.11700000000000001</v>
      </c>
      <c r="F220" s="46">
        <f>B220-0.6132732</f>
        <v>0.19145830000000008</v>
      </c>
      <c r="G220" s="46">
        <f>1.055961-B220</f>
        <v>0.25122949999999988</v>
      </c>
    </row>
    <row r="221" spans="1:7" x14ac:dyDescent="0.25">
      <c r="A221" s="49" t="s">
        <v>140</v>
      </c>
      <c r="B221" s="46">
        <v>0.44044650000000002</v>
      </c>
      <c r="C221" s="46">
        <v>7.5932299999999994E-2</v>
      </c>
      <c r="D221" s="46">
        <v>-4.76</v>
      </c>
      <c r="E221" s="46">
        <v>0</v>
      </c>
      <c r="F221" s="46">
        <f>B221-0.3141575</f>
        <v>0.12628900000000004</v>
      </c>
      <c r="G221" s="46">
        <f>0.6175029-B221</f>
        <v>0.17705639999999995</v>
      </c>
    </row>
    <row r="222" spans="1:7" x14ac:dyDescent="0.25">
      <c r="A222" s="49" t="s">
        <v>141</v>
      </c>
      <c r="B222" s="46">
        <v>0.42152600000000001</v>
      </c>
      <c r="C222" s="46">
        <v>7.7607399999999993E-2</v>
      </c>
      <c r="D222" s="46">
        <v>-4.6900000000000004</v>
      </c>
      <c r="E222" s="46">
        <v>0</v>
      </c>
      <c r="F222" s="46">
        <f>B222-0.2938388</f>
        <v>0.1276872</v>
      </c>
      <c r="G222" s="46">
        <f>0.6046994-B222</f>
        <v>0.18317339999999999</v>
      </c>
    </row>
    <row r="223" spans="1:7" x14ac:dyDescent="0.25">
      <c r="A223" s="49" t="s">
        <v>142</v>
      </c>
      <c r="B223" s="46">
        <v>4.3292669999999998</v>
      </c>
      <c r="C223" s="46">
        <v>0.52340790000000004</v>
      </c>
      <c r="D223" s="46">
        <v>12.12</v>
      </c>
      <c r="E223" s="46">
        <v>0</v>
      </c>
      <c r="F223" s="46">
        <f>B223-3.415893</f>
        <v>0.91337399999999969</v>
      </c>
      <c r="G223" s="46">
        <f>5.486869-B223</f>
        <v>1.1576020000000007</v>
      </c>
    </row>
    <row r="224" spans="1:7" x14ac:dyDescent="0.25">
      <c r="A224" s="49" t="s">
        <v>143</v>
      </c>
      <c r="B224" s="46">
        <v>6.8593780000000004</v>
      </c>
      <c r="C224" s="46">
        <v>0.58377979999999996</v>
      </c>
      <c r="D224" s="46">
        <v>22.63</v>
      </c>
      <c r="E224" s="46">
        <v>0</v>
      </c>
      <c r="F224" s="46">
        <f>B224-5.805527</f>
        <v>1.0538510000000008</v>
      </c>
      <c r="G224" s="46">
        <f>8.104529-B224</f>
        <v>1.245150999999999</v>
      </c>
    </row>
    <row r="225" spans="1:22" x14ac:dyDescent="0.25">
      <c r="A225" s="49" t="s">
        <v>144</v>
      </c>
      <c r="B225" s="46">
        <v>6.0480830000000001</v>
      </c>
      <c r="C225" s="46">
        <v>0.57489040000000002</v>
      </c>
      <c r="D225" s="46">
        <v>18.93</v>
      </c>
      <c r="E225" s="46">
        <v>0</v>
      </c>
      <c r="F225" s="46">
        <f>B225-5.020052</f>
        <v>1.0280310000000004</v>
      </c>
      <c r="G225" s="46">
        <f>7.286639-B225</f>
        <v>1.238556</v>
      </c>
    </row>
    <row r="226" spans="1:22" x14ac:dyDescent="0.25">
      <c r="A226" s="49" t="s">
        <v>145</v>
      </c>
      <c r="B226" s="46">
        <v>4.956124</v>
      </c>
      <c r="C226" s="46">
        <v>0.437087</v>
      </c>
      <c r="D226" s="46">
        <v>18.149999999999999</v>
      </c>
      <c r="E226" s="46">
        <v>0</v>
      </c>
      <c r="F226" s="46">
        <f>B226-4.1694</f>
        <v>0.78672399999999953</v>
      </c>
      <c r="G226" s="46">
        <f>5.891294-B226</f>
        <v>0.93517000000000028</v>
      </c>
    </row>
    <row r="227" spans="1:22" x14ac:dyDescent="0.25">
      <c r="A227" s="49" t="s">
        <v>146</v>
      </c>
      <c r="B227" s="46">
        <v>0.19336680000000001</v>
      </c>
      <c r="C227" s="46">
        <v>4.6410100000000003E-2</v>
      </c>
      <c r="D227" s="46">
        <v>-6.85</v>
      </c>
      <c r="E227" s="46">
        <v>0</v>
      </c>
      <c r="F227" s="46">
        <f>B227-0.1208049</f>
        <v>7.2561899999999999E-2</v>
      </c>
      <c r="G227" s="46">
        <f>0.3095133-B227</f>
        <v>0.11614649999999999</v>
      </c>
    </row>
    <row r="228" spans="1:22" x14ac:dyDescent="0.25">
      <c r="A228" s="49" t="s">
        <v>147</v>
      </c>
      <c r="B228" s="46">
        <v>0.2171498</v>
      </c>
      <c r="C228" s="46">
        <v>5.7057200000000002E-2</v>
      </c>
      <c r="D228" s="46">
        <v>-5.81</v>
      </c>
      <c r="E228" s="46">
        <v>0</v>
      </c>
      <c r="F228" s="46">
        <f>B228-0.1297484</f>
        <v>8.740139999999999E-2</v>
      </c>
      <c r="G228" s="46">
        <f>0.3634266-B228</f>
        <v>0.14627679999999998</v>
      </c>
    </row>
    <row r="229" spans="1:22" x14ac:dyDescent="0.25">
      <c r="A229" s="49" t="s">
        <v>148</v>
      </c>
      <c r="B229" s="46">
        <v>0.24707979999999999</v>
      </c>
      <c r="C229" s="46">
        <v>5.3985600000000002E-2</v>
      </c>
      <c r="D229" s="46">
        <v>-6.4</v>
      </c>
      <c r="E229" s="46">
        <v>0</v>
      </c>
      <c r="F229" s="46">
        <f>B229-0.1610105</f>
        <v>8.6069299999999987E-2</v>
      </c>
      <c r="G229" s="46">
        <f>0.379158-B229</f>
        <v>0.13207820000000001</v>
      </c>
    </row>
    <row r="230" spans="1:22" x14ac:dyDescent="0.25">
      <c r="A230" s="49" t="s">
        <v>149</v>
      </c>
      <c r="B230" s="46">
        <v>0.38320549999999998</v>
      </c>
      <c r="C230" s="46">
        <v>7.4409199999999995E-2</v>
      </c>
      <c r="D230" s="46">
        <v>-4.9400000000000004</v>
      </c>
      <c r="E230" s="46">
        <v>0</v>
      </c>
      <c r="F230" s="46">
        <f>B230-0.2619081</f>
        <v>0.1212974</v>
      </c>
      <c r="G230" s="46">
        <f>0.5606792-B230</f>
        <v>0.17747370000000007</v>
      </c>
    </row>
    <row r="231" spans="1:22" x14ac:dyDescent="0.25">
      <c r="A231" s="49" t="s">
        <v>150</v>
      </c>
      <c r="B231" s="46">
        <v>1.557677</v>
      </c>
      <c r="C231" s="46">
        <v>0.27736650000000002</v>
      </c>
      <c r="D231" s="46">
        <v>2.4900000000000002</v>
      </c>
      <c r="E231" s="46">
        <v>1.2999999999999999E-2</v>
      </c>
      <c r="F231" s="46">
        <f>B231-1.098775</f>
        <v>0.45890199999999992</v>
      </c>
      <c r="G231" s="46">
        <f>2.208238-B231</f>
        <v>0.65056100000000017</v>
      </c>
    </row>
    <row r="232" spans="1:22" x14ac:dyDescent="0.25">
      <c r="A232" s="49" t="s">
        <v>151</v>
      </c>
      <c r="B232" s="46">
        <v>1.839386</v>
      </c>
      <c r="C232" s="46">
        <v>0.22242729999999999</v>
      </c>
      <c r="D232" s="46">
        <v>5.04</v>
      </c>
      <c r="E232" s="46">
        <v>0</v>
      </c>
      <c r="F232" s="46">
        <f>B232-1.451248</f>
        <v>0.38813799999999987</v>
      </c>
      <c r="G232" s="46">
        <f>2.331333-B232</f>
        <v>0.49194699999999991</v>
      </c>
    </row>
    <row r="233" spans="1:22" x14ac:dyDescent="0.25">
      <c r="A233" s="49"/>
      <c r="B233" s="47"/>
      <c r="C233" s="47"/>
      <c r="D233" s="47"/>
      <c r="E233" s="47"/>
      <c r="F233" s="47"/>
      <c r="G233" s="47"/>
    </row>
    <row r="234" spans="1:22" x14ac:dyDescent="0.25">
      <c r="A234" s="50" t="s">
        <v>6</v>
      </c>
      <c r="B234" s="48">
        <v>5.0889000000000004E-3</v>
      </c>
      <c r="C234" s="48">
        <v>3.5040000000000001E-4</v>
      </c>
      <c r="D234" s="48">
        <v>-76.69</v>
      </c>
      <c r="E234" s="48">
        <v>0</v>
      </c>
      <c r="F234" s="48">
        <v>4.4464999999999999E-3</v>
      </c>
      <c r="G234" s="48">
        <v>5.8241999999999999E-3</v>
      </c>
    </row>
    <row r="236" spans="1:22" ht="15.75" thickBot="1" x14ac:dyDescent="0.3">
      <c r="T236" s="46"/>
      <c r="U236" s="46"/>
    </row>
    <row r="237" spans="1:22" x14ac:dyDescent="0.25">
      <c r="A237" s="10"/>
      <c r="B237" s="11"/>
      <c r="C237" s="11" t="s">
        <v>9</v>
      </c>
      <c r="D237" s="11" t="s">
        <v>10</v>
      </c>
      <c r="E237" s="11" t="s">
        <v>40</v>
      </c>
      <c r="F237" s="11" t="s">
        <v>11</v>
      </c>
      <c r="G237" s="11" t="s">
        <v>89</v>
      </c>
      <c r="H237" s="11" t="s">
        <v>8</v>
      </c>
      <c r="I237" s="11" t="s">
        <v>62</v>
      </c>
      <c r="J237" s="11" t="s">
        <v>63</v>
      </c>
      <c r="K237" s="12" t="s">
        <v>65</v>
      </c>
      <c r="M237" s="46">
        <v>2.2304699999999997E-2</v>
      </c>
      <c r="N237" s="46">
        <v>3.2103499999999993E-2</v>
      </c>
      <c r="O237" s="46">
        <v>8.7908700000000062E-2</v>
      </c>
      <c r="P237" s="46">
        <v>0.10396419999999995</v>
      </c>
      <c r="Q237" s="46">
        <v>3.4394999999999995E-2</v>
      </c>
      <c r="R237" s="46">
        <v>4.4298700000000024E-2</v>
      </c>
      <c r="S237" s="7"/>
      <c r="T237" s="46"/>
      <c r="U237" s="46"/>
      <c r="V237" s="7"/>
    </row>
    <row r="238" spans="1:22" x14ac:dyDescent="0.25">
      <c r="A238" s="24" t="s">
        <v>91</v>
      </c>
      <c r="B238" s="7" t="s">
        <v>152</v>
      </c>
      <c r="C238" s="14">
        <f>B197</f>
        <v>7.30769E-2</v>
      </c>
      <c r="D238" s="15">
        <f>B199</f>
        <v>0.18076919999999999</v>
      </c>
      <c r="E238" s="15">
        <f>B201</f>
        <v>1.382692</v>
      </c>
      <c r="F238" s="15">
        <f>B203</f>
        <v>0.56923080000000004</v>
      </c>
      <c r="G238" s="15">
        <f>B205</f>
        <v>2.8038460000000001</v>
      </c>
      <c r="H238" s="15">
        <f>B207</f>
        <v>1</v>
      </c>
      <c r="I238" s="4">
        <f>B209</f>
        <v>0.15384619999999999</v>
      </c>
      <c r="J238" s="25">
        <f>B211</f>
        <v>0.18461540000000001</v>
      </c>
      <c r="K238" s="17">
        <f>B213</f>
        <v>1.026923</v>
      </c>
      <c r="M238" s="46">
        <v>3.2802000000000012E-2</v>
      </c>
      <c r="N238" s="46">
        <v>4.5053199999999988E-2</v>
      </c>
      <c r="O238" s="46">
        <v>9.4890999999999948E-2</v>
      </c>
      <c r="P238" s="46">
        <v>0.11389579999999999</v>
      </c>
      <c r="Q238" s="46">
        <v>4.3281199999999992E-2</v>
      </c>
      <c r="R238" s="46">
        <v>5.5875399999999992E-2</v>
      </c>
      <c r="S238" s="7"/>
      <c r="T238" s="46"/>
      <c r="U238" s="46"/>
      <c r="V238" s="7"/>
    </row>
    <row r="239" spans="1:22" x14ac:dyDescent="0.25">
      <c r="A239" s="24"/>
      <c r="B239" s="7" t="s">
        <v>372</v>
      </c>
      <c r="C239" s="15">
        <f>B198</f>
        <v>0.12062870000000001</v>
      </c>
      <c r="D239" s="15">
        <f>B200</f>
        <v>0.23141020000000001</v>
      </c>
      <c r="E239" s="15">
        <f>B202</f>
        <v>1.6395660000000001</v>
      </c>
      <c r="F239" s="15">
        <f>B204</f>
        <v>0.56867829999999997</v>
      </c>
      <c r="G239" s="15">
        <f>B206</f>
        <v>3.9462820000000001</v>
      </c>
      <c r="H239" s="15">
        <f>B208</f>
        <v>1.2235199999999999</v>
      </c>
      <c r="I239" s="4">
        <f>B210</f>
        <v>0.1920212</v>
      </c>
      <c r="J239" s="25">
        <f>B212</f>
        <v>0.18463579999999999</v>
      </c>
      <c r="K239" s="18">
        <f>B214</f>
        <v>1.543555</v>
      </c>
      <c r="M239" s="46">
        <v>2.6950499999999999E-2</v>
      </c>
      <c r="N239" s="46">
        <v>7.2289700000000012E-2</v>
      </c>
      <c r="O239" s="46">
        <v>0.12628900000000004</v>
      </c>
      <c r="P239" s="46">
        <v>0.17705639999999995</v>
      </c>
      <c r="Q239" s="46">
        <v>7.2561899999999999E-2</v>
      </c>
      <c r="R239" s="46">
        <v>0.11614649999999999</v>
      </c>
      <c r="S239" s="7"/>
      <c r="T239" s="46"/>
      <c r="U239" s="46"/>
      <c r="V239" s="7"/>
    </row>
    <row r="240" spans="1:22" x14ac:dyDescent="0.25">
      <c r="A240" s="24" t="s">
        <v>73</v>
      </c>
      <c r="B240" s="7" t="s">
        <v>152</v>
      </c>
      <c r="C240" s="15">
        <f>B215</f>
        <v>4.2970399999999999E-2</v>
      </c>
      <c r="D240" s="15">
        <f>B217</f>
        <v>0.18262419999999999</v>
      </c>
      <c r="E240" s="15">
        <f>B219</f>
        <v>0.45118910000000001</v>
      </c>
      <c r="F240" s="15">
        <f>B221</f>
        <v>0.44044650000000002</v>
      </c>
      <c r="G240" s="25">
        <f>B223</f>
        <v>4.3292669999999998</v>
      </c>
      <c r="H240" s="25">
        <f>B225</f>
        <v>6.0480830000000001</v>
      </c>
      <c r="I240" s="4">
        <f>B227</f>
        <v>0.19336680000000001</v>
      </c>
      <c r="J240" s="25">
        <f>B229</f>
        <v>0.24707979999999999</v>
      </c>
      <c r="K240" s="17">
        <f>B231</f>
        <v>1.557677</v>
      </c>
      <c r="M240" s="46">
        <v>5.1728800000000005E-2</v>
      </c>
      <c r="N240" s="46">
        <v>0.10475909999999999</v>
      </c>
      <c r="O240" s="46">
        <v>0.1276872</v>
      </c>
      <c r="P240" s="46">
        <v>0.18317339999999999</v>
      </c>
      <c r="Q240" s="46">
        <v>8.740139999999999E-2</v>
      </c>
      <c r="R240" s="46">
        <v>0.14627679999999998</v>
      </c>
      <c r="S240" s="7"/>
      <c r="T240" s="46"/>
      <c r="U240" s="46"/>
      <c r="V240" s="7"/>
    </row>
    <row r="241" spans="1:22" ht="15.75" thickBot="1" x14ac:dyDescent="0.3">
      <c r="A241" s="26"/>
      <c r="B241" s="27" t="s">
        <v>372</v>
      </c>
      <c r="C241" s="29">
        <f>B216</f>
        <v>0.1021881</v>
      </c>
      <c r="D241" s="29">
        <f>B218</f>
        <v>0.31933790000000001</v>
      </c>
      <c r="E241" s="29">
        <f>B220</f>
        <v>0.80473150000000004</v>
      </c>
      <c r="F241" s="29">
        <f>B222</f>
        <v>0.42152600000000001</v>
      </c>
      <c r="G241" s="28">
        <f>B224</f>
        <v>6.8593780000000004</v>
      </c>
      <c r="H241" s="28">
        <f>B226</f>
        <v>4.956124</v>
      </c>
      <c r="I241" s="30">
        <f>B228</f>
        <v>0.2171498</v>
      </c>
      <c r="J241" s="29">
        <f>B230</f>
        <v>0.38320549999999998</v>
      </c>
      <c r="K241" s="22">
        <f>B232</f>
        <v>1.839386</v>
      </c>
      <c r="M241" s="46">
        <v>3.85963E-2</v>
      </c>
      <c r="N241" s="46">
        <v>4.9074200000000012E-2</v>
      </c>
      <c r="O241" s="46">
        <v>0.40894900000000023</v>
      </c>
      <c r="P241" s="46">
        <v>0.47878100000000012</v>
      </c>
      <c r="Q241" s="46">
        <v>3.9346800000000015E-2</v>
      </c>
      <c r="R241" s="46">
        <v>5.0004099999999996E-2</v>
      </c>
      <c r="S241" s="7"/>
      <c r="T241" s="46"/>
      <c r="U241" s="46"/>
      <c r="V241" s="7"/>
    </row>
    <row r="242" spans="1:22" x14ac:dyDescent="0.25">
      <c r="M242" s="46">
        <v>5.0710500000000019E-2</v>
      </c>
      <c r="N242" s="46">
        <v>6.4941599999999988E-2</v>
      </c>
      <c r="O242" s="46">
        <v>0.51963500000000007</v>
      </c>
      <c r="P242" s="46">
        <v>0.59843699999999966</v>
      </c>
      <c r="Q242" s="46">
        <v>4.2873399999999978E-2</v>
      </c>
      <c r="R242" s="46">
        <v>5.5839600000000017E-2</v>
      </c>
      <c r="S242" s="7"/>
      <c r="T242" s="46"/>
      <c r="U242" s="46"/>
      <c r="V242" s="7"/>
    </row>
    <row r="243" spans="1:22" x14ac:dyDescent="0.25">
      <c r="M243" s="46">
        <v>7.0351599999999986E-2</v>
      </c>
      <c r="N243" s="46">
        <v>0.11443490000000003</v>
      </c>
      <c r="O243" s="46">
        <v>0.91337399999999969</v>
      </c>
      <c r="P243" s="46">
        <v>1.1576020000000007</v>
      </c>
      <c r="Q243" s="46">
        <v>8.6069299999999987E-2</v>
      </c>
      <c r="R243" s="46">
        <v>0.13207820000000001</v>
      </c>
      <c r="S243" s="7"/>
      <c r="T243" s="46"/>
      <c r="U243" s="46"/>
      <c r="V243" s="7"/>
    </row>
    <row r="244" spans="1:22" x14ac:dyDescent="0.25">
      <c r="M244" s="46">
        <v>0.11111170000000001</v>
      </c>
      <c r="N244" s="46">
        <v>0.1704021</v>
      </c>
      <c r="O244" s="46">
        <v>1.0538510000000008</v>
      </c>
      <c r="P244" s="46">
        <v>1.245150999999999</v>
      </c>
      <c r="Q244" s="46">
        <v>0.1212974</v>
      </c>
      <c r="R244" s="46">
        <v>0.17747370000000007</v>
      </c>
      <c r="S244" s="7"/>
      <c r="T244" s="46"/>
      <c r="U244" s="46"/>
      <c r="V244" s="7"/>
    </row>
    <row r="245" spans="1:22" x14ac:dyDescent="0.25">
      <c r="M245" s="46">
        <v>0.18546499999999999</v>
      </c>
      <c r="N245" s="46">
        <v>0.21419699999999997</v>
      </c>
      <c r="O245" s="46">
        <v>0</v>
      </c>
      <c r="P245" s="46">
        <v>0</v>
      </c>
      <c r="Q245" s="46">
        <v>0.16536380000000006</v>
      </c>
      <c r="R245" s="46">
        <v>0.19710300000000003</v>
      </c>
      <c r="S245" s="7"/>
      <c r="T245" s="46"/>
      <c r="U245" s="46"/>
      <c r="V245" s="9"/>
    </row>
    <row r="246" spans="1:22" x14ac:dyDescent="0.25">
      <c r="M246" s="46">
        <v>0.22805600000000004</v>
      </c>
      <c r="N246" s="46">
        <v>0.26490299999999989</v>
      </c>
      <c r="O246" s="46">
        <v>0.17997200000000002</v>
      </c>
      <c r="P246" s="46">
        <v>0.21101000000000014</v>
      </c>
      <c r="Q246" s="46">
        <v>0.22247299999999992</v>
      </c>
      <c r="R246" s="46">
        <v>0.25993899999999992</v>
      </c>
      <c r="S246" s="7"/>
      <c r="T246" s="46"/>
      <c r="U246" s="46"/>
      <c r="V246" s="9"/>
    </row>
    <row r="247" spans="1:22" x14ac:dyDescent="0.25">
      <c r="M247" s="46">
        <v>0.12506830000000002</v>
      </c>
      <c r="N247" s="46">
        <v>0.17303239999999998</v>
      </c>
      <c r="O247" s="46">
        <v>1.0280310000000004</v>
      </c>
      <c r="P247" s="46">
        <v>1.238556</v>
      </c>
      <c r="Q247" s="46">
        <v>0.45890199999999992</v>
      </c>
      <c r="R247" s="46">
        <v>0.65056100000000017</v>
      </c>
      <c r="S247" s="7"/>
      <c r="T247" s="46"/>
      <c r="U247" s="46"/>
      <c r="V247" s="9"/>
    </row>
    <row r="248" spans="1:22" x14ac:dyDescent="0.25">
      <c r="M248" s="46">
        <v>0.19145830000000008</v>
      </c>
      <c r="N248" s="46">
        <v>0.25122949999999988</v>
      </c>
      <c r="O248" s="46">
        <v>0.78672399999999953</v>
      </c>
      <c r="P248" s="46">
        <v>0.93517000000000028</v>
      </c>
      <c r="Q248" s="46">
        <v>0.38813799999999987</v>
      </c>
      <c r="R248" s="46">
        <v>0.49194699999999991</v>
      </c>
      <c r="S248" s="7"/>
      <c r="T248" s="46"/>
      <c r="U248" s="46"/>
      <c r="V248" s="9"/>
    </row>
    <row r="249" spans="1:22" x14ac:dyDescent="0.25">
      <c r="M249" s="7"/>
      <c r="N249" s="7"/>
      <c r="O249" s="7"/>
      <c r="P249" s="7"/>
      <c r="Q249" s="7"/>
      <c r="R249" s="7"/>
      <c r="S249" s="7"/>
      <c r="T249" s="46"/>
      <c r="U249" s="46"/>
      <c r="V249" s="7"/>
    </row>
    <row r="250" spans="1:22" x14ac:dyDescent="0.25">
      <c r="M250" s="9"/>
      <c r="N250" s="9"/>
      <c r="O250" s="9"/>
      <c r="P250" s="7"/>
      <c r="Q250" s="7"/>
      <c r="R250" s="7"/>
      <c r="S250" s="7"/>
      <c r="T250" s="46"/>
      <c r="U250" s="46"/>
      <c r="V250" s="7"/>
    </row>
    <row r="251" spans="1:22" x14ac:dyDescent="0.25">
      <c r="M251" s="7"/>
      <c r="N251" s="7"/>
      <c r="O251" s="7"/>
      <c r="P251" s="7"/>
      <c r="Q251" s="7"/>
      <c r="R251" s="7"/>
      <c r="S251" s="7"/>
      <c r="T251" s="46"/>
      <c r="U251" s="46"/>
      <c r="V251" s="7"/>
    </row>
    <row r="252" spans="1:22" x14ac:dyDescent="0.25">
      <c r="M252" s="7"/>
      <c r="N252" s="7"/>
      <c r="O252" s="7"/>
      <c r="P252" s="7"/>
      <c r="Q252" s="7"/>
      <c r="R252" s="7"/>
      <c r="S252" s="7"/>
      <c r="T252" s="46"/>
      <c r="U252" s="46"/>
      <c r="V252" s="7"/>
    </row>
    <row r="253" spans="1:22" x14ac:dyDescent="0.25">
      <c r="M253" s="7"/>
      <c r="N253" s="7"/>
      <c r="O253" s="7"/>
      <c r="P253" s="9"/>
      <c r="Q253" s="9"/>
      <c r="R253" s="7"/>
      <c r="S253" s="7"/>
      <c r="T253" s="46"/>
      <c r="U253" s="46"/>
      <c r="V253" s="7"/>
    </row>
    <row r="254" spans="1:22" x14ac:dyDescent="0.25">
      <c r="M254" s="7"/>
      <c r="N254" s="7"/>
      <c r="O254" s="7"/>
      <c r="P254" s="9"/>
      <c r="Q254" s="9"/>
      <c r="R254" s="7"/>
      <c r="S254" s="9"/>
      <c r="T254" s="7"/>
      <c r="U254" s="7"/>
      <c r="V254" s="7"/>
    </row>
    <row r="255" spans="1:22" x14ac:dyDescent="0.25">
      <c r="M255" s="7"/>
      <c r="N255" s="7"/>
      <c r="O255" s="7"/>
      <c r="P255" s="9"/>
      <c r="Q255" s="9"/>
      <c r="R255" s="7"/>
      <c r="S255" s="9"/>
      <c r="U255" s="9"/>
      <c r="V255" s="9"/>
    </row>
    <row r="256" spans="1:22" x14ac:dyDescent="0.25">
      <c r="M256" s="7"/>
      <c r="N256" s="7"/>
      <c r="O256" s="7"/>
      <c r="P256" s="9"/>
      <c r="Q256" s="9"/>
      <c r="R256" s="9"/>
      <c r="S256" s="9"/>
      <c r="U256" s="9"/>
      <c r="V256" s="9"/>
    </row>
    <row r="257" spans="1:22" x14ac:dyDescent="0.25">
      <c r="M257" s="7"/>
      <c r="N257" s="7"/>
      <c r="O257" s="7"/>
      <c r="P257" s="7"/>
      <c r="Q257" s="7"/>
      <c r="U257" s="7"/>
      <c r="V257" s="7"/>
    </row>
    <row r="258" spans="1:22" x14ac:dyDescent="0.25">
      <c r="M258" s="7"/>
      <c r="N258" s="7"/>
      <c r="O258" s="7"/>
      <c r="P258" s="7"/>
      <c r="Q258" s="7"/>
      <c r="U258" s="7"/>
      <c r="V258" s="7"/>
    </row>
    <row r="259" spans="1:22" s="1" customFormat="1" x14ac:dyDescent="0.25">
      <c r="A259" s="1" t="s">
        <v>99</v>
      </c>
      <c r="N259" s="32"/>
      <c r="O259" s="32"/>
      <c r="P259" s="33"/>
      <c r="Q259" s="33"/>
      <c r="U259" s="33"/>
      <c r="V259" s="33"/>
    </row>
    <row r="260" spans="1:22" x14ac:dyDescent="0.25">
      <c r="N260" s="9"/>
      <c r="O260" s="9"/>
      <c r="P260" s="7"/>
      <c r="Q260" s="7"/>
      <c r="U260" s="23"/>
      <c r="V260" s="23"/>
    </row>
    <row r="261" spans="1:22" x14ac:dyDescent="0.25">
      <c r="A261" s="49"/>
      <c r="B261" s="46" t="s">
        <v>1</v>
      </c>
      <c r="C261" s="47"/>
      <c r="D261" s="47"/>
      <c r="E261" s="47"/>
      <c r="F261" s="47"/>
      <c r="G261" s="47"/>
      <c r="N261" s="9"/>
      <c r="O261" s="9"/>
      <c r="P261" s="7"/>
      <c r="Q261" s="7"/>
      <c r="U261" s="23"/>
      <c r="V261" s="23"/>
    </row>
    <row r="262" spans="1:22" x14ac:dyDescent="0.25">
      <c r="A262" s="50" t="s">
        <v>2</v>
      </c>
      <c r="B262" s="48" t="s">
        <v>269</v>
      </c>
      <c r="C262" s="48" t="s">
        <v>270</v>
      </c>
      <c r="D262" s="48" t="s">
        <v>3</v>
      </c>
      <c r="E262" s="48" t="s">
        <v>4</v>
      </c>
      <c r="F262" s="48" t="s">
        <v>271</v>
      </c>
      <c r="G262" s="48" t="s">
        <v>272</v>
      </c>
      <c r="N262" s="9"/>
      <c r="O262" s="9"/>
      <c r="P262" s="7"/>
      <c r="Q262" s="7"/>
      <c r="U262" s="23"/>
      <c r="V262" s="23"/>
    </row>
    <row r="263" spans="1:22" x14ac:dyDescent="0.25">
      <c r="A263" s="49"/>
      <c r="B263" s="46"/>
      <c r="C263" s="46"/>
      <c r="D263" s="47"/>
      <c r="E263" s="47"/>
      <c r="F263" s="47"/>
      <c r="G263" s="47"/>
      <c r="N263" s="9"/>
      <c r="O263" s="9"/>
      <c r="P263" s="7"/>
      <c r="Q263" s="7"/>
      <c r="U263" s="23"/>
      <c r="V263" s="23"/>
    </row>
    <row r="264" spans="1:22" x14ac:dyDescent="0.25">
      <c r="A264" s="49" t="s">
        <v>72</v>
      </c>
      <c r="B264" s="47"/>
      <c r="C264" s="47"/>
      <c r="D264" s="47"/>
      <c r="E264" s="47"/>
      <c r="F264" s="47"/>
      <c r="G264" s="47"/>
      <c r="N264" s="9"/>
      <c r="O264" s="9"/>
      <c r="P264" s="7"/>
      <c r="Q264" s="7"/>
      <c r="U264" s="23"/>
      <c r="V264" s="23"/>
    </row>
    <row r="265" spans="1:22" x14ac:dyDescent="0.25">
      <c r="A265" s="49" t="s">
        <v>73</v>
      </c>
      <c r="B265" s="46">
        <v>1.6870130000000001</v>
      </c>
      <c r="C265" s="46">
        <v>5.4264199999999999E-2</v>
      </c>
      <c r="D265" s="46">
        <v>16.260000000000002</v>
      </c>
      <c r="E265" s="46">
        <v>0</v>
      </c>
      <c r="F265" s="46">
        <v>1.5839399999999999</v>
      </c>
      <c r="G265" s="46">
        <v>1.7967930000000001</v>
      </c>
      <c r="N265" s="9"/>
      <c r="O265" s="9"/>
      <c r="P265" s="7"/>
      <c r="Q265" s="7"/>
      <c r="U265" s="23"/>
      <c r="V265" s="23"/>
    </row>
    <row r="266" spans="1:22" x14ac:dyDescent="0.25">
      <c r="A266" s="49"/>
      <c r="B266" s="47"/>
      <c r="C266" s="47"/>
      <c r="D266" s="47"/>
      <c r="E266" s="47"/>
      <c r="F266" s="47"/>
      <c r="G266" s="47"/>
      <c r="N266" s="9"/>
      <c r="O266" s="9"/>
      <c r="P266" s="7"/>
      <c r="Q266" s="7"/>
      <c r="U266" s="23"/>
      <c r="V266" s="23"/>
    </row>
    <row r="267" spans="1:22" x14ac:dyDescent="0.25">
      <c r="A267" s="49" t="s">
        <v>113</v>
      </c>
      <c r="B267" s="47"/>
      <c r="C267" s="47"/>
      <c r="D267" s="47"/>
      <c r="E267" s="47"/>
      <c r="F267" s="47"/>
      <c r="G267" s="47"/>
      <c r="N267" s="9"/>
      <c r="O267" s="9"/>
      <c r="P267" s="7"/>
      <c r="Q267" s="7"/>
      <c r="U267" s="23"/>
      <c r="V267" s="23"/>
    </row>
    <row r="268" spans="1:22" x14ac:dyDescent="0.25">
      <c r="A268" s="49">
        <v>2</v>
      </c>
      <c r="B268" s="46">
        <v>1.0285869999999999</v>
      </c>
      <c r="C268" s="46">
        <v>2.5400699999999998E-2</v>
      </c>
      <c r="D268" s="46">
        <v>1.1399999999999999</v>
      </c>
      <c r="E268" s="46">
        <v>0.254</v>
      </c>
      <c r="F268" s="46">
        <v>0.97998799999999997</v>
      </c>
      <c r="G268" s="46">
        <v>1.079596</v>
      </c>
      <c r="N268" s="9"/>
      <c r="O268" s="9"/>
      <c r="P268" s="7"/>
      <c r="Q268" s="7"/>
      <c r="U268" s="23"/>
      <c r="V268" s="23"/>
    </row>
    <row r="269" spans="1:22" x14ac:dyDescent="0.25">
      <c r="A269" s="49">
        <v>3</v>
      </c>
      <c r="B269" s="46">
        <v>1.5416069999999999</v>
      </c>
      <c r="C269" s="46">
        <v>0.1177859</v>
      </c>
      <c r="D269" s="46">
        <v>5.66</v>
      </c>
      <c r="E269" s="46">
        <v>0</v>
      </c>
      <c r="F269" s="46">
        <v>1.327205</v>
      </c>
      <c r="G269" s="46">
        <v>1.790645</v>
      </c>
      <c r="N269" s="9"/>
      <c r="O269" s="9"/>
      <c r="P269" s="7"/>
      <c r="Q269" s="7"/>
      <c r="U269" s="23"/>
      <c r="V269" s="23"/>
    </row>
    <row r="270" spans="1:22" x14ac:dyDescent="0.25">
      <c r="A270" s="49"/>
      <c r="B270" s="47"/>
      <c r="C270" s="47"/>
      <c r="D270" s="47"/>
      <c r="E270" s="47"/>
      <c r="F270" s="47"/>
      <c r="G270" s="47"/>
      <c r="N270" s="9"/>
      <c r="O270" s="9"/>
      <c r="P270" s="7"/>
      <c r="Q270" s="7"/>
      <c r="U270" s="23"/>
      <c r="V270" s="23"/>
    </row>
    <row r="271" spans="1:22" x14ac:dyDescent="0.25">
      <c r="A271" s="49" t="s">
        <v>108</v>
      </c>
      <c r="B271" s="47"/>
      <c r="C271" s="47"/>
      <c r="D271" s="47"/>
      <c r="E271" s="47"/>
      <c r="F271" s="47"/>
      <c r="G271" s="47"/>
      <c r="N271" s="9"/>
      <c r="O271" s="9"/>
      <c r="P271" s="7"/>
      <c r="Q271" s="7"/>
      <c r="U271" s="23"/>
      <c r="V271" s="23"/>
    </row>
    <row r="272" spans="1:22" x14ac:dyDescent="0.25">
      <c r="A272" s="49">
        <v>2</v>
      </c>
      <c r="B272" s="46">
        <v>1.3216220000000001</v>
      </c>
      <c r="C272" s="46">
        <v>3.3894100000000003E-2</v>
      </c>
      <c r="D272" s="46">
        <v>10.87</v>
      </c>
      <c r="E272" s="46">
        <v>0</v>
      </c>
      <c r="F272" s="46">
        <v>1.2568330000000001</v>
      </c>
      <c r="G272" s="46">
        <v>1.389751</v>
      </c>
      <c r="N272" s="9"/>
      <c r="O272" s="9"/>
      <c r="P272" s="7"/>
      <c r="Q272" s="7"/>
      <c r="U272" s="23"/>
      <c r="V272" s="23"/>
    </row>
    <row r="273" spans="1:22" x14ac:dyDescent="0.25">
      <c r="A273" s="49" t="s">
        <v>109</v>
      </c>
      <c r="B273" s="46">
        <v>1.8159959999999999</v>
      </c>
      <c r="C273" s="46">
        <v>6.6047900000000007E-2</v>
      </c>
      <c r="D273" s="46">
        <v>16.399999999999999</v>
      </c>
      <c r="E273" s="46">
        <v>0</v>
      </c>
      <c r="F273" s="46">
        <v>1.6910499999999999</v>
      </c>
      <c r="G273" s="46">
        <v>1.9501729999999999</v>
      </c>
      <c r="N273" s="7"/>
      <c r="O273" s="7"/>
      <c r="P273" s="7"/>
      <c r="Q273" s="7"/>
      <c r="U273" s="7"/>
      <c r="V273" s="7"/>
    </row>
    <row r="274" spans="1:22" x14ac:dyDescent="0.25">
      <c r="A274" s="49"/>
      <c r="B274" s="47"/>
      <c r="C274" s="47"/>
      <c r="D274" s="47"/>
      <c r="E274" s="47"/>
      <c r="F274" s="47"/>
      <c r="G274" s="47"/>
      <c r="N274" s="7"/>
      <c r="O274" s="7"/>
      <c r="P274" s="7"/>
      <c r="Q274" s="7"/>
      <c r="U274" s="7"/>
      <c r="V274" s="7"/>
    </row>
    <row r="275" spans="1:22" x14ac:dyDescent="0.25">
      <c r="A275" s="49" t="s">
        <v>81</v>
      </c>
      <c r="B275" s="47"/>
      <c r="C275" s="47"/>
      <c r="D275" s="47"/>
      <c r="E275" s="47"/>
      <c r="F275" s="47"/>
      <c r="G275" s="47"/>
      <c r="N275" s="7"/>
      <c r="O275" s="7"/>
      <c r="P275" s="7"/>
      <c r="Q275" s="7"/>
      <c r="U275" s="7"/>
      <c r="V275" s="7"/>
    </row>
    <row r="276" spans="1:22" x14ac:dyDescent="0.25">
      <c r="A276" s="38" t="s">
        <v>315</v>
      </c>
      <c r="B276" s="46">
        <v>0.47264440000000002</v>
      </c>
      <c r="C276" s="46">
        <v>1.2755000000000001E-2</v>
      </c>
      <c r="D276" s="46">
        <v>-27.77</v>
      </c>
      <c r="E276" s="46">
        <v>0</v>
      </c>
      <c r="F276" s="46">
        <v>0.44829469999999999</v>
      </c>
      <c r="G276" s="46">
        <v>0.4983167</v>
      </c>
      <c r="N276" s="9"/>
      <c r="O276" s="9"/>
      <c r="P276" s="7"/>
      <c r="Q276" s="7"/>
      <c r="U276" s="7"/>
      <c r="V276" s="9"/>
    </row>
    <row r="277" spans="1:22" x14ac:dyDescent="0.25">
      <c r="A277" s="38" t="s">
        <v>316</v>
      </c>
      <c r="B277" s="46">
        <v>0.29086679999999998</v>
      </c>
      <c r="C277" s="46">
        <v>1.1653699999999999E-2</v>
      </c>
      <c r="D277" s="46">
        <v>-30.82</v>
      </c>
      <c r="E277" s="46">
        <v>0</v>
      </c>
      <c r="F277" s="46">
        <v>0.26889980000000002</v>
      </c>
      <c r="G277" s="46">
        <v>0.31462839999999997</v>
      </c>
      <c r="N277" s="7"/>
      <c r="O277" s="7"/>
      <c r="U277" s="7"/>
      <c r="V277" s="7"/>
    </row>
    <row r="278" spans="1:22" x14ac:dyDescent="0.25">
      <c r="A278" s="38" t="s">
        <v>317</v>
      </c>
      <c r="B278" s="46">
        <v>0.23952970000000001</v>
      </c>
      <c r="C278" s="46">
        <v>1.0208E-2</v>
      </c>
      <c r="D278" s="46">
        <v>-33.53</v>
      </c>
      <c r="E278" s="46">
        <v>0</v>
      </c>
      <c r="F278" s="46">
        <v>0.22033510000000001</v>
      </c>
      <c r="G278" s="46">
        <v>0.26039649999999998</v>
      </c>
      <c r="N278" s="7"/>
      <c r="O278" s="7"/>
      <c r="U278" s="7"/>
      <c r="V278" s="9"/>
    </row>
    <row r="279" spans="1:22" x14ac:dyDescent="0.25">
      <c r="A279" s="38" t="s">
        <v>82</v>
      </c>
      <c r="B279" s="46">
        <v>0.3410455</v>
      </c>
      <c r="C279" s="46">
        <v>1.5813399999999998E-2</v>
      </c>
      <c r="D279" s="46">
        <v>-23.2</v>
      </c>
      <c r="E279" s="46">
        <v>0</v>
      </c>
      <c r="F279" s="46">
        <v>0.31141839999999998</v>
      </c>
      <c r="G279" s="46">
        <v>0.37349120000000002</v>
      </c>
      <c r="N279" s="7"/>
      <c r="O279" s="7"/>
      <c r="U279" s="7"/>
      <c r="V279" s="9"/>
    </row>
    <row r="280" spans="1:22" x14ac:dyDescent="0.25">
      <c r="A280" s="49"/>
      <c r="B280" s="47"/>
      <c r="C280" s="47"/>
      <c r="D280" s="47"/>
      <c r="E280" s="47"/>
      <c r="F280" s="47"/>
      <c r="G280" s="47"/>
      <c r="N280" s="7"/>
      <c r="O280" s="7"/>
      <c r="U280" s="9"/>
      <c r="V280" s="9"/>
    </row>
    <row r="281" spans="1:22" x14ac:dyDescent="0.25">
      <c r="A281" s="49" t="s">
        <v>93</v>
      </c>
      <c r="B281" s="47"/>
      <c r="C281" s="47"/>
      <c r="D281" s="47"/>
      <c r="E281" s="47"/>
      <c r="F281" s="47"/>
      <c r="G281" s="47"/>
      <c r="N281" s="7"/>
      <c r="O281" s="7"/>
    </row>
    <row r="282" spans="1:22" x14ac:dyDescent="0.25">
      <c r="A282" s="49" t="s">
        <v>154</v>
      </c>
      <c r="B282" s="46">
        <v>4.48625E-2</v>
      </c>
      <c r="C282" s="46">
        <v>9.2256000000000005E-3</v>
      </c>
      <c r="D282" s="46">
        <v>-15.09</v>
      </c>
      <c r="E282" s="46">
        <v>0</v>
      </c>
      <c r="F282" s="46">
        <f>B282-0.0299807</f>
        <v>1.4881800000000001E-2</v>
      </c>
      <c r="G282" s="46">
        <f>0.0671314-B282</f>
        <v>2.2268899999999994E-2</v>
      </c>
      <c r="N282" s="7"/>
      <c r="O282" s="7"/>
    </row>
    <row r="283" spans="1:22" x14ac:dyDescent="0.25">
      <c r="A283" s="49" t="s">
        <v>155</v>
      </c>
      <c r="B283" s="46">
        <v>7.5104099999999993E-2</v>
      </c>
      <c r="C283" s="46">
        <v>1.1714199999999999E-2</v>
      </c>
      <c r="D283" s="46">
        <v>-16.600000000000001</v>
      </c>
      <c r="E283" s="46">
        <v>0</v>
      </c>
      <c r="F283" s="46">
        <f>B283-0.0553222</f>
        <v>1.9781899999999991E-2</v>
      </c>
      <c r="G283" s="46">
        <f>0.1019595-B283</f>
        <v>2.6855400000000001E-2</v>
      </c>
      <c r="N283" s="7"/>
      <c r="O283" s="7"/>
    </row>
    <row r="284" spans="1:22" x14ac:dyDescent="0.25">
      <c r="A284" s="49" t="s">
        <v>156</v>
      </c>
      <c r="B284" s="46">
        <v>0.12445730000000001</v>
      </c>
      <c r="C284" s="46">
        <v>1.5685600000000001E-2</v>
      </c>
      <c r="D284" s="46">
        <v>-16.53</v>
      </c>
      <c r="E284" s="46">
        <v>0</v>
      </c>
      <c r="F284" s="46">
        <f>B284-0.0972168</f>
        <v>2.7240500000000001E-2</v>
      </c>
      <c r="G284" s="46">
        <f>0.1593307-B284</f>
        <v>3.4873399999999985E-2</v>
      </c>
      <c r="N284" s="7"/>
      <c r="O284" s="7"/>
    </row>
    <row r="285" spans="1:22" x14ac:dyDescent="0.25">
      <c r="A285" s="49" t="s">
        <v>157</v>
      </c>
      <c r="B285" s="46">
        <v>0.1572935</v>
      </c>
      <c r="C285" s="46">
        <v>1.8410900000000001E-2</v>
      </c>
      <c r="D285" s="46">
        <v>-15.8</v>
      </c>
      <c r="E285" s="46">
        <v>0</v>
      </c>
      <c r="F285" s="46">
        <f>B285-0.1250487</f>
        <v>3.224479999999999E-2</v>
      </c>
      <c r="G285" s="46">
        <f>0.1978528-B285</f>
        <v>4.0559299999999993E-2</v>
      </c>
      <c r="N285" s="7"/>
      <c r="O285" s="7"/>
    </row>
    <row r="286" spans="1:22" x14ac:dyDescent="0.25">
      <c r="A286" s="49" t="s">
        <v>158</v>
      </c>
      <c r="B286" s="46">
        <v>0.78292329999999999</v>
      </c>
      <c r="C286" s="46">
        <v>5.9173499999999997E-2</v>
      </c>
      <c r="D286" s="46">
        <v>-3.24</v>
      </c>
      <c r="E286" s="46">
        <v>1E-3</v>
      </c>
      <c r="F286" s="46">
        <f>B286-0.6751265</f>
        <v>0.10779680000000003</v>
      </c>
      <c r="G286" s="46">
        <f>0.9079318-B286</f>
        <v>0.12500849999999997</v>
      </c>
      <c r="N286" s="7"/>
      <c r="O286" s="7"/>
    </row>
    <row r="287" spans="1:22" x14ac:dyDescent="0.25">
      <c r="A287" s="49" t="s">
        <v>159</v>
      </c>
      <c r="B287" s="46">
        <v>0.86865680000000001</v>
      </c>
      <c r="C287" s="46">
        <v>6.5380999999999995E-2</v>
      </c>
      <c r="D287" s="46">
        <v>-1.87</v>
      </c>
      <c r="E287" s="46">
        <v>6.0999999999999999E-2</v>
      </c>
      <c r="F287" s="46">
        <f>B287-0.7495163</f>
        <v>0.11914049999999998</v>
      </c>
      <c r="G287" s="46">
        <f>1.006736-B287</f>
        <v>0.13807920000000007</v>
      </c>
      <c r="N287" s="7"/>
      <c r="O287" s="7"/>
    </row>
    <row r="288" spans="1:22" x14ac:dyDescent="0.25">
      <c r="A288" s="49" t="s">
        <v>160</v>
      </c>
      <c r="B288" s="46">
        <v>0.3545586</v>
      </c>
      <c r="C288" s="46">
        <v>3.1300599999999998E-2</v>
      </c>
      <c r="D288" s="46">
        <v>-11.75</v>
      </c>
      <c r="E288" s="46">
        <v>0</v>
      </c>
      <c r="F288" s="46">
        <f>B288-0.2982247</f>
        <v>5.6333899999999992E-2</v>
      </c>
      <c r="G288" s="46">
        <f>0.4215338-B288</f>
        <v>6.6975200000000013E-2</v>
      </c>
      <c r="N288" s="7"/>
      <c r="O288" s="7"/>
    </row>
    <row r="289" spans="1:7" x14ac:dyDescent="0.25">
      <c r="A289" s="49" t="s">
        <v>161</v>
      </c>
      <c r="B289" s="46">
        <v>0.32875759999999998</v>
      </c>
      <c r="C289" s="46">
        <v>3.0032099999999999E-2</v>
      </c>
      <c r="D289" s="46">
        <v>-12.18</v>
      </c>
      <c r="E289" s="46">
        <v>0</v>
      </c>
      <c r="F289" s="46">
        <f>B289-0.2748643</f>
        <v>5.3893299999999977E-2</v>
      </c>
      <c r="G289" s="46">
        <f>0.3932178-B289</f>
        <v>6.4460200000000023E-2</v>
      </c>
    </row>
    <row r="290" spans="1:7" x14ac:dyDescent="0.25">
      <c r="A290" s="49" t="s">
        <v>189</v>
      </c>
      <c r="B290" s="46">
        <v>1.8798840000000001</v>
      </c>
      <c r="C290" s="46">
        <v>0.1551458</v>
      </c>
      <c r="D290" s="46">
        <v>7.65</v>
      </c>
      <c r="E290" s="46">
        <v>0</v>
      </c>
      <c r="F290" s="46">
        <f>B290-1.599123</f>
        <v>0.28076100000000004</v>
      </c>
      <c r="G290" s="46">
        <f>2.209939-B290</f>
        <v>0.33005499999999977</v>
      </c>
    </row>
    <row r="291" spans="1:7" x14ac:dyDescent="0.25">
      <c r="A291" s="49" t="s">
        <v>162</v>
      </c>
      <c r="B291" s="46">
        <v>2.5407860000000002</v>
      </c>
      <c r="C291" s="46">
        <v>0.17313509999999999</v>
      </c>
      <c r="D291" s="46">
        <v>13.68</v>
      </c>
      <c r="E291" s="46">
        <v>0</v>
      </c>
      <c r="F291" s="46">
        <f>B291-2.223132</f>
        <v>0.3176540000000001</v>
      </c>
      <c r="G291" s="46">
        <f>2.903828-B291</f>
        <v>0.36304199999999964</v>
      </c>
    </row>
    <row r="292" spans="1:7" x14ac:dyDescent="0.25">
      <c r="A292" s="49" t="s">
        <v>163</v>
      </c>
      <c r="B292" s="46">
        <v>1</v>
      </c>
      <c r="C292" s="46"/>
      <c r="D292" s="46"/>
      <c r="E292" s="46"/>
      <c r="F292" s="46">
        <v>0</v>
      </c>
      <c r="G292" s="46">
        <v>0</v>
      </c>
    </row>
    <row r="293" spans="1:7" x14ac:dyDescent="0.25">
      <c r="A293" s="49" t="s">
        <v>164</v>
      </c>
      <c r="B293" s="46">
        <v>0.95651450000000005</v>
      </c>
      <c r="C293" s="46">
        <v>6.9242200000000004E-2</v>
      </c>
      <c r="D293" s="46">
        <v>-0.61</v>
      </c>
      <c r="E293" s="46">
        <v>0.53900000000000003</v>
      </c>
      <c r="F293" s="46">
        <f>B293-0.8299901</f>
        <v>0.12652440000000009</v>
      </c>
      <c r="G293" s="46">
        <f>1.102326-B293</f>
        <v>0.14581149999999987</v>
      </c>
    </row>
    <row r="294" spans="1:7" x14ac:dyDescent="0.25">
      <c r="A294" s="49" t="s">
        <v>165</v>
      </c>
      <c r="B294" s="46">
        <v>8.2489099999999996E-2</v>
      </c>
      <c r="C294" s="46">
        <v>1.21341E-2</v>
      </c>
      <c r="D294" s="46">
        <v>-16.96</v>
      </c>
      <c r="E294" s="46">
        <v>0</v>
      </c>
      <c r="F294" s="46">
        <f>B294-0.061828</f>
        <v>2.0661099999999995E-2</v>
      </c>
      <c r="G294" s="46">
        <f>0.1100547-B294</f>
        <v>2.756560000000001E-2</v>
      </c>
    </row>
    <row r="295" spans="1:7" x14ac:dyDescent="0.25">
      <c r="A295" s="49" t="s">
        <v>166</v>
      </c>
      <c r="B295" s="46">
        <v>0.10486230000000001</v>
      </c>
      <c r="C295" s="46">
        <v>1.39089E-2</v>
      </c>
      <c r="D295" s="46">
        <v>-17</v>
      </c>
      <c r="E295" s="46">
        <v>0</v>
      </c>
      <c r="F295" s="46">
        <f>B295-0.0808568</f>
        <v>2.4005499999999999E-2</v>
      </c>
      <c r="G295" s="46">
        <f>0.1359948-B295</f>
        <v>3.1132499999999994E-2</v>
      </c>
    </row>
    <row r="296" spans="1:7" x14ac:dyDescent="0.25">
      <c r="A296" s="49" t="s">
        <v>167</v>
      </c>
      <c r="B296" s="46">
        <v>0.11577419999999999</v>
      </c>
      <c r="C296" s="46">
        <v>1.51287E-2</v>
      </c>
      <c r="D296" s="46">
        <v>-16.5</v>
      </c>
      <c r="E296" s="46">
        <v>0</v>
      </c>
      <c r="F296" s="46">
        <f>B296-0.0896153</f>
        <v>2.6158899999999999E-2</v>
      </c>
      <c r="G296" s="46">
        <f>0.1495691-B296</f>
        <v>3.3794900000000017E-2</v>
      </c>
    </row>
    <row r="297" spans="1:7" x14ac:dyDescent="0.25">
      <c r="A297" s="49" t="s">
        <v>168</v>
      </c>
      <c r="B297" s="46">
        <v>0.12611820000000001</v>
      </c>
      <c r="C297" s="46">
        <v>1.5760900000000001E-2</v>
      </c>
      <c r="D297" s="46">
        <v>-16.57</v>
      </c>
      <c r="E297" s="46">
        <v>0</v>
      </c>
      <c r="F297" s="46">
        <f>B297-0.0987197</f>
        <v>2.739850000000002E-2</v>
      </c>
      <c r="G297" s="46">
        <f>0.1611208-B297</f>
        <v>3.5002599999999995E-2</v>
      </c>
    </row>
    <row r="298" spans="1:7" x14ac:dyDescent="0.25">
      <c r="A298" s="49" t="s">
        <v>169</v>
      </c>
      <c r="B298" s="46">
        <v>0.67727930000000003</v>
      </c>
      <c r="C298" s="46">
        <v>6.8932599999999997E-2</v>
      </c>
      <c r="D298" s="46">
        <v>-3.83</v>
      </c>
      <c r="E298" s="46">
        <v>0</v>
      </c>
      <c r="F298" s="46">
        <f>B298-0.5547964</f>
        <v>0.12248290000000006</v>
      </c>
      <c r="G298" s="46">
        <f>0.8268028-B298</f>
        <v>0.14952349999999992</v>
      </c>
    </row>
    <row r="299" spans="1:7" x14ac:dyDescent="0.25">
      <c r="A299" s="49" t="s">
        <v>170</v>
      </c>
      <c r="B299" s="46">
        <v>0.90124919999999997</v>
      </c>
      <c r="C299" s="46">
        <v>6.9885699999999995E-2</v>
      </c>
      <c r="D299" s="46">
        <v>-1.34</v>
      </c>
      <c r="E299" s="46">
        <v>0.18</v>
      </c>
      <c r="F299" s="46">
        <f>B299-0.7741766</f>
        <v>0.12707259999999998</v>
      </c>
      <c r="G299" s="46">
        <f>1.049179-B299</f>
        <v>0.14792980000000011</v>
      </c>
    </row>
    <row r="300" spans="1:7" x14ac:dyDescent="0.25">
      <c r="A300" s="49" t="s">
        <v>171</v>
      </c>
      <c r="B300" s="46">
        <v>1.5826900000000001E-2</v>
      </c>
      <c r="C300" s="46">
        <v>4.8469999999999997E-3</v>
      </c>
      <c r="D300" s="46">
        <v>-13.54</v>
      </c>
      <c r="E300" s="46">
        <v>0</v>
      </c>
      <c r="F300" s="46">
        <f>B300-0.0086839</f>
        <v>7.1430000000000018E-3</v>
      </c>
      <c r="G300" s="46">
        <f>0.0288453-B300</f>
        <v>1.3018399999999999E-2</v>
      </c>
    </row>
    <row r="301" spans="1:7" x14ac:dyDescent="0.25">
      <c r="A301" s="49" t="s">
        <v>172</v>
      </c>
      <c r="B301" s="46">
        <v>1.99709E-2</v>
      </c>
      <c r="C301" s="46">
        <v>1.00556E-2</v>
      </c>
      <c r="D301" s="46">
        <v>-7.77</v>
      </c>
      <c r="E301" s="46">
        <v>0</v>
      </c>
      <c r="F301" s="46">
        <f>B301-0.0074441</f>
        <v>1.2526799999999999E-2</v>
      </c>
      <c r="G301" s="46">
        <f>0.0535781-B301</f>
        <v>3.3607199999999997E-2</v>
      </c>
    </row>
    <row r="302" spans="1:7" x14ac:dyDescent="0.25">
      <c r="A302" s="49" t="s">
        <v>173</v>
      </c>
      <c r="B302" s="46">
        <v>3.5969300000000003E-2</v>
      </c>
      <c r="C302" s="46">
        <v>7.5122000000000001E-3</v>
      </c>
      <c r="D302" s="46">
        <v>-15.92</v>
      </c>
      <c r="E302" s="46">
        <v>0</v>
      </c>
      <c r="F302" s="46">
        <f>B302-0.0238869</f>
        <v>1.2082400000000004E-2</v>
      </c>
      <c r="G302" s="46">
        <f>0.0541634-B302</f>
        <v>1.8194099999999998E-2</v>
      </c>
    </row>
    <row r="303" spans="1:7" x14ac:dyDescent="0.25">
      <c r="A303" s="49" t="s">
        <v>174</v>
      </c>
      <c r="B303" s="46">
        <v>3.99418E-2</v>
      </c>
      <c r="C303" s="46">
        <v>1.6002300000000001E-2</v>
      </c>
      <c r="D303" s="46">
        <v>-8.0399999999999991</v>
      </c>
      <c r="E303" s="46">
        <v>0</v>
      </c>
      <c r="F303" s="46">
        <f>B303-0.0182139</f>
        <v>2.1727899999999998E-2</v>
      </c>
      <c r="G303" s="46">
        <f>0.0875897-B303</f>
        <v>4.7647900000000007E-2</v>
      </c>
    </row>
    <row r="304" spans="1:7" x14ac:dyDescent="0.25">
      <c r="A304" s="49" t="s">
        <v>175</v>
      </c>
      <c r="B304" s="46">
        <v>0.32084659999999998</v>
      </c>
      <c r="C304" s="46">
        <v>2.9366199999999999E-2</v>
      </c>
      <c r="D304" s="46">
        <v>-12.42</v>
      </c>
      <c r="E304" s="46">
        <v>0</v>
      </c>
      <c r="F304" s="46">
        <f>B304-0.2681571</f>
        <v>5.26895E-2</v>
      </c>
      <c r="G304" s="46">
        <f>0.383889-B304</f>
        <v>6.3042399999999998E-2</v>
      </c>
    </row>
    <row r="305" spans="1:21" x14ac:dyDescent="0.25">
      <c r="A305" s="49" t="s">
        <v>176</v>
      </c>
      <c r="B305" s="46">
        <v>0.59413499999999997</v>
      </c>
      <c r="C305" s="46">
        <v>6.6487000000000004E-2</v>
      </c>
      <c r="D305" s="46">
        <v>-4.6500000000000004</v>
      </c>
      <c r="E305" s="46">
        <v>0</v>
      </c>
      <c r="F305" s="46">
        <f>B305-0.4771236</f>
        <v>0.11701139999999999</v>
      </c>
      <c r="G305" s="46">
        <f>0.7398427-B305</f>
        <v>0.1457077</v>
      </c>
    </row>
    <row r="306" spans="1:21" x14ac:dyDescent="0.25">
      <c r="A306" s="49" t="s">
        <v>177</v>
      </c>
      <c r="B306" s="46">
        <v>0.1280509</v>
      </c>
      <c r="C306" s="46">
        <v>1.5793600000000001E-2</v>
      </c>
      <c r="D306" s="46">
        <v>-16.66</v>
      </c>
      <c r="E306" s="46">
        <v>0</v>
      </c>
      <c r="F306" s="46">
        <f>B306-0.1005533</f>
        <v>2.7497599999999997E-2</v>
      </c>
      <c r="G306" s="46">
        <f>0.163068-B306</f>
        <v>3.5017099999999995E-2</v>
      </c>
    </row>
    <row r="307" spans="1:21" x14ac:dyDescent="0.25">
      <c r="A307" s="49" t="s">
        <v>178</v>
      </c>
      <c r="B307" s="46">
        <v>0.1497819</v>
      </c>
      <c r="C307" s="46">
        <v>2.8697899999999998E-2</v>
      </c>
      <c r="D307" s="46">
        <v>-9.91</v>
      </c>
      <c r="E307" s="46">
        <v>0</v>
      </c>
      <c r="F307" s="46">
        <f>B307-0.1028895</f>
        <v>4.6892400000000001E-2</v>
      </c>
      <c r="G307" s="46">
        <f>0.2180458-B307</f>
        <v>6.8263900000000016E-2</v>
      </c>
    </row>
    <row r="308" spans="1:21" x14ac:dyDescent="0.25">
      <c r="A308" s="49" t="s">
        <v>179</v>
      </c>
      <c r="B308" s="46">
        <v>0.81434609999999996</v>
      </c>
      <c r="C308" s="46">
        <v>8.5689100000000004E-2</v>
      </c>
      <c r="D308" s="46">
        <v>-1.95</v>
      </c>
      <c r="E308" s="46">
        <v>5.0999999999999997E-2</v>
      </c>
      <c r="F308" s="46">
        <f>B308-0.6625853</f>
        <v>0.15176079999999992</v>
      </c>
      <c r="G308" s="46">
        <f>1.000867-B308</f>
        <v>0.18652089999999999</v>
      </c>
    </row>
    <row r="309" spans="1:21" x14ac:dyDescent="0.25">
      <c r="A309" s="49" t="s">
        <v>180</v>
      </c>
      <c r="B309" s="46">
        <v>1.732478</v>
      </c>
      <c r="C309" s="46">
        <v>0.1580279</v>
      </c>
      <c r="D309" s="46">
        <v>6.02</v>
      </c>
      <c r="E309" s="46">
        <v>0</v>
      </c>
      <c r="F309" s="46">
        <f>B309-1.448856</f>
        <v>0.28362200000000004</v>
      </c>
      <c r="G309" s="46">
        <f>2.07162-B309</f>
        <v>0.33914199999999983</v>
      </c>
    </row>
    <row r="310" spans="1:21" x14ac:dyDescent="0.25">
      <c r="A310" s="49" t="s">
        <v>181</v>
      </c>
      <c r="B310" s="46">
        <v>0.55824430000000003</v>
      </c>
      <c r="C310" s="46">
        <v>5.9220000000000002E-2</v>
      </c>
      <c r="D310" s="46">
        <v>-5.5</v>
      </c>
      <c r="E310" s="46">
        <v>0</v>
      </c>
      <c r="F310" s="46">
        <f>B310-0.4534471</f>
        <v>0.10479720000000003</v>
      </c>
      <c r="G310" s="46">
        <f>0.6872614-B310</f>
        <v>0.1290171</v>
      </c>
    </row>
    <row r="311" spans="1:21" x14ac:dyDescent="0.25">
      <c r="A311" s="49" t="s">
        <v>182</v>
      </c>
      <c r="B311" s="46">
        <v>1.0384880000000001</v>
      </c>
      <c r="C311" s="46">
        <v>0.1002478</v>
      </c>
      <c r="D311" s="46">
        <v>0.39</v>
      </c>
      <c r="E311" s="46">
        <v>0.69599999999999995</v>
      </c>
      <c r="F311" s="46">
        <f>B311-0.8594743</f>
        <v>0.17901370000000005</v>
      </c>
      <c r="G311" s="46">
        <f>1.254787-B311</f>
        <v>0.21629900000000002</v>
      </c>
    </row>
    <row r="312" spans="1:21" x14ac:dyDescent="0.25">
      <c r="A312" s="49" t="s">
        <v>183</v>
      </c>
      <c r="B312" s="46">
        <v>5.8989699999999999E-2</v>
      </c>
      <c r="C312" s="46">
        <v>9.8259000000000003E-3</v>
      </c>
      <c r="D312" s="46">
        <v>-16.989999999999998</v>
      </c>
      <c r="E312" s="46">
        <v>0</v>
      </c>
      <c r="F312" s="46">
        <f>B312-0.042559</f>
        <v>1.6430699999999999E-2</v>
      </c>
      <c r="G312" s="46">
        <f>0.0817639-B312</f>
        <v>2.2774200000000001E-2</v>
      </c>
    </row>
    <row r="313" spans="1:21" x14ac:dyDescent="0.25">
      <c r="A313" s="49" t="s">
        <v>184</v>
      </c>
      <c r="B313" s="46">
        <v>9.9854600000000002E-2</v>
      </c>
      <c r="C313" s="46">
        <v>2.3028099999999999E-2</v>
      </c>
      <c r="D313" s="46">
        <v>-9.99</v>
      </c>
      <c r="E313" s="46">
        <v>0</v>
      </c>
      <c r="F313" s="46">
        <f>B313-0.063543</f>
        <v>3.6311599999999999E-2</v>
      </c>
      <c r="G313" s="46">
        <f>0.1569166-B313</f>
        <v>5.7061999999999988E-2</v>
      </c>
    </row>
    <row r="314" spans="1:21" x14ac:dyDescent="0.25">
      <c r="A314" s="49" t="s">
        <v>185</v>
      </c>
      <c r="B314" s="46">
        <v>5.4673399999999997E-2</v>
      </c>
      <c r="C314" s="46">
        <v>9.4190999999999997E-3</v>
      </c>
      <c r="D314" s="46">
        <v>-16.87</v>
      </c>
      <c r="E314" s="46">
        <v>0</v>
      </c>
      <c r="F314" s="46">
        <f>B314-0.039006</f>
        <v>1.5667399999999998E-2</v>
      </c>
      <c r="G314" s="46">
        <f>0.0766338-B314</f>
        <v>2.1960400000000005E-2</v>
      </c>
    </row>
    <row r="315" spans="1:21" x14ac:dyDescent="0.25">
      <c r="A315" s="49" t="s">
        <v>186</v>
      </c>
      <c r="B315" s="46">
        <v>7.9883700000000002E-2</v>
      </c>
      <c r="C315" s="46">
        <v>2.0584499999999999E-2</v>
      </c>
      <c r="D315" s="46">
        <v>-9.81</v>
      </c>
      <c r="E315" s="46">
        <v>0</v>
      </c>
      <c r="F315" s="46">
        <f>B315-0.048208</f>
        <v>3.1675700000000001E-2</v>
      </c>
      <c r="G315" s="46">
        <f>0.1323722-B315</f>
        <v>5.2488499999999993E-2</v>
      </c>
    </row>
    <row r="316" spans="1:21" x14ac:dyDescent="0.25">
      <c r="A316" s="49" t="s">
        <v>187</v>
      </c>
      <c r="B316" s="46">
        <v>0.30214249999999998</v>
      </c>
      <c r="C316" s="46">
        <v>3.2255600000000002E-2</v>
      </c>
      <c r="D316" s="46">
        <v>-11.21</v>
      </c>
      <c r="E316" s="46">
        <v>0</v>
      </c>
      <c r="F316" s="46">
        <f>B316-0.2450986</f>
        <v>5.7043899999999981E-2</v>
      </c>
      <c r="G316" s="46">
        <f>0.3724628-B316</f>
        <v>7.0320300000000002E-2</v>
      </c>
    </row>
    <row r="317" spans="1:21" x14ac:dyDescent="0.25">
      <c r="A317" s="49" t="s">
        <v>188</v>
      </c>
      <c r="B317" s="46">
        <v>0.66403319999999999</v>
      </c>
      <c r="C317" s="46">
        <v>7.52332E-2</v>
      </c>
      <c r="D317" s="46">
        <v>-3.61</v>
      </c>
      <c r="E317" s="46">
        <v>0</v>
      </c>
      <c r="F317" s="46">
        <f>B317-0.5318032</f>
        <v>0.13222999999999996</v>
      </c>
      <c r="G317" s="46">
        <f>0.8291416-B317</f>
        <v>0.16510840000000004</v>
      </c>
    </row>
    <row r="318" spans="1:21" x14ac:dyDescent="0.25">
      <c r="A318" s="49"/>
      <c r="B318" s="47"/>
      <c r="C318" s="47"/>
      <c r="D318" s="47"/>
      <c r="E318" s="47"/>
      <c r="F318" s="47"/>
      <c r="G318" s="47"/>
    </row>
    <row r="319" spans="1:21" x14ac:dyDescent="0.25">
      <c r="A319" s="50" t="s">
        <v>6</v>
      </c>
      <c r="B319" s="48">
        <v>6.6538999999999999E-3</v>
      </c>
      <c r="C319" s="48">
        <v>4.17E-4</v>
      </c>
      <c r="D319" s="48">
        <v>-79.989999999999995</v>
      </c>
      <c r="E319" s="48">
        <v>0</v>
      </c>
      <c r="F319" s="48">
        <v>5.8847999999999999E-3</v>
      </c>
      <c r="G319" s="48">
        <v>7.5234999999999998E-3</v>
      </c>
    </row>
    <row r="320" spans="1:21" x14ac:dyDescent="0.25">
      <c r="T320" s="46"/>
      <c r="U320" s="46"/>
    </row>
    <row r="321" spans="1:21" ht="15.75" thickBot="1" x14ac:dyDescent="0.3">
      <c r="T321" s="46"/>
      <c r="U321" s="46"/>
    </row>
    <row r="322" spans="1:21" x14ac:dyDescent="0.25">
      <c r="A322" s="10"/>
      <c r="B322" s="11"/>
      <c r="C322" s="11" t="s">
        <v>9</v>
      </c>
      <c r="D322" s="11" t="s">
        <v>10</v>
      </c>
      <c r="E322" s="11" t="s">
        <v>40</v>
      </c>
      <c r="F322" s="11" t="s">
        <v>11</v>
      </c>
      <c r="G322" s="11" t="s">
        <v>89</v>
      </c>
      <c r="H322" s="11" t="s">
        <v>8</v>
      </c>
      <c r="I322" s="11" t="s">
        <v>62</v>
      </c>
      <c r="J322" s="11" t="s">
        <v>63</v>
      </c>
      <c r="K322" s="12" t="s">
        <v>65</v>
      </c>
      <c r="M322" s="46">
        <v>1.4881800000000001E-2</v>
      </c>
      <c r="N322" s="46">
        <v>2.2268899999999994E-2</v>
      </c>
      <c r="O322" s="46">
        <v>5.6333899999999992E-2</v>
      </c>
      <c r="P322" s="46">
        <v>6.6975200000000013E-2</v>
      </c>
      <c r="Q322" s="46">
        <v>2.0661099999999995E-2</v>
      </c>
      <c r="R322" s="46">
        <v>2.756560000000001E-2</v>
      </c>
      <c r="T322" s="46"/>
      <c r="U322" s="46"/>
    </row>
    <row r="323" spans="1:21" x14ac:dyDescent="0.25">
      <c r="A323" s="24" t="s">
        <v>94</v>
      </c>
      <c r="B323" s="7" t="s">
        <v>152</v>
      </c>
      <c r="C323" s="14">
        <f>B282</f>
        <v>4.48625E-2</v>
      </c>
      <c r="D323" s="15">
        <f>B284</f>
        <v>0.12445730000000001</v>
      </c>
      <c r="E323" s="15">
        <f>B286</f>
        <v>0.78292329999999999</v>
      </c>
      <c r="F323" s="15">
        <f>B288</f>
        <v>0.3545586</v>
      </c>
      <c r="G323" s="15">
        <f>B290</f>
        <v>1.8798840000000001</v>
      </c>
      <c r="H323" s="15">
        <f>B292</f>
        <v>1</v>
      </c>
      <c r="I323" s="4">
        <f>B294</f>
        <v>8.2489099999999996E-2</v>
      </c>
      <c r="J323" s="25">
        <f>B296</f>
        <v>0.11577419999999999</v>
      </c>
      <c r="K323" s="17">
        <f>B298</f>
        <v>0.67727930000000003</v>
      </c>
      <c r="M323" s="46">
        <v>1.9781899999999991E-2</v>
      </c>
      <c r="N323" s="46">
        <v>2.6855400000000001E-2</v>
      </c>
      <c r="O323" s="46">
        <v>5.3893299999999977E-2</v>
      </c>
      <c r="P323" s="46">
        <v>6.4460200000000023E-2</v>
      </c>
      <c r="Q323" s="46">
        <v>2.4005499999999999E-2</v>
      </c>
      <c r="R323" s="46">
        <v>3.1132499999999994E-2</v>
      </c>
      <c r="T323" s="46"/>
      <c r="U323" s="46"/>
    </row>
    <row r="324" spans="1:21" x14ac:dyDescent="0.25">
      <c r="A324" s="24"/>
      <c r="B324" s="7" t="s">
        <v>372</v>
      </c>
      <c r="C324" s="15">
        <f>B283</f>
        <v>7.5104099999999993E-2</v>
      </c>
      <c r="D324" s="15">
        <f>B285</f>
        <v>0.1572935</v>
      </c>
      <c r="E324" s="15">
        <f>B287</f>
        <v>0.86865680000000001</v>
      </c>
      <c r="F324" s="15">
        <f>B289</f>
        <v>0.32875759999999998</v>
      </c>
      <c r="G324" s="15">
        <f>B291</f>
        <v>2.5407860000000002</v>
      </c>
      <c r="H324" s="15">
        <f>B293</f>
        <v>0.95651450000000005</v>
      </c>
      <c r="I324" s="4">
        <f>B295</f>
        <v>0.10486230000000001</v>
      </c>
      <c r="J324" s="25">
        <f>B297</f>
        <v>0.12611820000000001</v>
      </c>
      <c r="K324" s="18">
        <f>B299</f>
        <v>0.90124919999999997</v>
      </c>
      <c r="M324" s="46">
        <v>7.1430000000000018E-3</v>
      </c>
      <c r="N324" s="46">
        <v>1.3018399999999999E-2</v>
      </c>
      <c r="O324" s="46">
        <v>2.7497599999999997E-2</v>
      </c>
      <c r="P324" s="46">
        <v>3.5017099999999995E-2</v>
      </c>
      <c r="Q324" s="46">
        <v>1.6430699999999999E-2</v>
      </c>
      <c r="R324" s="46">
        <v>2.2774200000000001E-2</v>
      </c>
      <c r="T324" s="46"/>
      <c r="U324" s="46"/>
    </row>
    <row r="325" spans="1:21" x14ac:dyDescent="0.25">
      <c r="A325" s="24" t="s">
        <v>95</v>
      </c>
      <c r="B325" s="7" t="s">
        <v>152</v>
      </c>
      <c r="C325" s="15">
        <f>B300</f>
        <v>1.5826900000000001E-2</v>
      </c>
      <c r="D325" s="15">
        <f>B302</f>
        <v>3.5969300000000003E-2</v>
      </c>
      <c r="E325" s="15">
        <f>B304</f>
        <v>0.32084659999999998</v>
      </c>
      <c r="F325" s="15">
        <f>B306</f>
        <v>0.1280509</v>
      </c>
      <c r="G325" s="15">
        <f>B308</f>
        <v>0.81434609999999996</v>
      </c>
      <c r="H325" s="15">
        <f>B310</f>
        <v>0.55824430000000003</v>
      </c>
      <c r="I325" s="4">
        <f>B312</f>
        <v>5.8989699999999999E-2</v>
      </c>
      <c r="J325" s="25">
        <f>B314</f>
        <v>5.4673399999999997E-2</v>
      </c>
      <c r="K325" s="17">
        <f>B316</f>
        <v>0.30214249999999998</v>
      </c>
      <c r="M325" s="46">
        <v>1.2526799999999999E-2</v>
      </c>
      <c r="N325" s="46">
        <v>3.3607199999999997E-2</v>
      </c>
      <c r="O325" s="46">
        <v>4.6892400000000001E-2</v>
      </c>
      <c r="P325" s="46">
        <v>6.8263900000000016E-2</v>
      </c>
      <c r="Q325" s="46">
        <v>3.6311599999999999E-2</v>
      </c>
      <c r="R325" s="46">
        <v>5.7061999999999988E-2</v>
      </c>
      <c r="T325" s="46"/>
      <c r="U325" s="46"/>
    </row>
    <row r="326" spans="1:21" ht="15.75" thickBot="1" x14ac:dyDescent="0.3">
      <c r="A326" s="26"/>
      <c r="B326" s="27" t="s">
        <v>372</v>
      </c>
      <c r="C326" s="30">
        <f>B301</f>
        <v>1.99709E-2</v>
      </c>
      <c r="D326" s="30">
        <f>B303</f>
        <v>3.99418E-2</v>
      </c>
      <c r="E326" s="29">
        <f>B305</f>
        <v>0.59413499999999997</v>
      </c>
      <c r="F326" s="29">
        <f>B307</f>
        <v>0.1497819</v>
      </c>
      <c r="G326" s="28">
        <f>B309</f>
        <v>1.732478</v>
      </c>
      <c r="H326" s="29">
        <f>B311</f>
        <v>1.0384880000000001</v>
      </c>
      <c r="I326" s="29">
        <f>B313</f>
        <v>9.9854600000000002E-2</v>
      </c>
      <c r="J326" s="29">
        <f>B315</f>
        <v>7.9883700000000002E-2</v>
      </c>
      <c r="K326" s="31">
        <f>B317</f>
        <v>0.66403319999999999</v>
      </c>
      <c r="M326" s="46">
        <v>2.7240500000000001E-2</v>
      </c>
      <c r="N326" s="46">
        <v>3.4873399999999985E-2</v>
      </c>
      <c r="O326" s="46">
        <v>0.28076100000000004</v>
      </c>
      <c r="P326" s="46">
        <v>0.33005499999999977</v>
      </c>
      <c r="Q326" s="46">
        <v>2.6158899999999999E-2</v>
      </c>
      <c r="R326" s="46">
        <v>3.3794900000000017E-2</v>
      </c>
      <c r="T326" s="46"/>
      <c r="U326" s="46"/>
    </row>
    <row r="327" spans="1:21" x14ac:dyDescent="0.25">
      <c r="M327" s="46">
        <v>3.224479999999999E-2</v>
      </c>
      <c r="N327" s="46">
        <v>4.0559299999999993E-2</v>
      </c>
      <c r="O327" s="46">
        <v>0.3176540000000001</v>
      </c>
      <c r="P327" s="46">
        <v>0.36304199999999964</v>
      </c>
      <c r="Q327" s="46">
        <v>2.739850000000002E-2</v>
      </c>
      <c r="R327" s="46">
        <v>3.5002599999999995E-2</v>
      </c>
      <c r="T327" s="46"/>
      <c r="U327" s="46"/>
    </row>
    <row r="328" spans="1:21" x14ac:dyDescent="0.25">
      <c r="M328" s="46">
        <v>1.2082400000000004E-2</v>
      </c>
      <c r="N328" s="46">
        <v>1.8194099999999998E-2</v>
      </c>
      <c r="O328" s="46">
        <v>0.15176079999999992</v>
      </c>
      <c r="P328" s="46">
        <v>0.18652089999999999</v>
      </c>
      <c r="Q328" s="46">
        <v>1.5667399999999998E-2</v>
      </c>
      <c r="R328" s="46">
        <v>2.1960400000000005E-2</v>
      </c>
      <c r="T328" s="46"/>
      <c r="U328" s="46"/>
    </row>
    <row r="329" spans="1:21" x14ac:dyDescent="0.25">
      <c r="M329" s="46">
        <v>2.1727899999999998E-2</v>
      </c>
      <c r="N329" s="46">
        <v>4.7647900000000007E-2</v>
      </c>
      <c r="O329" s="46">
        <v>0.28362200000000004</v>
      </c>
      <c r="P329" s="46">
        <v>0.33914199999999983</v>
      </c>
      <c r="Q329" s="46">
        <v>3.1675700000000001E-2</v>
      </c>
      <c r="R329" s="46">
        <v>5.2488499999999993E-2</v>
      </c>
      <c r="T329" s="46"/>
      <c r="U329" s="46"/>
    </row>
    <row r="330" spans="1:21" x14ac:dyDescent="0.25">
      <c r="M330" s="46">
        <v>0.10779680000000003</v>
      </c>
      <c r="N330" s="46">
        <v>0.12500849999999997</v>
      </c>
      <c r="O330" s="46">
        <v>0</v>
      </c>
      <c r="P330" s="46">
        <v>0</v>
      </c>
      <c r="Q330" s="46">
        <v>0.12248290000000006</v>
      </c>
      <c r="R330" s="46">
        <v>0.14952349999999992</v>
      </c>
      <c r="T330" s="46"/>
      <c r="U330" s="46"/>
    </row>
    <row r="331" spans="1:21" x14ac:dyDescent="0.25">
      <c r="M331" s="46">
        <v>0.11914049999999998</v>
      </c>
      <c r="N331" s="46">
        <v>0.13807920000000007</v>
      </c>
      <c r="O331" s="46">
        <v>0.12652440000000009</v>
      </c>
      <c r="P331" s="46">
        <v>0.14581149999999987</v>
      </c>
      <c r="Q331" s="46">
        <v>0.12707259999999998</v>
      </c>
      <c r="R331" s="46">
        <v>0.14792980000000011</v>
      </c>
      <c r="T331" s="46"/>
      <c r="U331" s="46"/>
    </row>
    <row r="332" spans="1:21" x14ac:dyDescent="0.25">
      <c r="M332" s="46">
        <v>5.26895E-2</v>
      </c>
      <c r="N332" s="46">
        <v>6.3042399999999998E-2</v>
      </c>
      <c r="O332" s="46">
        <v>0.10479720000000003</v>
      </c>
      <c r="P332" s="46">
        <v>0.1290171</v>
      </c>
      <c r="Q332" s="46">
        <v>5.7043899999999981E-2</v>
      </c>
      <c r="R332" s="46">
        <v>7.0320300000000002E-2</v>
      </c>
      <c r="T332" s="46"/>
      <c r="U332" s="46"/>
    </row>
    <row r="333" spans="1:21" x14ac:dyDescent="0.25">
      <c r="M333" s="46">
        <v>0.11701139999999999</v>
      </c>
      <c r="N333" s="46">
        <v>0.1457077</v>
      </c>
      <c r="O333" s="46">
        <v>0.17901370000000005</v>
      </c>
      <c r="P333" s="46">
        <v>0.21629900000000002</v>
      </c>
      <c r="Q333" s="46">
        <v>0.13222999999999996</v>
      </c>
      <c r="R333" s="46">
        <v>0.16510840000000004</v>
      </c>
      <c r="T333" s="46"/>
      <c r="U333" s="46"/>
    </row>
    <row r="334" spans="1:21" x14ac:dyDescent="0.25">
      <c r="M334" s="7"/>
      <c r="N334" s="7"/>
      <c r="O334" s="7"/>
      <c r="P334" s="7"/>
      <c r="Q334" s="7"/>
      <c r="R334" s="7"/>
      <c r="T334" s="46"/>
      <c r="U334" s="46"/>
    </row>
    <row r="335" spans="1:21" x14ac:dyDescent="0.25">
      <c r="M335" s="9"/>
      <c r="N335" s="9"/>
      <c r="O335" s="7"/>
      <c r="P335" s="7"/>
      <c r="Q335" s="7"/>
      <c r="R335" s="7"/>
      <c r="T335" s="46"/>
      <c r="U335" s="46"/>
    </row>
    <row r="336" spans="1:21" x14ac:dyDescent="0.25">
      <c r="M336" s="7"/>
      <c r="N336" s="7"/>
      <c r="O336" s="7"/>
      <c r="P336" s="7"/>
      <c r="Q336" s="7"/>
      <c r="R336" s="7"/>
      <c r="T336" s="46"/>
      <c r="U336" s="46"/>
    </row>
    <row r="337" spans="1:21" x14ac:dyDescent="0.25">
      <c r="M337" s="7"/>
      <c r="N337" s="7"/>
      <c r="O337" s="7"/>
      <c r="P337" s="7"/>
      <c r="Q337" s="7"/>
      <c r="R337" s="7"/>
      <c r="T337" s="46"/>
      <c r="U337" s="46"/>
    </row>
    <row r="338" spans="1:21" x14ac:dyDescent="0.25">
      <c r="M338" s="7"/>
      <c r="N338" s="7"/>
      <c r="O338" s="7"/>
      <c r="P338" s="7"/>
      <c r="Q338" s="7"/>
      <c r="R338" s="7"/>
      <c r="T338" s="7"/>
      <c r="U338" s="7"/>
    </row>
    <row r="339" spans="1:21" x14ac:dyDescent="0.25">
      <c r="M339" s="7"/>
      <c r="N339" s="7"/>
      <c r="O339" s="7"/>
      <c r="P339" s="9"/>
      <c r="Q339" s="7"/>
      <c r="R339" s="7"/>
      <c r="T339" s="7"/>
      <c r="U339" s="7"/>
    </row>
    <row r="340" spans="1:21" x14ac:dyDescent="0.25">
      <c r="M340" s="7"/>
      <c r="N340" s="7"/>
      <c r="O340" s="7"/>
      <c r="P340" s="9"/>
      <c r="Q340" s="7"/>
      <c r="R340" s="7"/>
      <c r="T340" s="7"/>
      <c r="U340" s="9"/>
    </row>
    <row r="341" spans="1:21" x14ac:dyDescent="0.25">
      <c r="M341" s="7"/>
      <c r="N341" s="7"/>
      <c r="O341" s="7"/>
      <c r="P341" s="9"/>
      <c r="Q341" s="7"/>
      <c r="R341" s="9"/>
      <c r="T341" s="7"/>
      <c r="U341" s="9"/>
    </row>
    <row r="342" spans="1:21" x14ac:dyDescent="0.25">
      <c r="M342" s="7"/>
      <c r="N342" s="7"/>
      <c r="O342" s="7"/>
      <c r="P342" s="7"/>
      <c r="T342" s="7"/>
      <c r="U342" s="7"/>
    </row>
    <row r="343" spans="1:21" x14ac:dyDescent="0.25">
      <c r="M343" s="7"/>
      <c r="N343" s="7"/>
      <c r="O343" s="7"/>
      <c r="P343" s="7"/>
      <c r="T343" s="7"/>
      <c r="U343" s="7"/>
    </row>
    <row r="344" spans="1:21" x14ac:dyDescent="0.25">
      <c r="M344" s="7"/>
      <c r="N344" s="7"/>
      <c r="O344" s="7"/>
      <c r="P344" s="7"/>
      <c r="T344" s="7"/>
      <c r="U344" s="7"/>
    </row>
    <row r="345" spans="1:21" s="1" customFormat="1" x14ac:dyDescent="0.25">
      <c r="A345" s="1" t="s">
        <v>103</v>
      </c>
      <c r="M345" s="33"/>
      <c r="N345" s="33"/>
      <c r="O345" s="33"/>
      <c r="P345" s="33"/>
      <c r="T345" s="33"/>
      <c r="U345" s="33"/>
    </row>
    <row r="346" spans="1:21" x14ac:dyDescent="0.25">
      <c r="M346" s="9"/>
      <c r="N346" s="9"/>
      <c r="O346" s="7"/>
      <c r="P346" s="7"/>
      <c r="T346" s="7"/>
      <c r="U346" s="7"/>
    </row>
    <row r="347" spans="1:21" x14ac:dyDescent="0.25">
      <c r="A347" s="49"/>
      <c r="B347" s="46" t="s">
        <v>1</v>
      </c>
      <c r="C347" s="47"/>
      <c r="D347" s="47"/>
      <c r="E347" s="47"/>
      <c r="F347" s="47"/>
      <c r="G347" s="47"/>
      <c r="M347" s="9"/>
      <c r="N347" s="9"/>
      <c r="O347" s="7"/>
      <c r="P347" s="7"/>
      <c r="T347" s="7"/>
      <c r="U347" s="7"/>
    </row>
    <row r="348" spans="1:21" x14ac:dyDescent="0.25">
      <c r="A348" s="50" t="s">
        <v>2</v>
      </c>
      <c r="B348" s="48" t="s">
        <v>269</v>
      </c>
      <c r="C348" s="48" t="s">
        <v>270</v>
      </c>
      <c r="D348" s="48" t="s">
        <v>3</v>
      </c>
      <c r="E348" s="48" t="s">
        <v>4</v>
      </c>
      <c r="F348" s="48" t="s">
        <v>271</v>
      </c>
      <c r="G348" s="48" t="s">
        <v>272</v>
      </c>
      <c r="M348" s="7"/>
      <c r="N348" s="7"/>
      <c r="O348" s="7"/>
      <c r="P348" s="7"/>
      <c r="T348" s="7"/>
      <c r="U348" s="7"/>
    </row>
    <row r="349" spans="1:21" x14ac:dyDescent="0.25">
      <c r="A349" s="49"/>
      <c r="B349" s="46"/>
      <c r="C349" s="46"/>
      <c r="D349" s="47"/>
      <c r="E349" s="47"/>
      <c r="F349" s="47"/>
      <c r="G349" s="47"/>
      <c r="M349" s="7"/>
      <c r="N349" s="9"/>
      <c r="O349" s="7"/>
      <c r="P349" s="7"/>
      <c r="T349" s="7"/>
      <c r="U349" s="7"/>
    </row>
    <row r="350" spans="1:21" x14ac:dyDescent="0.25">
      <c r="A350" s="49" t="s">
        <v>72</v>
      </c>
      <c r="B350" s="47"/>
      <c r="C350" s="47"/>
      <c r="D350" s="47"/>
      <c r="E350" s="47"/>
      <c r="F350" s="47"/>
      <c r="G350" s="47"/>
      <c r="M350" s="7"/>
      <c r="N350" s="7"/>
      <c r="O350" s="7"/>
      <c r="P350" s="7"/>
      <c r="T350" s="7"/>
      <c r="U350" s="7"/>
    </row>
    <row r="351" spans="1:21" x14ac:dyDescent="0.25">
      <c r="A351" s="49" t="s">
        <v>73</v>
      </c>
      <c r="B351" s="46">
        <v>1.7346330000000001</v>
      </c>
      <c r="C351" s="46">
        <v>5.55241E-2</v>
      </c>
      <c r="D351" s="46">
        <v>17.21</v>
      </c>
      <c r="E351" s="46">
        <v>0</v>
      </c>
      <c r="F351" s="46">
        <v>1.629151</v>
      </c>
      <c r="G351" s="46">
        <v>1.8469439999999999</v>
      </c>
      <c r="M351" s="9"/>
      <c r="N351" s="9"/>
      <c r="O351" s="7"/>
      <c r="P351" s="7"/>
      <c r="T351" s="7"/>
      <c r="U351" s="7"/>
    </row>
    <row r="352" spans="1:21" x14ac:dyDescent="0.25">
      <c r="A352" s="49"/>
      <c r="B352" s="47"/>
      <c r="C352" s="47"/>
      <c r="D352" s="47"/>
      <c r="E352" s="47"/>
      <c r="F352" s="47"/>
      <c r="G352" s="47"/>
      <c r="M352" s="7"/>
      <c r="N352" s="7"/>
      <c r="T352" s="7"/>
      <c r="U352" s="7"/>
    </row>
    <row r="353" spans="1:21" x14ac:dyDescent="0.25">
      <c r="A353" s="49" t="s">
        <v>74</v>
      </c>
      <c r="B353" s="47"/>
      <c r="C353" s="47"/>
      <c r="D353" s="47"/>
      <c r="E353" s="47"/>
      <c r="F353" s="47"/>
      <c r="G353" s="47"/>
      <c r="M353" s="7"/>
      <c r="N353" s="7"/>
      <c r="T353" s="7"/>
      <c r="U353" s="7"/>
    </row>
    <row r="354" spans="1:21" x14ac:dyDescent="0.25">
      <c r="A354" s="49" t="s">
        <v>75</v>
      </c>
      <c r="B354" s="46">
        <v>0.77943649999999998</v>
      </c>
      <c r="C354" s="46">
        <v>2.6288800000000001E-2</v>
      </c>
      <c r="D354" s="46">
        <v>-7.39</v>
      </c>
      <c r="E354" s="46">
        <v>0</v>
      </c>
      <c r="F354" s="46">
        <v>0.72957749999999999</v>
      </c>
      <c r="G354" s="46">
        <v>0.83270290000000002</v>
      </c>
      <c r="M354" s="7"/>
      <c r="N354" s="7"/>
      <c r="T354" s="7"/>
      <c r="U354" s="7"/>
    </row>
    <row r="355" spans="1:21" x14ac:dyDescent="0.25">
      <c r="A355" s="49" t="s">
        <v>76</v>
      </c>
      <c r="B355" s="46">
        <v>0.64202349999999997</v>
      </c>
      <c r="C355" s="46">
        <v>2.8395900000000002E-2</v>
      </c>
      <c r="D355" s="46">
        <v>-10.02</v>
      </c>
      <c r="E355" s="46">
        <v>0</v>
      </c>
      <c r="F355" s="46">
        <v>0.58871260000000003</v>
      </c>
      <c r="G355" s="46">
        <v>0.70016199999999995</v>
      </c>
      <c r="M355" s="7"/>
      <c r="N355" s="7"/>
      <c r="T355" s="7"/>
      <c r="U355" s="9"/>
    </row>
    <row r="356" spans="1:21" x14ac:dyDescent="0.25">
      <c r="A356" s="49" t="s">
        <v>77</v>
      </c>
      <c r="B356" s="46">
        <v>0.5700923</v>
      </c>
      <c r="C356" s="46">
        <v>3.08305E-2</v>
      </c>
      <c r="D356" s="46">
        <v>-10.39</v>
      </c>
      <c r="E356" s="46">
        <v>0</v>
      </c>
      <c r="F356" s="46">
        <v>0.51275800000000005</v>
      </c>
      <c r="G356" s="46">
        <v>0.6338376</v>
      </c>
      <c r="M356" s="7"/>
      <c r="N356" s="7"/>
    </row>
    <row r="357" spans="1:21" x14ac:dyDescent="0.25">
      <c r="A357" s="49" t="s">
        <v>78</v>
      </c>
      <c r="B357" s="46">
        <v>0.51715999999999995</v>
      </c>
      <c r="C357" s="46">
        <v>3.0763200000000001E-2</v>
      </c>
      <c r="D357" s="46">
        <v>-11.09</v>
      </c>
      <c r="E357" s="46">
        <v>0</v>
      </c>
      <c r="F357" s="46">
        <v>0.46024739999999997</v>
      </c>
      <c r="G357" s="46">
        <v>0.58111029999999997</v>
      </c>
      <c r="M357" s="7"/>
      <c r="N357" s="7"/>
    </row>
    <row r="358" spans="1:21" x14ac:dyDescent="0.25">
      <c r="A358" s="49" t="s">
        <v>79</v>
      </c>
      <c r="B358" s="46">
        <v>0.49529709999999999</v>
      </c>
      <c r="C358" s="46">
        <v>3.7272600000000003E-2</v>
      </c>
      <c r="D358" s="46">
        <v>-9.34</v>
      </c>
      <c r="E358" s="46">
        <v>0</v>
      </c>
      <c r="F358" s="46">
        <v>0.42737609999999998</v>
      </c>
      <c r="G358" s="46">
        <v>0.57401250000000004</v>
      </c>
      <c r="M358" s="7"/>
      <c r="N358" s="7"/>
    </row>
    <row r="359" spans="1:21" x14ac:dyDescent="0.25">
      <c r="A359" s="49" t="s">
        <v>80</v>
      </c>
      <c r="B359" s="46">
        <v>0.36014829999999998</v>
      </c>
      <c r="C359" s="46">
        <v>2.80019E-2</v>
      </c>
      <c r="D359" s="46">
        <v>-13.13</v>
      </c>
      <c r="E359" s="46">
        <v>0</v>
      </c>
      <c r="F359" s="46">
        <v>0.30924289999999999</v>
      </c>
      <c r="G359" s="46">
        <v>0.41943340000000001</v>
      </c>
      <c r="M359" s="7"/>
      <c r="N359" s="7"/>
    </row>
    <row r="360" spans="1:21" x14ac:dyDescent="0.25">
      <c r="A360" s="49" t="s">
        <v>86</v>
      </c>
      <c r="B360" s="46">
        <v>0.27542759999999999</v>
      </c>
      <c r="C360" s="46">
        <v>2.3093800000000001E-2</v>
      </c>
      <c r="D360" s="46">
        <v>-15.38</v>
      </c>
      <c r="E360" s="46">
        <v>0</v>
      </c>
      <c r="F360" s="46">
        <v>0.23368820000000001</v>
      </c>
      <c r="G360" s="46">
        <v>0.32462220000000003</v>
      </c>
      <c r="M360" s="7"/>
      <c r="N360" s="7"/>
    </row>
    <row r="361" spans="1:21" x14ac:dyDescent="0.25">
      <c r="A361" s="49" t="s">
        <v>87</v>
      </c>
      <c r="B361" s="46">
        <v>0.1748043</v>
      </c>
      <c r="C361" s="46">
        <v>2.6857499999999999E-2</v>
      </c>
      <c r="D361" s="46">
        <v>-11.35</v>
      </c>
      <c r="E361" s="46">
        <v>0</v>
      </c>
      <c r="F361" s="46">
        <v>0.12935140000000001</v>
      </c>
      <c r="G361" s="46">
        <v>0.2362291</v>
      </c>
      <c r="M361" s="7"/>
      <c r="N361" s="7"/>
    </row>
    <row r="362" spans="1:21" x14ac:dyDescent="0.25">
      <c r="A362" s="49" t="s">
        <v>88</v>
      </c>
      <c r="B362" s="46">
        <v>4.2482499999999999E-2</v>
      </c>
      <c r="C362" s="46">
        <v>1.19589E-2</v>
      </c>
      <c r="D362" s="46">
        <v>-11.22</v>
      </c>
      <c r="E362" s="46">
        <v>0</v>
      </c>
      <c r="F362" s="46">
        <v>2.4467699999999998E-2</v>
      </c>
      <c r="G362" s="46">
        <v>7.3760800000000001E-2</v>
      </c>
      <c r="M362" s="7"/>
      <c r="N362" s="7"/>
    </row>
    <row r="363" spans="1:21" x14ac:dyDescent="0.25">
      <c r="A363" s="49"/>
      <c r="B363" s="47"/>
      <c r="C363" s="47"/>
      <c r="D363" s="47"/>
      <c r="E363" s="47"/>
      <c r="F363" s="47"/>
      <c r="G363" s="47"/>
      <c r="M363" s="7"/>
      <c r="N363" s="7"/>
    </row>
    <row r="364" spans="1:21" x14ac:dyDescent="0.25">
      <c r="A364" s="49" t="s">
        <v>108</v>
      </c>
      <c r="B364" s="47"/>
      <c r="C364" s="47"/>
      <c r="D364" s="47"/>
      <c r="E364" s="47"/>
      <c r="F364" s="47"/>
      <c r="G364" s="47"/>
    </row>
    <row r="365" spans="1:21" x14ac:dyDescent="0.25">
      <c r="A365" s="49">
        <v>2</v>
      </c>
      <c r="B365" s="46">
        <v>1.308511</v>
      </c>
      <c r="C365" s="46">
        <v>3.33163E-2</v>
      </c>
      <c r="D365" s="46">
        <v>10.56</v>
      </c>
      <c r="E365" s="46">
        <v>0</v>
      </c>
      <c r="F365" s="46">
        <v>1.244815</v>
      </c>
      <c r="G365" s="46">
        <v>1.375467</v>
      </c>
    </row>
    <row r="366" spans="1:21" x14ac:dyDescent="0.25">
      <c r="A366" s="49" t="s">
        <v>109</v>
      </c>
      <c r="B366" s="46">
        <v>1.7614730000000001</v>
      </c>
      <c r="C366" s="46">
        <v>6.4501500000000003E-2</v>
      </c>
      <c r="D366" s="46">
        <v>15.46</v>
      </c>
      <c r="E366" s="46">
        <v>0</v>
      </c>
      <c r="F366" s="46">
        <v>1.639483</v>
      </c>
      <c r="G366" s="46">
        <v>1.892541</v>
      </c>
    </row>
    <row r="367" spans="1:21" x14ac:dyDescent="0.25">
      <c r="A367" s="49"/>
      <c r="B367" s="47"/>
      <c r="C367" s="47"/>
      <c r="D367" s="47"/>
      <c r="E367" s="47"/>
      <c r="F367" s="47"/>
      <c r="G367" s="47"/>
    </row>
    <row r="368" spans="1:21" x14ac:dyDescent="0.25">
      <c r="A368" s="49" t="s">
        <v>81</v>
      </c>
      <c r="B368" s="47"/>
      <c r="C368" s="47"/>
      <c r="D368" s="47"/>
      <c r="E368" s="47"/>
      <c r="F368" s="47"/>
      <c r="G368" s="47"/>
    </row>
    <row r="369" spans="1:7" x14ac:dyDescent="0.25">
      <c r="A369" s="38" t="s">
        <v>315</v>
      </c>
      <c r="B369" s="46">
        <v>0.48977130000000002</v>
      </c>
      <c r="C369" s="46">
        <v>1.33233E-2</v>
      </c>
      <c r="D369" s="46">
        <v>-26.24</v>
      </c>
      <c r="E369" s="46">
        <v>0</v>
      </c>
      <c r="F369" s="46">
        <v>0.46434199999999998</v>
      </c>
      <c r="G369" s="46">
        <v>0.51659330000000003</v>
      </c>
    </row>
    <row r="370" spans="1:7" x14ac:dyDescent="0.25">
      <c r="A370" s="38" t="s">
        <v>316</v>
      </c>
      <c r="B370" s="46">
        <v>0.31263210000000002</v>
      </c>
      <c r="C370" s="46">
        <v>1.27913E-2</v>
      </c>
      <c r="D370" s="46">
        <v>-28.42</v>
      </c>
      <c r="E370" s="46">
        <v>0</v>
      </c>
      <c r="F370" s="46">
        <v>0.28854049999999998</v>
      </c>
      <c r="G370" s="46">
        <v>0.33873520000000001</v>
      </c>
    </row>
    <row r="371" spans="1:7" x14ac:dyDescent="0.25">
      <c r="A371" s="38" t="s">
        <v>317</v>
      </c>
      <c r="B371" s="46">
        <v>0.2688895</v>
      </c>
      <c r="C371" s="46">
        <v>1.1742499999999999E-2</v>
      </c>
      <c r="D371" s="46">
        <v>-30.08</v>
      </c>
      <c r="E371" s="46">
        <v>0</v>
      </c>
      <c r="F371" s="46">
        <v>0.2468321</v>
      </c>
      <c r="G371" s="46">
        <v>0.29291790000000001</v>
      </c>
    </row>
    <row r="372" spans="1:7" x14ac:dyDescent="0.25">
      <c r="A372" s="38" t="s">
        <v>82</v>
      </c>
      <c r="B372" s="46">
        <v>0.37541649999999999</v>
      </c>
      <c r="C372" s="46">
        <v>1.6866599999999999E-2</v>
      </c>
      <c r="D372" s="46">
        <v>-21.81</v>
      </c>
      <c r="E372" s="46">
        <v>0</v>
      </c>
      <c r="F372" s="46">
        <v>0.34377229999999998</v>
      </c>
      <c r="G372" s="46">
        <v>0.40997359999999999</v>
      </c>
    </row>
    <row r="373" spans="1:7" x14ac:dyDescent="0.25">
      <c r="A373" s="49"/>
      <c r="B373" s="47"/>
      <c r="C373" s="47"/>
      <c r="D373" s="47"/>
      <c r="E373" s="47"/>
      <c r="F373" s="47"/>
      <c r="G373" s="47"/>
    </row>
    <row r="374" spans="1:7" x14ac:dyDescent="0.25">
      <c r="A374" s="49" t="s">
        <v>111</v>
      </c>
      <c r="B374" s="47"/>
      <c r="C374" s="47"/>
      <c r="D374" s="47"/>
      <c r="E374" s="47"/>
      <c r="F374" s="47"/>
      <c r="G374" s="47"/>
    </row>
    <row r="375" spans="1:7" x14ac:dyDescent="0.25">
      <c r="A375" s="49" t="s">
        <v>154</v>
      </c>
      <c r="B375" s="46">
        <v>5.3096999999999997E-3</v>
      </c>
      <c r="C375" s="46">
        <v>3.0931000000000001E-3</v>
      </c>
      <c r="D375" s="46">
        <v>-8.99</v>
      </c>
      <c r="E375" s="46">
        <v>0</v>
      </c>
      <c r="F375" s="46">
        <f>B375-0.0016952</f>
        <v>3.6144999999999997E-3</v>
      </c>
      <c r="G375" s="46">
        <f>0.0166312-B375</f>
        <v>1.1321499999999998E-2</v>
      </c>
    </row>
    <row r="376" spans="1:7" x14ac:dyDescent="0.25">
      <c r="A376" s="49" t="s">
        <v>155</v>
      </c>
      <c r="B376" s="46">
        <v>1.1885700000000001E-2</v>
      </c>
      <c r="C376" s="46">
        <v>6.0175000000000003E-3</v>
      </c>
      <c r="D376" s="46">
        <v>-8.75</v>
      </c>
      <c r="E376" s="46">
        <v>0</v>
      </c>
      <c r="F376" s="46">
        <f>B376-0.0044064</f>
        <v>7.4793000000000004E-3</v>
      </c>
      <c r="G376" s="46">
        <f>0.0320605-B376</f>
        <v>2.01748E-2</v>
      </c>
    </row>
    <row r="377" spans="1:7" x14ac:dyDescent="0.25">
      <c r="A377" s="49" t="s">
        <v>156</v>
      </c>
      <c r="B377" s="46">
        <v>3.7168100000000003E-2</v>
      </c>
      <c r="C377" s="46">
        <v>8.6035999999999994E-3</v>
      </c>
      <c r="D377" s="46">
        <v>-14.22</v>
      </c>
      <c r="E377" s="46">
        <v>0</v>
      </c>
      <c r="F377" s="46">
        <f>B377-0.0236122</f>
        <v>1.3555900000000003E-2</v>
      </c>
      <c r="G377" s="46">
        <f>0.0585067-B377</f>
        <v>2.1338599999999999E-2</v>
      </c>
    </row>
    <row r="378" spans="1:7" x14ac:dyDescent="0.25">
      <c r="A378" s="49" t="s">
        <v>157</v>
      </c>
      <c r="B378" s="46">
        <v>4.1599999999999998E-2</v>
      </c>
      <c r="C378" s="46">
        <v>1.36869E-2</v>
      </c>
      <c r="D378" s="46">
        <v>-9.66</v>
      </c>
      <c r="E378" s="46">
        <v>0</v>
      </c>
      <c r="F378" s="46">
        <f>B378-0.0218292</f>
        <v>1.9770799999999998E-2</v>
      </c>
      <c r="G378" s="46">
        <f>0.0792772-B378</f>
        <v>3.7677200000000008E-2</v>
      </c>
    </row>
    <row r="379" spans="1:7" x14ac:dyDescent="0.25">
      <c r="A379" s="49" t="s">
        <v>158</v>
      </c>
      <c r="B379" s="46">
        <v>0.55044249999999995</v>
      </c>
      <c r="C379" s="46">
        <v>5.3870700000000001E-2</v>
      </c>
      <c r="D379" s="46">
        <v>-6.1</v>
      </c>
      <c r="E379" s="46">
        <v>0</v>
      </c>
      <c r="F379" s="46">
        <f>B379-0.4543668</f>
        <v>9.6075699999999931E-2</v>
      </c>
      <c r="G379" s="46">
        <f>0.6668333-B379</f>
        <v>0.11639080000000002</v>
      </c>
    </row>
    <row r="380" spans="1:7" x14ac:dyDescent="0.25">
      <c r="A380" s="49" t="s">
        <v>159</v>
      </c>
      <c r="B380" s="46">
        <v>0.68045699999999998</v>
      </c>
      <c r="C380" s="46">
        <v>7.1803400000000003E-2</v>
      </c>
      <c r="D380" s="46">
        <v>-3.65</v>
      </c>
      <c r="E380" s="46">
        <v>0</v>
      </c>
      <c r="F380" s="46">
        <f>B380-0.5533245</f>
        <v>0.12713249999999998</v>
      </c>
      <c r="G380" s="46">
        <f>0.8367997-B380</f>
        <v>0.15634270000000006</v>
      </c>
    </row>
    <row r="381" spans="1:7" x14ac:dyDescent="0.25">
      <c r="A381" s="49" t="s">
        <v>160</v>
      </c>
      <c r="B381" s="46">
        <v>0.24424779999999999</v>
      </c>
      <c r="C381" s="46">
        <v>2.80708E-2</v>
      </c>
      <c r="D381" s="46">
        <v>-12.26</v>
      </c>
      <c r="E381" s="46">
        <v>0</v>
      </c>
      <c r="F381" s="46">
        <f>B381-0.1949864</f>
        <v>4.9261399999999983E-2</v>
      </c>
      <c r="G381" s="46">
        <f>0.3059546-B381</f>
        <v>6.1706800000000034E-2</v>
      </c>
    </row>
    <row r="382" spans="1:7" x14ac:dyDescent="0.25">
      <c r="A382" s="49" t="s">
        <v>161</v>
      </c>
      <c r="B382" s="46">
        <v>0.3357714</v>
      </c>
      <c r="C382" s="46">
        <v>4.15074E-2</v>
      </c>
      <c r="D382" s="46">
        <v>-8.83</v>
      </c>
      <c r="E382" s="46">
        <v>0</v>
      </c>
      <c r="F382" s="46">
        <f>B382-0.2635238</f>
        <v>7.2247600000000023E-2</v>
      </c>
      <c r="G382" s="46">
        <f>0.4278264-B382</f>
        <v>9.2054999999999998E-2</v>
      </c>
    </row>
    <row r="383" spans="1:7" x14ac:dyDescent="0.25">
      <c r="A383" s="49" t="s">
        <v>189</v>
      </c>
      <c r="B383" s="46">
        <v>1.9415929999999999</v>
      </c>
      <c r="C383" s="46">
        <v>0.19513320000000001</v>
      </c>
      <c r="D383" s="46">
        <v>6.6</v>
      </c>
      <c r="E383" s="46">
        <v>0</v>
      </c>
      <c r="F383" s="46">
        <f>B383-1.594451</f>
        <v>0.34714199999999984</v>
      </c>
      <c r="G383" s="46">
        <f>2.364315-B383</f>
        <v>0.42272200000000004</v>
      </c>
    </row>
    <row r="384" spans="1:7" x14ac:dyDescent="0.25">
      <c r="A384" s="49" t="s">
        <v>162</v>
      </c>
      <c r="B384" s="46">
        <v>2.6267420000000001</v>
      </c>
      <c r="C384" s="46">
        <v>0.23225799999999999</v>
      </c>
      <c r="D384" s="46">
        <v>10.92</v>
      </c>
      <c r="E384" s="46">
        <v>0</v>
      </c>
      <c r="F384" s="46">
        <f>B384-2.208787</f>
        <v>0.41795500000000008</v>
      </c>
      <c r="G384" s="46">
        <f>3.123785-B384</f>
        <v>0.49704299999999968</v>
      </c>
    </row>
    <row r="385" spans="1:7" x14ac:dyDescent="0.25">
      <c r="A385" s="49" t="s">
        <v>163</v>
      </c>
      <c r="B385" s="46">
        <v>1</v>
      </c>
      <c r="C385" s="46"/>
      <c r="D385" s="46"/>
      <c r="E385" s="46"/>
      <c r="F385" s="46">
        <v>0</v>
      </c>
      <c r="G385" s="46">
        <v>0</v>
      </c>
    </row>
    <row r="386" spans="1:7" x14ac:dyDescent="0.25">
      <c r="A386" s="49" t="s">
        <v>164</v>
      </c>
      <c r="B386" s="46">
        <v>0.98651409999999995</v>
      </c>
      <c r="C386" s="46">
        <v>9.2793799999999996E-2</v>
      </c>
      <c r="D386" s="46">
        <v>-0.14000000000000001</v>
      </c>
      <c r="E386" s="46">
        <v>0.88500000000000001</v>
      </c>
      <c r="F386" s="46">
        <f>B386-0.8204221</f>
        <v>0.16609199999999991</v>
      </c>
      <c r="G386" s="46">
        <f>1.186231-B386</f>
        <v>0.19971690000000009</v>
      </c>
    </row>
    <row r="387" spans="1:7" x14ac:dyDescent="0.25">
      <c r="A387" s="49" t="s">
        <v>165</v>
      </c>
      <c r="B387" s="46">
        <v>3.7168100000000003E-2</v>
      </c>
      <c r="C387" s="46">
        <v>8.5765000000000008E-3</v>
      </c>
      <c r="D387" s="46">
        <v>-14.27</v>
      </c>
      <c r="E387" s="46">
        <v>0</v>
      </c>
      <c r="F387" s="46">
        <f>B387-0.0236459</f>
        <v>1.3522200000000002E-2</v>
      </c>
      <c r="G387" s="46">
        <f>0.0584232-B387</f>
        <v>2.1255099999999999E-2</v>
      </c>
    </row>
    <row r="388" spans="1:7" x14ac:dyDescent="0.25">
      <c r="A388" s="49" t="s">
        <v>166</v>
      </c>
      <c r="B388" s="46">
        <v>4.1599999999999998E-2</v>
      </c>
      <c r="C388" s="46">
        <v>1.1566699999999999E-2</v>
      </c>
      <c r="D388" s="46">
        <v>-11.44</v>
      </c>
      <c r="E388" s="46">
        <v>0</v>
      </c>
      <c r="F388" s="46">
        <f>B388-0.0241224</f>
        <v>1.7477599999999999E-2</v>
      </c>
      <c r="G388" s="46">
        <f>0.0717407-B388</f>
        <v>3.0140700000000006E-2</v>
      </c>
    </row>
    <row r="389" spans="1:7" x14ac:dyDescent="0.25">
      <c r="A389" s="49" t="s">
        <v>167</v>
      </c>
      <c r="B389" s="46">
        <v>6.72566E-2</v>
      </c>
      <c r="C389" s="46">
        <v>1.23225E-2</v>
      </c>
      <c r="D389" s="46">
        <v>-14.73</v>
      </c>
      <c r="E389" s="46">
        <v>0</v>
      </c>
      <c r="F389" s="46">
        <f>B389-0.0469658</f>
        <v>2.0290799999999998E-2</v>
      </c>
      <c r="G389" s="46">
        <f>0.0963138-B389</f>
        <v>2.9057200000000005E-2</v>
      </c>
    </row>
    <row r="390" spans="1:7" x14ac:dyDescent="0.25">
      <c r="A390" s="49" t="s">
        <v>168</v>
      </c>
      <c r="B390" s="46">
        <v>5.9428599999999998E-2</v>
      </c>
      <c r="C390" s="46">
        <v>1.40459E-2</v>
      </c>
      <c r="D390" s="46">
        <v>-11.94</v>
      </c>
      <c r="E390" s="46">
        <v>0</v>
      </c>
      <c r="F390" s="46">
        <f>B390-0.0373951</f>
        <v>2.2033499999999998E-2</v>
      </c>
      <c r="G390" s="46">
        <f>0.0944443-B390</f>
        <v>3.5015699999999997E-2</v>
      </c>
    </row>
    <row r="391" spans="1:7" x14ac:dyDescent="0.25">
      <c r="A391" s="49" t="s">
        <v>169</v>
      </c>
      <c r="B391" s="46">
        <v>0.72035400000000005</v>
      </c>
      <c r="C391" s="46">
        <v>8.1074999999999994E-2</v>
      </c>
      <c r="D391" s="46">
        <v>-2.91</v>
      </c>
      <c r="E391" s="46">
        <v>4.0000000000000001E-3</v>
      </c>
      <c r="F391" s="46">
        <f>B391-0.5777557</f>
        <v>0.14259830000000007</v>
      </c>
      <c r="G391" s="46">
        <f>0.8981476-B391</f>
        <v>0.1777936</v>
      </c>
    </row>
    <row r="392" spans="1:7" x14ac:dyDescent="0.25">
      <c r="A392" s="49" t="s">
        <v>170</v>
      </c>
      <c r="B392" s="46">
        <v>1.152914</v>
      </c>
      <c r="C392" s="46">
        <v>0.11500390000000001</v>
      </c>
      <c r="D392" s="46">
        <v>1.43</v>
      </c>
      <c r="E392" s="46">
        <v>0.154</v>
      </c>
      <c r="F392" s="46">
        <f>B392-0.9481763</f>
        <v>0.20473770000000002</v>
      </c>
      <c r="G392" s="46">
        <f>1.40186-B392</f>
        <v>0.24894600000000011</v>
      </c>
    </row>
    <row r="393" spans="1:7" x14ac:dyDescent="0.25">
      <c r="A393" s="49" t="s">
        <v>171</v>
      </c>
      <c r="B393" s="46">
        <v>6.2201399999999997E-2</v>
      </c>
      <c r="C393" s="46">
        <v>1.1882200000000001E-2</v>
      </c>
      <c r="D393" s="46">
        <v>-14.54</v>
      </c>
      <c r="E393" s="46">
        <v>0</v>
      </c>
      <c r="F393" s="46">
        <f>B393-0.0427757</f>
        <v>1.9425699999999997E-2</v>
      </c>
      <c r="G393" s="46">
        <f>0.0904489-B393</f>
        <v>2.8247500000000002E-2</v>
      </c>
    </row>
    <row r="394" spans="1:7" x14ac:dyDescent="0.25">
      <c r="A394" s="49" t="s">
        <v>172</v>
      </c>
      <c r="B394" s="46">
        <v>8.1645800000000004E-2</v>
      </c>
      <c r="C394" s="46">
        <v>1.40605E-2</v>
      </c>
      <c r="D394" s="46">
        <v>-14.55</v>
      </c>
      <c r="E394" s="46">
        <v>0</v>
      </c>
      <c r="F394" s="46">
        <f>B394-0.0582566</f>
        <v>2.3389200000000006E-2</v>
      </c>
      <c r="G394" s="46">
        <f>0.1144254-B394</f>
        <v>3.2779599999999992E-2</v>
      </c>
    </row>
    <row r="395" spans="1:7" x14ac:dyDescent="0.25">
      <c r="A395" s="49" t="s">
        <v>173</v>
      </c>
      <c r="B395" s="46">
        <v>0.16716629999999999</v>
      </c>
      <c r="C395" s="46">
        <v>2.2021300000000001E-2</v>
      </c>
      <c r="D395" s="46">
        <v>-13.58</v>
      </c>
      <c r="E395" s="46">
        <v>0</v>
      </c>
      <c r="F395" s="46">
        <f>B395-0.1291271</f>
        <v>3.8039199999999995E-2</v>
      </c>
      <c r="G395" s="46">
        <f>0.2164113-B395</f>
        <v>4.9245000000000011E-2</v>
      </c>
    </row>
    <row r="396" spans="1:7" x14ac:dyDescent="0.25">
      <c r="A396" s="49" t="s">
        <v>174</v>
      </c>
      <c r="B396" s="46">
        <v>0.1943947</v>
      </c>
      <c r="C396" s="46">
        <v>2.5008599999999999E-2</v>
      </c>
      <c r="D396" s="46">
        <v>-12.73</v>
      </c>
      <c r="E396" s="46">
        <v>0</v>
      </c>
      <c r="F396" s="46">
        <f>B396-0.1510701</f>
        <v>4.3324599999999991E-2</v>
      </c>
      <c r="G396" s="46">
        <f>0.2501442-B396</f>
        <v>5.574949999999998E-2</v>
      </c>
    </row>
    <row r="397" spans="1:7" x14ac:dyDescent="0.25">
      <c r="A397" s="49" t="s">
        <v>175</v>
      </c>
      <c r="B397" s="46">
        <v>0.84360670000000004</v>
      </c>
      <c r="C397" s="46">
        <v>7.3725600000000002E-2</v>
      </c>
      <c r="D397" s="46">
        <v>-1.95</v>
      </c>
      <c r="E397" s="46">
        <v>5.1999999999999998E-2</v>
      </c>
      <c r="F397" s="46">
        <f>B397-0.7108053</f>
        <v>0.13280140000000007</v>
      </c>
      <c r="G397" s="46">
        <f>1.00122-B397</f>
        <v>0.15761329999999996</v>
      </c>
    </row>
    <row r="398" spans="1:7" x14ac:dyDescent="0.25">
      <c r="A398" s="49" t="s">
        <v>176</v>
      </c>
      <c r="B398" s="46">
        <v>0.9272627</v>
      </c>
      <c r="C398" s="46">
        <v>8.3063100000000001E-2</v>
      </c>
      <c r="D398" s="46">
        <v>-0.84</v>
      </c>
      <c r="E398" s="46">
        <v>0.39900000000000002</v>
      </c>
      <c r="F398" s="46">
        <f>B398-0.7779526</f>
        <v>0.1493101</v>
      </c>
      <c r="G398" s="46">
        <f>1.105229-B398</f>
        <v>0.17796630000000002</v>
      </c>
    </row>
    <row r="399" spans="1:7" x14ac:dyDescent="0.25">
      <c r="A399" s="49" t="s">
        <v>177</v>
      </c>
      <c r="B399" s="46">
        <v>0.3712647</v>
      </c>
      <c r="C399" s="46">
        <v>3.8591500000000001E-2</v>
      </c>
      <c r="D399" s="46">
        <v>-9.5299999999999994</v>
      </c>
      <c r="E399" s="46">
        <v>0</v>
      </c>
      <c r="F399" s="46">
        <f>B399-0.302834</f>
        <v>6.8430700000000011E-2</v>
      </c>
      <c r="G399" s="46">
        <f>0.4551585-B399</f>
        <v>8.3893800000000018E-2</v>
      </c>
    </row>
    <row r="400" spans="1:7" x14ac:dyDescent="0.25">
      <c r="A400" s="49" t="s">
        <v>178</v>
      </c>
      <c r="B400" s="46">
        <v>0.27992840000000002</v>
      </c>
      <c r="C400" s="46">
        <v>3.1751799999999997E-2</v>
      </c>
      <c r="D400" s="46">
        <v>-11.22</v>
      </c>
      <c r="E400" s="46">
        <v>0</v>
      </c>
      <c r="F400" s="46">
        <f>B400-0.2241282</f>
        <v>5.5800200000000022E-2</v>
      </c>
      <c r="G400" s="46">
        <f>0.3496208-B400</f>
        <v>6.9692399999999988E-2</v>
      </c>
    </row>
    <row r="401" spans="1:7" x14ac:dyDescent="0.25">
      <c r="A401" s="49" t="s">
        <v>179</v>
      </c>
      <c r="B401" s="46">
        <v>1.4325760000000001</v>
      </c>
      <c r="C401" s="46">
        <v>0.13589609999999999</v>
      </c>
      <c r="D401" s="46">
        <v>3.79</v>
      </c>
      <c r="E401" s="46">
        <v>0</v>
      </c>
      <c r="F401" s="46">
        <f>B401-1.18952</f>
        <v>0.24305600000000016</v>
      </c>
      <c r="G401" s="46">
        <f>1.725297-B401</f>
        <v>0.29272100000000001</v>
      </c>
    </row>
    <row r="402" spans="1:7" x14ac:dyDescent="0.25">
      <c r="A402" s="49" t="s">
        <v>180</v>
      </c>
      <c r="B402" s="46">
        <v>2.35412</v>
      </c>
      <c r="C402" s="46">
        <v>0.19952710000000001</v>
      </c>
      <c r="D402" s="46">
        <v>10.1</v>
      </c>
      <c r="E402" s="46">
        <v>0</v>
      </c>
      <c r="F402" s="46">
        <f>B402-1.993809</f>
        <v>0.36031100000000005</v>
      </c>
      <c r="G402" s="46">
        <f>2.779543-B402</f>
        <v>0.42542299999999988</v>
      </c>
    </row>
    <row r="403" spans="1:7" x14ac:dyDescent="0.25">
      <c r="A403" s="49" t="s">
        <v>181</v>
      </c>
      <c r="B403" s="46">
        <v>0.90775189999999994</v>
      </c>
      <c r="C403" s="46">
        <v>8.8130899999999998E-2</v>
      </c>
      <c r="D403" s="46">
        <v>-1</v>
      </c>
      <c r="E403" s="46">
        <v>0.31900000000000001</v>
      </c>
      <c r="F403" s="46">
        <f>B403-0.7504584</f>
        <v>0.15729349999999998</v>
      </c>
      <c r="G403" s="46">
        <f>1.098014-B403</f>
        <v>0.1902621000000001</v>
      </c>
    </row>
    <row r="404" spans="1:7" x14ac:dyDescent="0.25">
      <c r="A404" s="49" t="s">
        <v>182</v>
      </c>
      <c r="B404" s="46">
        <v>0.9019914</v>
      </c>
      <c r="C404" s="46">
        <v>8.4185599999999999E-2</v>
      </c>
      <c r="D404" s="46">
        <v>-1.1100000000000001</v>
      </c>
      <c r="E404" s="46">
        <v>0.26900000000000002</v>
      </c>
      <c r="F404" s="46">
        <f>B404-0.7512027</f>
        <v>0.1507887</v>
      </c>
      <c r="G404" s="46">
        <f>1.083048-B404</f>
        <v>0.18105660000000001</v>
      </c>
    </row>
    <row r="405" spans="1:7" x14ac:dyDescent="0.25">
      <c r="A405" s="49" t="s">
        <v>183</v>
      </c>
      <c r="B405" s="46">
        <v>0.1205152</v>
      </c>
      <c r="C405" s="46">
        <v>1.7769E-2</v>
      </c>
      <c r="D405" s="46">
        <v>-14.35</v>
      </c>
      <c r="E405" s="46">
        <v>0</v>
      </c>
      <c r="F405" s="46">
        <f>B405-0.0902691</f>
        <v>3.0246099999999998E-2</v>
      </c>
      <c r="G405" s="46">
        <f>0.1608959-B405</f>
        <v>4.0380700000000005E-2</v>
      </c>
    </row>
    <row r="406" spans="1:7" x14ac:dyDescent="0.25">
      <c r="A406" s="49" t="s">
        <v>184</v>
      </c>
      <c r="B406" s="46">
        <v>0.12830050000000001</v>
      </c>
      <c r="C406" s="46">
        <v>1.8767099999999998E-2</v>
      </c>
      <c r="D406" s="46">
        <v>-14.04</v>
      </c>
      <c r="E406" s="46">
        <v>0</v>
      </c>
      <c r="F406" s="46">
        <f>B406-0.0963207</f>
        <v>3.1979800000000017E-2</v>
      </c>
      <c r="G406" s="46">
        <f>0.1708981-B406</f>
        <v>4.2597599999999985E-2</v>
      </c>
    </row>
    <row r="407" spans="1:7" x14ac:dyDescent="0.25">
      <c r="A407" s="49" t="s">
        <v>185</v>
      </c>
      <c r="B407" s="46">
        <v>0.14772840000000001</v>
      </c>
      <c r="C407" s="46">
        <v>2.03781E-2</v>
      </c>
      <c r="D407" s="46">
        <v>-13.86</v>
      </c>
      <c r="E407" s="46">
        <v>0</v>
      </c>
      <c r="F407" s="46">
        <f>B407-0.1127318</f>
        <v>3.4996600000000017E-2</v>
      </c>
      <c r="G407" s="46">
        <f>0.1935893-B407</f>
        <v>4.5860899999999982E-2</v>
      </c>
    </row>
    <row r="408" spans="1:7" x14ac:dyDescent="0.25">
      <c r="A408" s="49" t="s">
        <v>186</v>
      </c>
      <c r="B408" s="46">
        <v>0.14774000000000001</v>
      </c>
      <c r="C408" s="46">
        <v>2.0718899999999998E-2</v>
      </c>
      <c r="D408" s="46">
        <v>-13.64</v>
      </c>
      <c r="E408" s="46">
        <v>0</v>
      </c>
      <c r="F408" s="46">
        <f>B408-0.1122345</f>
        <v>3.5505500000000009E-2</v>
      </c>
      <c r="G408" s="46">
        <f>0.1944776-B408</f>
        <v>4.673759999999999E-2</v>
      </c>
    </row>
    <row r="409" spans="1:7" x14ac:dyDescent="0.25">
      <c r="A409" s="49" t="s">
        <v>187</v>
      </c>
      <c r="B409" s="46">
        <v>0.52288060000000003</v>
      </c>
      <c r="C409" s="46">
        <v>6.2489700000000002E-2</v>
      </c>
      <c r="D409" s="46">
        <v>-5.43</v>
      </c>
      <c r="E409" s="46">
        <v>0</v>
      </c>
      <c r="F409" s="46">
        <f>B409-0.41369</f>
        <v>0.10919060000000003</v>
      </c>
      <c r="G409" s="46">
        <f>0.6608914-B409</f>
        <v>0.13801079999999999</v>
      </c>
    </row>
    <row r="410" spans="1:7" x14ac:dyDescent="0.25">
      <c r="A410" s="49" t="s">
        <v>188</v>
      </c>
      <c r="B410" s="46">
        <v>0.72509219999999996</v>
      </c>
      <c r="C410" s="46">
        <v>6.9654400000000005E-2</v>
      </c>
      <c r="D410" s="46">
        <v>-3.35</v>
      </c>
      <c r="E410" s="46">
        <v>1E-3</v>
      </c>
      <c r="F410" s="46">
        <f>B410-0.6006541</f>
        <v>0.1244381</v>
      </c>
      <c r="G410" s="46">
        <f>0.8753103-B410</f>
        <v>0.15021810000000002</v>
      </c>
    </row>
    <row r="411" spans="1:7" x14ac:dyDescent="0.25">
      <c r="A411" s="49" t="s">
        <v>273</v>
      </c>
      <c r="B411" s="46">
        <v>0.34962320000000002</v>
      </c>
      <c r="C411" s="46">
        <v>0.18392020000000001</v>
      </c>
      <c r="D411" s="46">
        <v>-2</v>
      </c>
      <c r="E411" s="46">
        <v>4.5999999999999999E-2</v>
      </c>
      <c r="F411" s="46">
        <f>B411-0.1246877</f>
        <v>0.22493550000000001</v>
      </c>
      <c r="G411" s="46">
        <f>0.9803408-B411</f>
        <v>0.63071759999999999</v>
      </c>
    </row>
    <row r="412" spans="1:7" x14ac:dyDescent="0.25">
      <c r="A412" s="49" t="s">
        <v>274</v>
      </c>
      <c r="B412" s="46">
        <v>0.46958270000000002</v>
      </c>
      <c r="C412" s="46">
        <v>0.1806179</v>
      </c>
      <c r="D412" s="46">
        <v>-1.97</v>
      </c>
      <c r="E412" s="46">
        <v>4.9000000000000002E-2</v>
      </c>
      <c r="F412" s="46">
        <f>B412-0.2209583</f>
        <v>0.24862440000000002</v>
      </c>
      <c r="G412" s="46">
        <f>0.9979617-B412</f>
        <v>0.52837899999999993</v>
      </c>
    </row>
    <row r="413" spans="1:7" x14ac:dyDescent="0.25">
      <c r="A413" s="49" t="s">
        <v>275</v>
      </c>
      <c r="B413" s="46">
        <v>0.19978470000000001</v>
      </c>
      <c r="C413" s="46">
        <v>0.10046869999999999</v>
      </c>
      <c r="D413" s="46">
        <v>-3.2</v>
      </c>
      <c r="E413" s="46">
        <v>1E-3</v>
      </c>
      <c r="F413" s="46">
        <f>B413-0.07456</f>
        <v>0.12522470000000002</v>
      </c>
      <c r="G413" s="46">
        <f>0.5353263-B413</f>
        <v>0.3355416</v>
      </c>
    </row>
    <row r="414" spans="1:7" x14ac:dyDescent="0.25">
      <c r="A414" s="49" t="s">
        <v>276</v>
      </c>
      <c r="B414" s="46">
        <v>0.21344669999999999</v>
      </c>
      <c r="C414" s="46">
        <v>9.6387500000000001E-2</v>
      </c>
      <c r="D414" s="46">
        <v>-3.42</v>
      </c>
      <c r="E414" s="46">
        <v>1E-3</v>
      </c>
      <c r="F414" s="46">
        <f>B414-0.088086</f>
        <v>0.12536069999999999</v>
      </c>
      <c r="G414" s="46">
        <f>0.5172162-B414</f>
        <v>0.30376950000000003</v>
      </c>
    </row>
    <row r="415" spans="1:7" x14ac:dyDescent="0.25">
      <c r="A415" s="49" t="s">
        <v>277</v>
      </c>
      <c r="B415" s="46">
        <v>0.79913880000000004</v>
      </c>
      <c r="C415" s="46">
        <v>0.22708709999999999</v>
      </c>
      <c r="D415" s="46">
        <v>-0.79</v>
      </c>
      <c r="E415" s="46">
        <v>0.43</v>
      </c>
      <c r="F415" s="46">
        <f>B415-0.4578685</f>
        <v>0.34127030000000003</v>
      </c>
      <c r="G415" s="46">
        <f>1.394774-B415</f>
        <v>0.59563519999999992</v>
      </c>
    </row>
    <row r="416" spans="1:7" x14ac:dyDescent="0.25">
      <c r="A416" s="49" t="s">
        <v>278</v>
      </c>
      <c r="B416" s="46">
        <v>0.98185480000000003</v>
      </c>
      <c r="C416" s="46">
        <v>0.22296630000000001</v>
      </c>
      <c r="D416" s="46">
        <v>-0.08</v>
      </c>
      <c r="E416" s="46">
        <v>0.93600000000000005</v>
      </c>
      <c r="F416" s="46">
        <f>B416-0.6291448</f>
        <v>0.35271000000000008</v>
      </c>
      <c r="G416" s="46">
        <f>1.532301-B416</f>
        <v>0.55044619999999989</v>
      </c>
    </row>
    <row r="417" spans="1:21" x14ac:dyDescent="0.25">
      <c r="A417" s="49" t="s">
        <v>279</v>
      </c>
      <c r="B417" s="46">
        <v>0.39956940000000002</v>
      </c>
      <c r="C417" s="46">
        <v>0.14490629999999999</v>
      </c>
      <c r="D417" s="46">
        <v>-2.5299999999999998</v>
      </c>
      <c r="E417" s="46">
        <v>1.0999999999999999E-2</v>
      </c>
      <c r="F417" s="46">
        <f>B417-0.1962903</f>
        <v>0.20327910000000002</v>
      </c>
      <c r="G417" s="46">
        <f>0.8133655-B417</f>
        <v>0.41379609999999994</v>
      </c>
    </row>
    <row r="418" spans="1:21" x14ac:dyDescent="0.25">
      <c r="A418" s="49" t="s">
        <v>280</v>
      </c>
      <c r="B418" s="46">
        <v>0.29882540000000002</v>
      </c>
      <c r="C418" s="46">
        <v>0.1142184</v>
      </c>
      <c r="D418" s="46">
        <v>-3.16</v>
      </c>
      <c r="E418" s="46">
        <v>2E-3</v>
      </c>
      <c r="F418" s="46">
        <f>B418-0.1412757</f>
        <v>0.15754970000000001</v>
      </c>
      <c r="G418" s="46">
        <f>0.6320735-B418</f>
        <v>0.33324809999999994</v>
      </c>
    </row>
    <row r="419" spans="1:21" x14ac:dyDescent="0.25">
      <c r="A419" s="49" t="s">
        <v>281</v>
      </c>
      <c r="B419" s="46">
        <v>1.3485469999999999</v>
      </c>
      <c r="C419" s="46">
        <v>0.44258819999999999</v>
      </c>
      <c r="D419" s="46">
        <v>0.91</v>
      </c>
      <c r="E419" s="46">
        <v>0.36199999999999999</v>
      </c>
      <c r="F419" s="46">
        <f>B419-0.708769</f>
        <v>0.63977799999999996</v>
      </c>
      <c r="G419" s="46">
        <f>2.565827-B419</f>
        <v>1.2172800000000001</v>
      </c>
    </row>
    <row r="420" spans="1:21" x14ac:dyDescent="0.25">
      <c r="A420" s="49" t="s">
        <v>282</v>
      </c>
      <c r="B420" s="46">
        <v>1.9210199999999999</v>
      </c>
      <c r="C420" s="46">
        <v>0.35913840000000002</v>
      </c>
      <c r="D420" s="46">
        <v>3.49</v>
      </c>
      <c r="E420" s="46">
        <v>0</v>
      </c>
      <c r="F420" s="46">
        <f>B420-1.331675</f>
        <v>0.58934500000000001</v>
      </c>
      <c r="G420" s="46">
        <f>2.771186-B420</f>
        <v>0.8501660000000002</v>
      </c>
    </row>
    <row r="421" spans="1:21" x14ac:dyDescent="0.25">
      <c r="A421" s="49" t="s">
        <v>283</v>
      </c>
      <c r="B421" s="46">
        <v>2.5472549999999998</v>
      </c>
      <c r="C421" s="46">
        <v>0.52561119999999995</v>
      </c>
      <c r="D421" s="46">
        <v>4.53</v>
      </c>
      <c r="E421" s="46">
        <v>0</v>
      </c>
      <c r="F421" s="46">
        <f>B421-1.699934</f>
        <v>0.84732099999999977</v>
      </c>
      <c r="G421" s="46">
        <f>3.816919-B421</f>
        <v>1.2696640000000001</v>
      </c>
    </row>
    <row r="422" spans="1:21" x14ac:dyDescent="0.25">
      <c r="A422" s="49" t="s">
        <v>284</v>
      </c>
      <c r="B422" s="46">
        <v>3.7993510000000001</v>
      </c>
      <c r="C422" s="46">
        <v>0.59164249999999996</v>
      </c>
      <c r="D422" s="46">
        <v>8.57</v>
      </c>
      <c r="E422" s="46">
        <v>0</v>
      </c>
      <c r="F422" s="46">
        <f>B422-2.800004</f>
        <v>0.99934700000000021</v>
      </c>
      <c r="G422" s="46">
        <f>5.155375-B422</f>
        <v>1.3560240000000001</v>
      </c>
    </row>
    <row r="423" spans="1:21" x14ac:dyDescent="0.25">
      <c r="A423" s="49" t="s">
        <v>285</v>
      </c>
      <c r="B423" s="46">
        <v>0.74919270000000004</v>
      </c>
      <c r="C423" s="46">
        <v>0.18049480000000001</v>
      </c>
      <c r="D423" s="46">
        <v>-1.2</v>
      </c>
      <c r="E423" s="46">
        <v>0.23100000000000001</v>
      </c>
      <c r="F423" s="46">
        <f>B423-0.4672215</f>
        <v>0.28197120000000003</v>
      </c>
      <c r="G423" s="46">
        <f>1.201335-B423</f>
        <v>0.4521423</v>
      </c>
    </row>
    <row r="424" spans="1:21" x14ac:dyDescent="0.25">
      <c r="A424" s="49" t="s">
        <v>286</v>
      </c>
      <c r="B424" s="46">
        <v>0.64034009999999997</v>
      </c>
      <c r="C424" s="46">
        <v>0.17236070000000001</v>
      </c>
      <c r="D424" s="46">
        <v>-1.66</v>
      </c>
      <c r="E424" s="46">
        <v>9.8000000000000004E-2</v>
      </c>
      <c r="F424" s="46">
        <f>B424-0.3778264</f>
        <v>0.26251369999999996</v>
      </c>
      <c r="G424" s="46">
        <f>1.085248-B424</f>
        <v>0.44490790000000002</v>
      </c>
    </row>
    <row r="425" spans="1:21" x14ac:dyDescent="0.25">
      <c r="A425" s="49" t="s">
        <v>287</v>
      </c>
      <c r="B425" s="46">
        <v>0.24973090000000001</v>
      </c>
      <c r="C425" s="46">
        <v>0.1154324</v>
      </c>
      <c r="D425" s="46">
        <v>-3</v>
      </c>
      <c r="E425" s="46">
        <v>3.0000000000000001E-3</v>
      </c>
      <c r="F425" s="46">
        <f>B425-0.1009308</f>
        <v>0.14880009999999999</v>
      </c>
      <c r="G425" s="46">
        <f>0.6179035-B425</f>
        <v>0.36817260000000007</v>
      </c>
    </row>
    <row r="426" spans="1:21" x14ac:dyDescent="0.25">
      <c r="A426" s="49" t="s">
        <v>288</v>
      </c>
      <c r="B426" s="46">
        <v>0.38420409999999999</v>
      </c>
      <c r="C426" s="46">
        <v>0.13469110000000001</v>
      </c>
      <c r="D426" s="46">
        <v>-2.73</v>
      </c>
      <c r="E426" s="46">
        <v>6.0000000000000001E-3</v>
      </c>
      <c r="F426" s="46">
        <f>B426-0.1932657</f>
        <v>0.19093839999999998</v>
      </c>
      <c r="G426" s="46">
        <f>0.7637815-B426</f>
        <v>0.37957740000000001</v>
      </c>
    </row>
    <row r="427" spans="1:21" x14ac:dyDescent="0.25">
      <c r="A427" s="49" t="s">
        <v>289</v>
      </c>
      <c r="B427" s="46">
        <v>0.14983850000000001</v>
      </c>
      <c r="C427" s="46">
        <v>8.7976100000000002E-2</v>
      </c>
      <c r="D427" s="46">
        <v>-3.23</v>
      </c>
      <c r="E427" s="46">
        <v>1E-3</v>
      </c>
      <c r="F427" s="46">
        <f>B427-0.0474078</f>
        <v>0.10243070000000001</v>
      </c>
      <c r="G427" s="46">
        <f>0.4735847-B427</f>
        <v>0.32374619999999998</v>
      </c>
    </row>
    <row r="428" spans="1:21" x14ac:dyDescent="0.25">
      <c r="A428" s="49" t="s">
        <v>290</v>
      </c>
      <c r="B428" s="46">
        <v>0.42689339999999998</v>
      </c>
      <c r="C428" s="46">
        <v>0.13896430000000001</v>
      </c>
      <c r="D428" s="46">
        <v>-2.61</v>
      </c>
      <c r="E428" s="46">
        <v>8.9999999999999993E-3</v>
      </c>
      <c r="F428" s="46">
        <f>B428-0.2255446</f>
        <v>0.20134879999999997</v>
      </c>
      <c r="G428" s="46">
        <f>0.807991-B428</f>
        <v>0.38109760000000004</v>
      </c>
    </row>
    <row r="429" spans="1:21" x14ac:dyDescent="0.25">
      <c r="A429" s="49"/>
      <c r="B429" s="47"/>
      <c r="C429" s="47"/>
      <c r="D429" s="47"/>
      <c r="E429" s="47"/>
      <c r="F429" s="47"/>
      <c r="G429" s="47"/>
    </row>
    <row r="430" spans="1:21" x14ac:dyDescent="0.25">
      <c r="A430" s="50" t="s">
        <v>6</v>
      </c>
      <c r="B430" s="48">
        <v>8.2044000000000006E-3</v>
      </c>
      <c r="C430" s="48">
        <v>6.2449999999999995E-4</v>
      </c>
      <c r="D430" s="48">
        <v>-63.1</v>
      </c>
      <c r="E430" s="48">
        <v>0</v>
      </c>
      <c r="F430" s="48">
        <v>7.0672E-3</v>
      </c>
      <c r="G430" s="48">
        <v>9.5245E-3</v>
      </c>
    </row>
    <row r="431" spans="1:21" x14ac:dyDescent="0.25">
      <c r="S431" s="46"/>
      <c r="T431" s="46"/>
      <c r="U431" s="46"/>
    </row>
    <row r="432" spans="1:21" ht="15.75" thickBot="1" x14ac:dyDescent="0.3">
      <c r="S432" s="46"/>
      <c r="T432" s="46"/>
      <c r="U432" s="46"/>
    </row>
    <row r="433" spans="1:21" x14ac:dyDescent="0.25">
      <c r="A433" s="10"/>
      <c r="B433" s="11"/>
      <c r="C433" s="11" t="s">
        <v>9</v>
      </c>
      <c r="D433" s="11" t="s">
        <v>10</v>
      </c>
      <c r="E433" s="11" t="s">
        <v>40</v>
      </c>
      <c r="F433" s="11" t="s">
        <v>11</v>
      </c>
      <c r="G433" s="11" t="s">
        <v>89</v>
      </c>
      <c r="H433" s="11" t="s">
        <v>8</v>
      </c>
      <c r="I433" s="11" t="s">
        <v>62</v>
      </c>
      <c r="J433" s="11" t="s">
        <v>63</v>
      </c>
      <c r="K433" s="12" t="s">
        <v>65</v>
      </c>
      <c r="M433" s="46">
        <v>3.6144999999999997E-3</v>
      </c>
      <c r="N433" s="46">
        <v>1.1321499999999998E-2</v>
      </c>
      <c r="O433" s="46">
        <v>4.9261399999999983E-2</v>
      </c>
      <c r="P433" s="46">
        <v>6.1706800000000034E-2</v>
      </c>
      <c r="Q433" s="46">
        <v>1.3522200000000002E-2</v>
      </c>
      <c r="R433" s="46">
        <v>2.1255099999999999E-2</v>
      </c>
      <c r="S433" s="46"/>
      <c r="T433" s="46"/>
      <c r="U433" s="46"/>
    </row>
    <row r="434" spans="1:21" x14ac:dyDescent="0.25">
      <c r="A434" s="24" t="s">
        <v>105</v>
      </c>
      <c r="B434" s="7" t="s">
        <v>152</v>
      </c>
      <c r="C434" s="14">
        <f>B375</f>
        <v>5.3096999999999997E-3</v>
      </c>
      <c r="D434" s="15">
        <f>B377</f>
        <v>3.7168100000000003E-2</v>
      </c>
      <c r="E434" s="15">
        <f>B379</f>
        <v>0.55044249999999995</v>
      </c>
      <c r="F434" s="15">
        <f>B381</f>
        <v>0.24424779999999999</v>
      </c>
      <c r="G434" s="15">
        <f>B383</f>
        <v>1.9415929999999999</v>
      </c>
      <c r="H434" s="15">
        <f>B385</f>
        <v>1</v>
      </c>
      <c r="I434" s="4">
        <f>B387</f>
        <v>3.7168100000000003E-2</v>
      </c>
      <c r="J434" s="25">
        <f>B389</f>
        <v>6.72566E-2</v>
      </c>
      <c r="K434" s="17">
        <f>B391</f>
        <v>0.72035400000000005</v>
      </c>
      <c r="M434" s="46">
        <v>7.4793000000000004E-3</v>
      </c>
      <c r="N434" s="46">
        <v>2.01748E-2</v>
      </c>
      <c r="O434" s="46">
        <v>7.2247600000000023E-2</v>
      </c>
      <c r="P434" s="46">
        <v>9.2054999999999998E-2</v>
      </c>
      <c r="Q434" s="46">
        <v>1.7477599999999999E-2</v>
      </c>
      <c r="R434" s="46">
        <v>3.0140700000000006E-2</v>
      </c>
      <c r="S434" s="46"/>
      <c r="T434" s="46"/>
      <c r="U434" s="46"/>
    </row>
    <row r="435" spans="1:21" x14ac:dyDescent="0.25">
      <c r="A435" s="24"/>
      <c r="B435" s="7" t="s">
        <v>372</v>
      </c>
      <c r="C435" s="15">
        <f>B376</f>
        <v>1.1885700000000001E-2</v>
      </c>
      <c r="D435" s="15">
        <f>B378</f>
        <v>4.1599999999999998E-2</v>
      </c>
      <c r="E435" s="15">
        <f>B380</f>
        <v>0.68045699999999998</v>
      </c>
      <c r="F435" s="15">
        <f>B382</f>
        <v>0.3357714</v>
      </c>
      <c r="G435" s="15">
        <f>B384</f>
        <v>2.6267420000000001</v>
      </c>
      <c r="H435" s="15">
        <f>B386</f>
        <v>0.98651409999999995</v>
      </c>
      <c r="I435" s="4">
        <f>B388</f>
        <v>4.1599999999999998E-2</v>
      </c>
      <c r="J435" s="25">
        <f>B390</f>
        <v>5.9428599999999998E-2</v>
      </c>
      <c r="K435" s="18">
        <f>B392</f>
        <v>1.152914</v>
      </c>
      <c r="M435" s="46">
        <v>0.22493550000000001</v>
      </c>
      <c r="N435" s="46">
        <v>0.63071759999999999</v>
      </c>
      <c r="O435" s="46">
        <v>0.20327910000000002</v>
      </c>
      <c r="P435" s="46">
        <v>0.41379609999999994</v>
      </c>
      <c r="Q435" s="46">
        <v>0.28197120000000003</v>
      </c>
      <c r="R435" s="46">
        <v>0.4521423</v>
      </c>
      <c r="S435" s="46"/>
      <c r="T435" s="46"/>
      <c r="U435" s="46"/>
    </row>
    <row r="436" spans="1:21" x14ac:dyDescent="0.25">
      <c r="A436" s="24" t="s">
        <v>106</v>
      </c>
      <c r="B436" s="7" t="s">
        <v>152</v>
      </c>
      <c r="C436" s="15">
        <f>B411</f>
        <v>0.34962320000000002</v>
      </c>
      <c r="D436" s="15">
        <f>B413</f>
        <v>0.19978470000000001</v>
      </c>
      <c r="E436" s="15">
        <f>B415</f>
        <v>0.79913880000000004</v>
      </c>
      <c r="F436" s="15">
        <f>B417</f>
        <v>0.39956940000000002</v>
      </c>
      <c r="G436" s="15">
        <f>B419</f>
        <v>1.3485469999999999</v>
      </c>
      <c r="H436" s="15">
        <f>B421</f>
        <v>2.5472549999999998</v>
      </c>
      <c r="I436" s="4">
        <f>B423</f>
        <v>0.74919270000000004</v>
      </c>
      <c r="J436" s="25">
        <f>B425</f>
        <v>0.24973090000000001</v>
      </c>
      <c r="K436" s="17">
        <f>B427</f>
        <v>0.14983850000000001</v>
      </c>
      <c r="M436" s="46">
        <v>0.24862440000000002</v>
      </c>
      <c r="N436" s="46">
        <v>0.52837899999999993</v>
      </c>
      <c r="O436" s="46">
        <v>0.15754970000000001</v>
      </c>
      <c r="P436" s="46">
        <v>0.33324809999999994</v>
      </c>
      <c r="Q436" s="46">
        <v>0.26251369999999996</v>
      </c>
      <c r="R436" s="46">
        <v>0.44490790000000002</v>
      </c>
      <c r="S436" s="46"/>
      <c r="T436" s="46"/>
      <c r="U436" s="46"/>
    </row>
    <row r="437" spans="1:21" ht="15.75" thickBot="1" x14ac:dyDescent="0.3">
      <c r="A437" s="26"/>
      <c r="B437" s="27" t="s">
        <v>372</v>
      </c>
      <c r="C437" s="29">
        <f>B412</f>
        <v>0.46958270000000002</v>
      </c>
      <c r="D437" s="29">
        <f>B414</f>
        <v>0.21344669999999999</v>
      </c>
      <c r="E437" s="29">
        <f>B416</f>
        <v>0.98185480000000003</v>
      </c>
      <c r="F437" s="29">
        <f>B418</f>
        <v>0.29882540000000002</v>
      </c>
      <c r="G437" s="28">
        <f>B420</f>
        <v>1.9210199999999999</v>
      </c>
      <c r="H437" s="28">
        <f>B422</f>
        <v>3.7993510000000001</v>
      </c>
      <c r="I437" s="29">
        <f>B424</f>
        <v>0.64034009999999997</v>
      </c>
      <c r="J437" s="29">
        <f>B426</f>
        <v>0.38420409999999999</v>
      </c>
      <c r="K437" s="31">
        <f>B428</f>
        <v>0.42689339999999998</v>
      </c>
      <c r="M437" s="46">
        <v>1.3555900000000003E-2</v>
      </c>
      <c r="N437" s="46">
        <v>2.1338599999999999E-2</v>
      </c>
      <c r="O437" s="46">
        <v>0.34714199999999984</v>
      </c>
      <c r="P437" s="46">
        <v>0.42272200000000004</v>
      </c>
      <c r="Q437" s="46">
        <v>2.0290799999999998E-2</v>
      </c>
      <c r="R437" s="46">
        <v>2.9057200000000005E-2</v>
      </c>
      <c r="S437" s="46"/>
      <c r="T437" s="46"/>
      <c r="U437" s="46"/>
    </row>
    <row r="438" spans="1:21" x14ac:dyDescent="0.25">
      <c r="M438" s="46">
        <v>1.9770799999999998E-2</v>
      </c>
      <c r="N438" s="46">
        <v>3.7677200000000008E-2</v>
      </c>
      <c r="O438" s="46">
        <v>0.41795500000000008</v>
      </c>
      <c r="P438" s="46">
        <v>0.49704299999999968</v>
      </c>
      <c r="Q438" s="46">
        <v>2.2033499999999998E-2</v>
      </c>
      <c r="R438" s="46">
        <v>3.5015699999999997E-2</v>
      </c>
      <c r="S438" s="46"/>
      <c r="T438" s="46"/>
      <c r="U438" s="46"/>
    </row>
    <row r="439" spans="1:21" x14ac:dyDescent="0.25">
      <c r="M439" s="46">
        <v>0.12522470000000002</v>
      </c>
      <c r="N439" s="46">
        <v>0.3355416</v>
      </c>
      <c r="O439" s="46">
        <v>0.63977799999999996</v>
      </c>
      <c r="P439" s="46">
        <v>1.2172800000000001</v>
      </c>
      <c r="Q439" s="46">
        <v>0.14880009999999999</v>
      </c>
      <c r="R439" s="46">
        <v>0.36817260000000007</v>
      </c>
      <c r="S439" s="46"/>
      <c r="T439" s="46"/>
      <c r="U439" s="46"/>
    </row>
    <row r="440" spans="1:21" x14ac:dyDescent="0.25">
      <c r="M440" s="46">
        <v>0.12536069999999999</v>
      </c>
      <c r="N440" s="46">
        <v>0.30376950000000003</v>
      </c>
      <c r="O440" s="46">
        <v>0.58934500000000001</v>
      </c>
      <c r="P440" s="46">
        <v>0.8501660000000002</v>
      </c>
      <c r="Q440" s="46">
        <v>0.19093839999999998</v>
      </c>
      <c r="R440" s="46">
        <v>0.37957740000000001</v>
      </c>
      <c r="S440" s="46"/>
      <c r="T440" s="46"/>
      <c r="U440" s="46"/>
    </row>
    <row r="441" spans="1:21" x14ac:dyDescent="0.25">
      <c r="M441" s="46">
        <v>9.6075699999999931E-2</v>
      </c>
      <c r="N441" s="46">
        <v>0.11639080000000002</v>
      </c>
      <c r="O441" s="46">
        <v>0</v>
      </c>
      <c r="P441" s="46">
        <v>0</v>
      </c>
      <c r="Q441" s="46">
        <v>0.14259830000000007</v>
      </c>
      <c r="R441" s="46">
        <v>0.1777936</v>
      </c>
      <c r="S441" s="46"/>
      <c r="T441" s="46"/>
      <c r="U441" s="46"/>
    </row>
    <row r="442" spans="1:21" x14ac:dyDescent="0.25">
      <c r="M442" s="46">
        <v>0.12713249999999998</v>
      </c>
      <c r="N442" s="46">
        <v>0.15634270000000006</v>
      </c>
      <c r="O442" s="46">
        <v>0.16609199999999991</v>
      </c>
      <c r="P442" s="46">
        <v>0.19971690000000009</v>
      </c>
      <c r="Q442" s="46">
        <v>0.20473770000000002</v>
      </c>
      <c r="R442" s="46">
        <v>0.24894600000000011</v>
      </c>
      <c r="S442" s="46"/>
      <c r="T442" s="46"/>
      <c r="U442" s="46"/>
    </row>
    <row r="443" spans="1:21" x14ac:dyDescent="0.25">
      <c r="M443" s="46">
        <v>0.34127030000000003</v>
      </c>
      <c r="N443" s="46">
        <v>0.59563519999999992</v>
      </c>
      <c r="O443" s="46">
        <v>0.84732099999999977</v>
      </c>
      <c r="P443" s="46">
        <v>1.2696640000000001</v>
      </c>
      <c r="Q443" s="46">
        <v>0.10243070000000001</v>
      </c>
      <c r="R443" s="46">
        <v>0.32374619999999998</v>
      </c>
      <c r="S443" s="46"/>
      <c r="T443" s="46"/>
      <c r="U443" s="46"/>
    </row>
    <row r="444" spans="1:21" x14ac:dyDescent="0.25">
      <c r="M444" s="46">
        <v>0.35271000000000008</v>
      </c>
      <c r="N444" s="46">
        <v>0.55044619999999989</v>
      </c>
      <c r="O444" s="46">
        <v>0.99934700000000021</v>
      </c>
      <c r="P444" s="46">
        <v>1.3560240000000001</v>
      </c>
      <c r="Q444" s="46">
        <v>0.20134879999999997</v>
      </c>
      <c r="R444" s="46">
        <v>0.38109760000000004</v>
      </c>
      <c r="S444" s="46"/>
      <c r="T444" s="46"/>
      <c r="U444" s="46"/>
    </row>
    <row r="445" spans="1:21" x14ac:dyDescent="0.25">
      <c r="M445" s="7"/>
      <c r="N445" s="7"/>
      <c r="O445" s="7"/>
      <c r="P445" s="7"/>
      <c r="Q445" s="7"/>
      <c r="R445" s="7"/>
      <c r="S445" s="46"/>
      <c r="T445" s="46"/>
      <c r="U445" s="46"/>
    </row>
    <row r="446" spans="1:21" x14ac:dyDescent="0.25">
      <c r="M446" s="9"/>
      <c r="N446" s="9"/>
      <c r="O446" s="7"/>
      <c r="P446" s="7"/>
      <c r="Q446" s="7"/>
      <c r="R446" s="7"/>
      <c r="S446" s="46"/>
      <c r="T446" s="46"/>
      <c r="U446" s="46"/>
    </row>
    <row r="447" spans="1:21" x14ac:dyDescent="0.25">
      <c r="M447" s="7"/>
      <c r="N447" s="7"/>
      <c r="O447" s="7"/>
      <c r="P447" s="7"/>
      <c r="Q447" s="7"/>
      <c r="R447" s="9"/>
      <c r="S447" s="46"/>
      <c r="T447" s="46"/>
      <c r="U447" s="46"/>
    </row>
    <row r="448" spans="1:21" x14ac:dyDescent="0.25">
      <c r="M448" s="7"/>
      <c r="N448" s="7"/>
      <c r="O448" s="7"/>
      <c r="P448" s="7"/>
      <c r="Q448" s="7"/>
      <c r="R448" s="9"/>
      <c r="S448" s="46"/>
      <c r="T448" s="46"/>
      <c r="U448" s="46"/>
    </row>
    <row r="449" spans="13:21" x14ac:dyDescent="0.25">
      <c r="M449" s="7"/>
      <c r="N449" s="7"/>
      <c r="O449" s="7"/>
      <c r="P449" s="7"/>
      <c r="Q449" s="7"/>
      <c r="R449" s="7"/>
      <c r="S449" s="47"/>
      <c r="T449" s="47"/>
      <c r="U449" s="7"/>
    </row>
    <row r="450" spans="13:21" x14ac:dyDescent="0.25">
      <c r="M450" s="7"/>
      <c r="N450" s="7"/>
      <c r="O450" s="9"/>
      <c r="P450" s="9"/>
      <c r="Q450" s="7"/>
      <c r="R450" s="7"/>
      <c r="T450" s="7"/>
      <c r="U450" s="7"/>
    </row>
    <row r="451" spans="13:21" x14ac:dyDescent="0.25">
      <c r="M451" s="7"/>
      <c r="N451" s="7"/>
      <c r="O451" s="9"/>
      <c r="P451" s="9"/>
      <c r="Q451" s="7"/>
      <c r="R451" s="7"/>
      <c r="T451" s="9"/>
      <c r="U451" s="9"/>
    </row>
    <row r="452" spans="13:21" x14ac:dyDescent="0.25">
      <c r="M452" s="7"/>
      <c r="N452" s="7"/>
      <c r="O452" s="9"/>
      <c r="P452" s="9"/>
      <c r="Q452" s="7"/>
      <c r="R452" s="7"/>
      <c r="T452" s="9"/>
      <c r="U452" s="9"/>
    </row>
    <row r="453" spans="13:21" x14ac:dyDescent="0.25">
      <c r="M453" s="7"/>
      <c r="N453" s="7"/>
      <c r="O453" s="7"/>
      <c r="P453" s="7"/>
      <c r="T453" s="7"/>
      <c r="U453" s="7"/>
    </row>
    <row r="454" spans="13:21" x14ac:dyDescent="0.25">
      <c r="M454" s="7"/>
      <c r="N454" s="7"/>
      <c r="O454" s="7"/>
      <c r="P454" s="7"/>
      <c r="T454" s="7"/>
      <c r="U454" s="9"/>
    </row>
    <row r="455" spans="13:21" x14ac:dyDescent="0.25">
      <c r="M455" s="9"/>
      <c r="N455" s="9"/>
      <c r="O455" s="7"/>
      <c r="P455" s="7"/>
      <c r="T455" s="7"/>
      <c r="U455" s="9"/>
    </row>
    <row r="456" spans="13:21" x14ac:dyDescent="0.25">
      <c r="M456" s="9"/>
      <c r="N456" s="9"/>
      <c r="O456" s="7"/>
      <c r="P456" s="7"/>
      <c r="T456" s="7"/>
      <c r="U456" s="7"/>
    </row>
    <row r="457" spans="13:21" x14ac:dyDescent="0.25">
      <c r="M457" s="7"/>
      <c r="N457" s="7"/>
      <c r="O457" s="7"/>
      <c r="P457" s="7"/>
      <c r="T457" s="7"/>
      <c r="U457" s="7"/>
    </row>
    <row r="458" spans="13:21" x14ac:dyDescent="0.25">
      <c r="M458" s="9"/>
      <c r="N458" s="9"/>
      <c r="O458" s="7"/>
      <c r="P458" s="7"/>
      <c r="T458" s="7"/>
      <c r="U458" s="7"/>
    </row>
    <row r="459" spans="13:21" x14ac:dyDescent="0.25">
      <c r="M459" s="7"/>
      <c r="N459" s="7"/>
      <c r="O459" s="7"/>
      <c r="P459" s="9"/>
      <c r="T459" s="7"/>
      <c r="U459" s="7"/>
    </row>
    <row r="460" spans="13:21" x14ac:dyDescent="0.25">
      <c r="M460" s="7"/>
      <c r="N460" s="9"/>
      <c r="O460" s="7"/>
      <c r="P460" s="9"/>
      <c r="T460" s="7"/>
      <c r="U460" s="7"/>
    </row>
    <row r="461" spans="13:21" x14ac:dyDescent="0.25">
      <c r="M461" s="7"/>
      <c r="N461" s="7"/>
      <c r="T461" s="7"/>
      <c r="U461" s="7"/>
    </row>
    <row r="462" spans="13:21" x14ac:dyDescent="0.25">
      <c r="M462" s="7"/>
      <c r="N462" s="7"/>
      <c r="T462" s="7"/>
      <c r="U462" s="7"/>
    </row>
    <row r="463" spans="13:21" x14ac:dyDescent="0.25">
      <c r="M463" s="7"/>
      <c r="N463" s="7"/>
      <c r="T463" s="7"/>
      <c r="U463" s="7"/>
    </row>
    <row r="464" spans="13:21" x14ac:dyDescent="0.25">
      <c r="M464" s="7"/>
      <c r="N464" s="7"/>
      <c r="T464" s="7"/>
      <c r="U464" s="7"/>
    </row>
    <row r="465" spans="13:14" x14ac:dyDescent="0.25">
      <c r="M465" s="7"/>
      <c r="N465" s="7"/>
    </row>
    <row r="466" spans="13:14" x14ac:dyDescent="0.25">
      <c r="M466" s="7"/>
      <c r="N466" s="7"/>
    </row>
    <row r="467" spans="13:14" x14ac:dyDescent="0.25">
      <c r="M467" s="7"/>
      <c r="N467" s="7"/>
    </row>
    <row r="468" spans="13:14" x14ac:dyDescent="0.25">
      <c r="M468" s="7"/>
      <c r="N468" s="7"/>
    </row>
    <row r="469" spans="13:14" x14ac:dyDescent="0.25">
      <c r="M469" s="7"/>
      <c r="N469" s="7"/>
    </row>
    <row r="470" spans="13:14" x14ac:dyDescent="0.25">
      <c r="M470" s="7"/>
      <c r="N470" s="7"/>
    </row>
    <row r="471" spans="13:14" x14ac:dyDescent="0.25">
      <c r="M471" s="7"/>
      <c r="N471" s="9"/>
    </row>
    <row r="472" spans="13:14" x14ac:dyDescent="0.25">
      <c r="M472" s="7"/>
      <c r="N472" s="9"/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EC4D1-1DF8-44DD-BAD7-7512C6BA98C6}">
  <dimension ref="A1:V466"/>
  <sheetViews>
    <sheetView topLeftCell="A231" workbookViewId="0">
      <selection activeCell="N249" sqref="N249"/>
    </sheetView>
  </sheetViews>
  <sheetFormatPr defaultColWidth="8.7109375" defaultRowHeight="15" x14ac:dyDescent="0.25"/>
  <cols>
    <col min="1" max="1" width="8.7109375" style="4"/>
    <col min="2" max="2" width="9.42578125" style="4" bestFit="1" customWidth="1"/>
    <col min="3" max="5" width="8.7109375" style="4"/>
    <col min="6" max="7" width="10.42578125" style="4" bestFit="1" customWidth="1"/>
    <col min="8" max="16384" width="8.7109375" style="4"/>
  </cols>
  <sheetData>
    <row r="1" spans="1:7" s="1" customFormat="1" x14ac:dyDescent="0.25">
      <c r="A1" s="1" t="s">
        <v>43</v>
      </c>
    </row>
    <row r="2" spans="1:7" s="1" customFormat="1" x14ac:dyDescent="0.25">
      <c r="A2" s="1" t="s">
        <v>48</v>
      </c>
    </row>
    <row r="4" spans="1:7" x14ac:dyDescent="0.25">
      <c r="A4" s="36"/>
      <c r="B4" s="2" t="s">
        <v>1</v>
      </c>
      <c r="C4" s="3"/>
      <c r="D4" s="3"/>
      <c r="E4" s="3"/>
      <c r="F4" s="3"/>
      <c r="G4" s="3"/>
    </row>
    <row r="5" spans="1:7" x14ac:dyDescent="0.25">
      <c r="A5" s="5" t="s">
        <v>2</v>
      </c>
      <c r="B5" s="6" t="s">
        <v>269</v>
      </c>
      <c r="C5" s="6" t="s">
        <v>270</v>
      </c>
      <c r="D5" s="6" t="s">
        <v>3</v>
      </c>
      <c r="E5" s="6" t="s">
        <v>4</v>
      </c>
      <c r="F5" s="6" t="s">
        <v>271</v>
      </c>
      <c r="G5" s="6" t="s">
        <v>272</v>
      </c>
    </row>
    <row r="6" spans="1:7" x14ac:dyDescent="0.25">
      <c r="A6" s="36"/>
      <c r="B6" s="2"/>
      <c r="C6" s="2"/>
      <c r="D6" s="3"/>
      <c r="E6" s="3"/>
      <c r="F6" s="3"/>
      <c r="G6" s="3"/>
    </row>
    <row r="7" spans="1:7" x14ac:dyDescent="0.25">
      <c r="A7" s="36" t="s">
        <v>45</v>
      </c>
      <c r="B7" s="3"/>
      <c r="C7" s="3"/>
      <c r="D7" s="3"/>
      <c r="E7" s="3"/>
      <c r="F7" s="3"/>
      <c r="G7" s="3"/>
    </row>
    <row r="8" spans="1:7" x14ac:dyDescent="0.25">
      <c r="A8" s="36" t="s">
        <v>46</v>
      </c>
      <c r="B8" s="2">
        <v>2.1204500000000001E-2</v>
      </c>
      <c r="C8" s="2">
        <v>4.3706999999999999E-3</v>
      </c>
      <c r="D8" s="2">
        <v>-18.7</v>
      </c>
      <c r="E8" s="2">
        <v>0</v>
      </c>
      <c r="F8" s="2">
        <v>1.41572E-2</v>
      </c>
      <c r="G8" s="2">
        <v>3.1759799999999998E-2</v>
      </c>
    </row>
    <row r="9" spans="1:7" x14ac:dyDescent="0.25">
      <c r="A9" s="36" t="s">
        <v>16</v>
      </c>
      <c r="B9" s="2">
        <v>6.5497299999999994E-2</v>
      </c>
      <c r="C9" s="2">
        <v>1.26201E-2</v>
      </c>
      <c r="D9" s="2">
        <v>-14.15</v>
      </c>
      <c r="E9" s="2">
        <v>0</v>
      </c>
      <c r="F9" s="2">
        <v>4.4896499999999999E-2</v>
      </c>
      <c r="G9" s="2">
        <v>9.5550700000000002E-2</v>
      </c>
    </row>
    <row r="10" spans="1:7" x14ac:dyDescent="0.25">
      <c r="A10" s="36" t="s">
        <v>17</v>
      </c>
      <c r="B10" s="2">
        <v>0.1004892</v>
      </c>
      <c r="C10" s="2">
        <v>1.26754E-2</v>
      </c>
      <c r="D10" s="2">
        <v>-18.22</v>
      </c>
      <c r="E10" s="2">
        <v>0</v>
      </c>
      <c r="F10" s="2">
        <v>7.8478699999999998E-2</v>
      </c>
      <c r="G10" s="2">
        <v>0.12867300000000001</v>
      </c>
    </row>
    <row r="11" spans="1:7" x14ac:dyDescent="0.25">
      <c r="A11" s="36" t="s">
        <v>18</v>
      </c>
      <c r="B11" s="2">
        <v>0.2279834</v>
      </c>
      <c r="C11" s="2">
        <v>4.2012899999999999E-2</v>
      </c>
      <c r="D11" s="2">
        <v>-8.02</v>
      </c>
      <c r="E11" s="2">
        <v>0</v>
      </c>
      <c r="F11" s="2">
        <v>0.1588706</v>
      </c>
      <c r="G11" s="2">
        <v>0.32716200000000001</v>
      </c>
    </row>
    <row r="12" spans="1:7" x14ac:dyDescent="0.25">
      <c r="A12" s="36" t="s">
        <v>19</v>
      </c>
      <c r="B12" s="2">
        <v>7.2095000000000006E-2</v>
      </c>
      <c r="C12" s="2">
        <v>8.5994000000000001E-3</v>
      </c>
      <c r="D12" s="2">
        <v>-22.05</v>
      </c>
      <c r="E12" s="2">
        <v>0</v>
      </c>
      <c r="F12" s="2">
        <v>5.7065699999999997E-2</v>
      </c>
      <c r="G12" s="2">
        <v>9.10826E-2</v>
      </c>
    </row>
    <row r="13" spans="1:7" x14ac:dyDescent="0.25">
      <c r="A13" s="36" t="s">
        <v>20</v>
      </c>
      <c r="B13" s="2">
        <v>0.24843799999999999</v>
      </c>
      <c r="C13" s="2">
        <v>2.72436E-2</v>
      </c>
      <c r="D13" s="2">
        <v>-12.7</v>
      </c>
      <c r="E13" s="2">
        <v>0</v>
      </c>
      <c r="F13" s="2">
        <v>0.20038980000000001</v>
      </c>
      <c r="G13" s="2">
        <v>0.30800680000000003</v>
      </c>
    </row>
    <row r="14" spans="1:7" x14ac:dyDescent="0.25">
      <c r="A14" s="36" t="s">
        <v>21</v>
      </c>
      <c r="B14" s="2">
        <v>0.2276908</v>
      </c>
      <c r="C14" s="2">
        <v>2.0906299999999999E-2</v>
      </c>
      <c r="D14" s="2">
        <v>-16.12</v>
      </c>
      <c r="E14" s="2">
        <v>0</v>
      </c>
      <c r="F14" s="2">
        <v>0.19019069999999999</v>
      </c>
      <c r="G14" s="2">
        <v>0.27258490000000002</v>
      </c>
    </row>
    <row r="15" spans="1:7" x14ac:dyDescent="0.25">
      <c r="A15" s="36" t="s">
        <v>22</v>
      </c>
      <c r="B15" s="2">
        <v>0.50290449999999998</v>
      </c>
      <c r="C15" s="2">
        <v>6.4276E-2</v>
      </c>
      <c r="D15" s="2">
        <v>-5.38</v>
      </c>
      <c r="E15" s="2">
        <v>0</v>
      </c>
      <c r="F15" s="2">
        <v>0.39146579999999997</v>
      </c>
      <c r="G15" s="2">
        <v>0.64606660000000005</v>
      </c>
    </row>
    <row r="16" spans="1:7" x14ac:dyDescent="0.25">
      <c r="A16" s="36" t="s">
        <v>23</v>
      </c>
      <c r="B16" s="2">
        <v>0.1391009</v>
      </c>
      <c r="C16" s="2">
        <v>1.2997099999999999E-2</v>
      </c>
      <c r="D16" s="2">
        <v>-21.11</v>
      </c>
      <c r="E16" s="2">
        <v>0</v>
      </c>
      <c r="F16" s="2">
        <v>0.1158236</v>
      </c>
      <c r="G16" s="2">
        <v>0.16705639999999999</v>
      </c>
    </row>
    <row r="17" spans="1:7" x14ac:dyDescent="0.25">
      <c r="A17" s="36" t="s">
        <v>24</v>
      </c>
      <c r="B17" s="2">
        <v>0.2416624</v>
      </c>
      <c r="C17" s="2">
        <v>2.7012399999999999E-2</v>
      </c>
      <c r="D17" s="2">
        <v>-12.71</v>
      </c>
      <c r="E17" s="2">
        <v>0</v>
      </c>
      <c r="F17" s="2">
        <v>0.19411719999999999</v>
      </c>
      <c r="G17" s="2">
        <v>0.30085279999999998</v>
      </c>
    </row>
    <row r="18" spans="1:7" x14ac:dyDescent="0.25">
      <c r="A18" s="36" t="s">
        <v>25</v>
      </c>
      <c r="B18" s="2">
        <v>0.38160470000000002</v>
      </c>
      <c r="C18" s="2">
        <v>2.9823599999999999E-2</v>
      </c>
      <c r="D18" s="2">
        <v>-12.33</v>
      </c>
      <c r="E18" s="2">
        <v>0</v>
      </c>
      <c r="F18" s="2">
        <v>0.32740829999999999</v>
      </c>
      <c r="G18" s="2">
        <v>0.44477230000000001</v>
      </c>
    </row>
    <row r="19" spans="1:7" x14ac:dyDescent="0.25">
      <c r="A19" s="36" t="s">
        <v>26</v>
      </c>
      <c r="B19" s="2">
        <v>0.36879669999999998</v>
      </c>
      <c r="C19" s="2">
        <v>5.3060200000000002E-2</v>
      </c>
      <c r="D19" s="2">
        <v>-6.93</v>
      </c>
      <c r="E19" s="2">
        <v>0</v>
      </c>
      <c r="F19" s="2">
        <v>0.27817710000000001</v>
      </c>
      <c r="G19" s="2">
        <v>0.4889366</v>
      </c>
    </row>
    <row r="20" spans="1:7" x14ac:dyDescent="0.25">
      <c r="A20" s="36" t="s">
        <v>27</v>
      </c>
      <c r="B20" s="2">
        <v>0.3494487</v>
      </c>
      <c r="C20" s="2">
        <v>2.4444299999999999E-2</v>
      </c>
      <c r="D20" s="2">
        <v>-15.03</v>
      </c>
      <c r="E20" s="2">
        <v>0</v>
      </c>
      <c r="F20" s="2">
        <v>0.304678</v>
      </c>
      <c r="G20" s="2">
        <v>0.40079819999999999</v>
      </c>
    </row>
    <row r="21" spans="1:7" x14ac:dyDescent="0.25">
      <c r="A21" s="36" t="s">
        <v>28</v>
      </c>
      <c r="B21" s="2">
        <v>0.79048439999999998</v>
      </c>
      <c r="C21" s="2">
        <v>5.96895E-2</v>
      </c>
      <c r="D21" s="2">
        <v>-3.11</v>
      </c>
      <c r="E21" s="2">
        <v>2E-3</v>
      </c>
      <c r="F21" s="2">
        <v>0.68174040000000002</v>
      </c>
      <c r="G21" s="2">
        <v>0.91657409999999995</v>
      </c>
    </row>
    <row r="22" spans="1:7" x14ac:dyDescent="0.25">
      <c r="A22" s="36" t="s">
        <v>29</v>
      </c>
      <c r="B22" s="2">
        <v>1.278376</v>
      </c>
      <c r="C22" s="2">
        <v>7.7855800000000003E-2</v>
      </c>
      <c r="D22" s="2">
        <v>4.03</v>
      </c>
      <c r="E22" s="2">
        <v>0</v>
      </c>
      <c r="F22" s="2">
        <v>1.1345369999999999</v>
      </c>
      <c r="G22" s="2">
        <v>1.4404509999999999</v>
      </c>
    </row>
    <row r="23" spans="1:7" x14ac:dyDescent="0.25">
      <c r="A23" s="36" t="s">
        <v>30</v>
      </c>
      <c r="B23" s="2">
        <v>1.0594520000000001</v>
      </c>
      <c r="C23" s="2">
        <v>0.1026946</v>
      </c>
      <c r="D23" s="2">
        <v>0.6</v>
      </c>
      <c r="E23" s="2">
        <v>0.55100000000000005</v>
      </c>
      <c r="F23" s="2">
        <v>0.87613870000000005</v>
      </c>
      <c r="G23" s="2">
        <v>1.28112</v>
      </c>
    </row>
    <row r="24" spans="1:7" x14ac:dyDescent="0.25">
      <c r="A24" s="36" t="s">
        <v>67</v>
      </c>
      <c r="B24" s="2">
        <v>0.99745550000000005</v>
      </c>
      <c r="C24" s="2">
        <v>7.3947700000000005E-2</v>
      </c>
      <c r="D24" s="2">
        <v>-0.03</v>
      </c>
      <c r="E24" s="2">
        <v>0.97299999999999998</v>
      </c>
      <c r="F24" s="2">
        <v>0.86255850000000001</v>
      </c>
      <c r="G24" s="2">
        <v>1.1534489999999999</v>
      </c>
    </row>
    <row r="25" spans="1:7" x14ac:dyDescent="0.25">
      <c r="A25" s="36" t="s">
        <v>31</v>
      </c>
      <c r="B25" s="2">
        <v>3.2997079999999999</v>
      </c>
      <c r="C25" s="2">
        <v>0.24032039999999999</v>
      </c>
      <c r="D25" s="2">
        <v>16.39</v>
      </c>
      <c r="E25" s="2">
        <v>0</v>
      </c>
      <c r="F25" s="2">
        <v>2.8607619999999998</v>
      </c>
      <c r="G25" s="2">
        <v>3.8060040000000002</v>
      </c>
    </row>
    <row r="26" spans="1:7" x14ac:dyDescent="0.25">
      <c r="A26" s="36" t="s">
        <v>32</v>
      </c>
      <c r="B26" s="2">
        <v>3.8898239999999999</v>
      </c>
      <c r="C26" s="2">
        <v>0.22406499999999999</v>
      </c>
      <c r="D26" s="2">
        <v>23.58</v>
      </c>
      <c r="E26" s="2">
        <v>0</v>
      </c>
      <c r="F26" s="2">
        <v>3.474548</v>
      </c>
      <c r="G26" s="2">
        <v>4.3547339999999997</v>
      </c>
    </row>
    <row r="27" spans="1:7" x14ac:dyDescent="0.25">
      <c r="A27" s="36" t="s">
        <v>33</v>
      </c>
      <c r="B27" s="2">
        <v>5.3978419999999998</v>
      </c>
      <c r="C27" s="2">
        <v>0.39643210000000001</v>
      </c>
      <c r="D27" s="2">
        <v>22.96</v>
      </c>
      <c r="E27" s="2">
        <v>0</v>
      </c>
      <c r="F27" s="2">
        <v>4.6741820000000001</v>
      </c>
      <c r="G27" s="2">
        <v>6.2335390000000004</v>
      </c>
    </row>
    <row r="28" spans="1:7" x14ac:dyDescent="0.25">
      <c r="A28" s="36" t="s">
        <v>34</v>
      </c>
      <c r="B28" s="2">
        <v>1</v>
      </c>
      <c r="C28" s="2"/>
      <c r="D28" s="2"/>
      <c r="E28" s="2"/>
      <c r="F28" s="2"/>
      <c r="G28" s="2"/>
    </row>
    <row r="29" spans="1:7" x14ac:dyDescent="0.25">
      <c r="A29" s="36" t="s">
        <v>35</v>
      </c>
      <c r="B29" s="2">
        <v>2.7057150000000001</v>
      </c>
      <c r="C29" s="2">
        <v>0.1679456</v>
      </c>
      <c r="D29" s="2">
        <v>16.04</v>
      </c>
      <c r="E29" s="2">
        <v>0</v>
      </c>
      <c r="F29" s="2">
        <v>2.3957830000000002</v>
      </c>
      <c r="G29" s="2">
        <v>3.055742</v>
      </c>
    </row>
    <row r="30" spans="1:7" x14ac:dyDescent="0.25">
      <c r="A30" s="36" t="s">
        <v>36</v>
      </c>
      <c r="B30" s="2">
        <v>2.4002940000000001</v>
      </c>
      <c r="C30" s="2">
        <v>0.14079630000000001</v>
      </c>
      <c r="D30" s="2">
        <v>14.93</v>
      </c>
      <c r="E30" s="2">
        <v>0</v>
      </c>
      <c r="F30" s="2">
        <v>2.1396099999999998</v>
      </c>
      <c r="G30" s="2">
        <v>2.6927379999999999</v>
      </c>
    </row>
    <row r="31" spans="1:7" x14ac:dyDescent="0.25">
      <c r="A31" s="36" t="s">
        <v>37</v>
      </c>
      <c r="B31" s="2">
        <v>6.0884980000000004</v>
      </c>
      <c r="C31" s="2">
        <v>0.43599320000000003</v>
      </c>
      <c r="D31" s="2">
        <v>25.23</v>
      </c>
      <c r="E31" s="2">
        <v>0</v>
      </c>
      <c r="F31" s="2">
        <v>5.2912239999999997</v>
      </c>
      <c r="G31" s="2">
        <v>7.005903</v>
      </c>
    </row>
    <row r="32" spans="1:7" x14ac:dyDescent="0.25">
      <c r="A32" s="36" t="s">
        <v>50</v>
      </c>
      <c r="B32" s="2">
        <v>3.3078900000000001E-2</v>
      </c>
      <c r="C32" s="2">
        <v>5.5431999999999999E-3</v>
      </c>
      <c r="D32" s="2">
        <v>-20.34</v>
      </c>
      <c r="E32" s="2">
        <v>0</v>
      </c>
      <c r="F32" s="2">
        <v>2.3818300000000001E-2</v>
      </c>
      <c r="G32" s="2">
        <v>4.5940000000000002E-2</v>
      </c>
    </row>
    <row r="33" spans="1:10" x14ac:dyDescent="0.25">
      <c r="A33" s="36" t="s">
        <v>51</v>
      </c>
      <c r="B33" s="2">
        <v>9.0341099999999994E-2</v>
      </c>
      <c r="C33" s="2">
        <v>1.50213E-2</v>
      </c>
      <c r="D33" s="2">
        <v>-14.46</v>
      </c>
      <c r="E33" s="2">
        <v>0</v>
      </c>
      <c r="F33" s="2">
        <v>6.5215800000000004E-2</v>
      </c>
      <c r="G33" s="2">
        <v>0.12514620000000001</v>
      </c>
    </row>
    <row r="34" spans="1:10" x14ac:dyDescent="0.25">
      <c r="A34" s="36" t="s">
        <v>52</v>
      </c>
      <c r="B34" s="2">
        <v>0.14119380000000001</v>
      </c>
      <c r="C34" s="2">
        <v>1.5236899999999999E-2</v>
      </c>
      <c r="D34" s="2">
        <v>-18.14</v>
      </c>
      <c r="E34" s="2">
        <v>0</v>
      </c>
      <c r="F34" s="2">
        <v>0.1142768</v>
      </c>
      <c r="G34" s="2">
        <v>0.17445069999999999</v>
      </c>
    </row>
    <row r="35" spans="1:10" x14ac:dyDescent="0.25">
      <c r="A35" s="36" t="s">
        <v>53</v>
      </c>
      <c r="B35" s="2">
        <v>0.221278</v>
      </c>
      <c r="C35" s="2">
        <v>4.02531E-2</v>
      </c>
      <c r="D35" s="2">
        <v>-8.2899999999999991</v>
      </c>
      <c r="E35" s="2">
        <v>0</v>
      </c>
      <c r="F35" s="2">
        <v>0.15491540000000001</v>
      </c>
      <c r="G35" s="2">
        <v>0.31606909999999999</v>
      </c>
    </row>
    <row r="36" spans="1:10" x14ac:dyDescent="0.25">
      <c r="A36" s="36" t="s">
        <v>54</v>
      </c>
      <c r="B36" s="2">
        <v>9.4995800000000005E-2</v>
      </c>
      <c r="C36" s="2">
        <v>1.0424299999999999E-2</v>
      </c>
      <c r="D36" s="2">
        <v>-21.45</v>
      </c>
      <c r="E36" s="2">
        <v>0</v>
      </c>
      <c r="F36" s="2">
        <v>7.6612299999999994E-2</v>
      </c>
      <c r="G36" s="2">
        <v>0.11779050000000001</v>
      </c>
    </row>
    <row r="37" spans="1:10" x14ac:dyDescent="0.25">
      <c r="A37" s="36" t="s">
        <v>55</v>
      </c>
      <c r="B37" s="2">
        <v>0.28005730000000001</v>
      </c>
      <c r="C37" s="2">
        <v>2.8827499999999999E-2</v>
      </c>
      <c r="D37" s="2">
        <v>-12.36</v>
      </c>
      <c r="E37" s="2">
        <v>0</v>
      </c>
      <c r="F37" s="2">
        <v>0.22889129999999999</v>
      </c>
      <c r="G37" s="2">
        <v>0.34266099999999999</v>
      </c>
    </row>
    <row r="38" spans="1:10" x14ac:dyDescent="0.25">
      <c r="A38" s="36" t="s">
        <v>56</v>
      </c>
      <c r="B38" s="2">
        <v>0.27221139999999999</v>
      </c>
      <c r="C38" s="2">
        <v>2.3647100000000001E-2</v>
      </c>
      <c r="D38" s="2">
        <v>-14.98</v>
      </c>
      <c r="E38" s="2">
        <v>0</v>
      </c>
      <c r="F38" s="2">
        <v>0.22959479999999999</v>
      </c>
      <c r="G38" s="2">
        <v>0.32273829999999998</v>
      </c>
    </row>
    <row r="39" spans="1:10" x14ac:dyDescent="0.25">
      <c r="A39" s="36" t="s">
        <v>57</v>
      </c>
      <c r="B39" s="2">
        <v>0.69065560000000004</v>
      </c>
      <c r="C39" s="2">
        <v>7.9978800000000003E-2</v>
      </c>
      <c r="D39" s="2">
        <v>-3.2</v>
      </c>
      <c r="E39" s="2">
        <v>1E-3</v>
      </c>
      <c r="F39" s="2">
        <v>0.55041629999999997</v>
      </c>
      <c r="G39" s="2">
        <v>0.86662600000000001</v>
      </c>
    </row>
    <row r="40" spans="1:10" x14ac:dyDescent="0.25">
      <c r="A40" s="36" t="s">
        <v>58</v>
      </c>
      <c r="B40" s="2">
        <v>0.27905000000000002</v>
      </c>
      <c r="C40" s="2">
        <v>2.4568599999999999E-2</v>
      </c>
      <c r="D40" s="2">
        <v>-14.5</v>
      </c>
      <c r="E40" s="2">
        <v>0</v>
      </c>
      <c r="F40" s="2">
        <v>0.23482220000000001</v>
      </c>
      <c r="G40" s="2">
        <v>0.33160800000000001</v>
      </c>
    </row>
    <row r="41" spans="1:10" x14ac:dyDescent="0.25">
      <c r="A41" s="36" t="s">
        <v>59</v>
      </c>
      <c r="B41" s="2">
        <v>0.61431930000000001</v>
      </c>
      <c r="C41" s="2">
        <v>6.3285599999999997E-2</v>
      </c>
      <c r="D41" s="2">
        <v>-4.7300000000000004</v>
      </c>
      <c r="E41" s="2">
        <v>0</v>
      </c>
      <c r="F41" s="2">
        <v>0.50200219999999995</v>
      </c>
      <c r="G41" s="2">
        <v>0.75176600000000005</v>
      </c>
    </row>
    <row r="42" spans="1:10" x14ac:dyDescent="0.25">
      <c r="A42" s="36" t="s">
        <v>60</v>
      </c>
      <c r="B42" s="2">
        <v>0.79628189999999999</v>
      </c>
      <c r="C42" s="2">
        <v>5.3829099999999998E-2</v>
      </c>
      <c r="D42" s="2">
        <v>-3.37</v>
      </c>
      <c r="E42" s="2">
        <v>1E-3</v>
      </c>
      <c r="F42" s="2">
        <v>0.69746929999999996</v>
      </c>
      <c r="G42" s="2">
        <v>0.9090935</v>
      </c>
    </row>
    <row r="43" spans="1:10" x14ac:dyDescent="0.25">
      <c r="A43" s="36" t="s">
        <v>61</v>
      </c>
      <c r="B43" s="2">
        <v>1.046041</v>
      </c>
      <c r="C43" s="2">
        <v>0.1219446</v>
      </c>
      <c r="D43" s="2">
        <v>0.39</v>
      </c>
      <c r="E43" s="2">
        <v>0.69899999999999995</v>
      </c>
      <c r="F43" s="2">
        <v>0.83237349999999999</v>
      </c>
      <c r="G43" s="2">
        <v>1.314557</v>
      </c>
    </row>
    <row r="44" spans="1:10" x14ac:dyDescent="0.25">
      <c r="A44" s="36"/>
      <c r="B44" s="3"/>
      <c r="C44" s="3"/>
      <c r="D44" s="3"/>
      <c r="E44" s="3"/>
      <c r="F44" s="3"/>
      <c r="G44" s="3"/>
    </row>
    <row r="45" spans="1:10" x14ac:dyDescent="0.25">
      <c r="A45" s="5" t="s">
        <v>6</v>
      </c>
      <c r="B45" s="6">
        <v>3.6037999999999999E-3</v>
      </c>
      <c r="C45" s="6">
        <v>1.841E-4</v>
      </c>
      <c r="D45" s="6">
        <v>-110.1</v>
      </c>
      <c r="E45" s="6">
        <v>0</v>
      </c>
      <c r="F45" s="6">
        <v>3.2604000000000001E-3</v>
      </c>
      <c r="G45" s="6">
        <v>3.9833999999999998E-3</v>
      </c>
    </row>
    <row r="46" spans="1:10" x14ac:dyDescent="0.25">
      <c r="A46" s="7"/>
      <c r="B46" s="41"/>
      <c r="C46" s="9"/>
      <c r="D46" s="7"/>
      <c r="E46" s="7"/>
      <c r="F46" s="9"/>
      <c r="G46" s="9"/>
    </row>
    <row r="47" spans="1:10" ht="15.75" thickBot="1" x14ac:dyDescent="0.3"/>
    <row r="48" spans="1:10" x14ac:dyDescent="0.25">
      <c r="A48" s="10"/>
      <c r="B48" s="11" t="s">
        <v>9</v>
      </c>
      <c r="C48" s="11" t="s">
        <v>10</v>
      </c>
      <c r="D48" s="11" t="s">
        <v>40</v>
      </c>
      <c r="E48" s="11" t="s">
        <v>11</v>
      </c>
      <c r="F48" s="11" t="s">
        <v>7</v>
      </c>
      <c r="G48" s="11" t="s">
        <v>8</v>
      </c>
      <c r="H48" s="11" t="s">
        <v>62</v>
      </c>
      <c r="I48" s="11" t="s">
        <v>63</v>
      </c>
      <c r="J48" s="11" t="s">
        <v>64</v>
      </c>
    </row>
    <row r="49" spans="1:10" x14ac:dyDescent="0.25">
      <c r="A49" s="13" t="s">
        <v>12</v>
      </c>
      <c r="B49" s="14">
        <f>B8</f>
        <v>2.1204500000000001E-2</v>
      </c>
      <c r="C49" s="15">
        <f>B12</f>
        <v>7.2095000000000006E-2</v>
      </c>
      <c r="D49" s="15">
        <f>B16</f>
        <v>0.1391009</v>
      </c>
      <c r="E49" s="15">
        <f>B20</f>
        <v>0.3494487</v>
      </c>
      <c r="F49" s="15">
        <f>B24</f>
        <v>0.99745550000000005</v>
      </c>
      <c r="G49" s="15">
        <f>B28</f>
        <v>1</v>
      </c>
      <c r="H49" s="16">
        <f>B32</f>
        <v>3.3078900000000001E-2</v>
      </c>
      <c r="I49" s="16">
        <f>B36</f>
        <v>9.4995800000000005E-2</v>
      </c>
      <c r="J49" s="17">
        <f>B40</f>
        <v>0.27905000000000002</v>
      </c>
    </row>
    <row r="50" spans="1:10" x14ac:dyDescent="0.25">
      <c r="A50" s="13" t="s">
        <v>13</v>
      </c>
      <c r="B50" s="15">
        <f>B9</f>
        <v>6.5497299999999994E-2</v>
      </c>
      <c r="C50" s="15">
        <f>B13</f>
        <v>0.24843799999999999</v>
      </c>
      <c r="D50" s="15">
        <f>B17</f>
        <v>0.2416624</v>
      </c>
      <c r="E50" s="15">
        <f>B21</f>
        <v>0.79048439999999998</v>
      </c>
      <c r="F50" s="15">
        <f>B25</f>
        <v>3.2997079999999999</v>
      </c>
      <c r="G50" s="15">
        <f>B29</f>
        <v>2.7057150000000001</v>
      </c>
      <c r="H50" s="16">
        <f>B33</f>
        <v>9.0341099999999994E-2</v>
      </c>
      <c r="I50" s="16">
        <f>B37</f>
        <v>0.28005730000000001</v>
      </c>
      <c r="J50" s="18">
        <f>B41</f>
        <v>0.61431930000000001</v>
      </c>
    </row>
    <row r="51" spans="1:10" x14ac:dyDescent="0.25">
      <c r="A51" s="13" t="s">
        <v>14</v>
      </c>
      <c r="B51" s="15">
        <f>B10</f>
        <v>0.1004892</v>
      </c>
      <c r="C51" s="15">
        <f>B14</f>
        <v>0.2276908</v>
      </c>
      <c r="D51" s="15">
        <f>B18</f>
        <v>0.38160470000000002</v>
      </c>
      <c r="E51" s="15">
        <f>B22</f>
        <v>1.278376</v>
      </c>
      <c r="F51" s="15">
        <f>B26</f>
        <v>3.8898239999999999</v>
      </c>
      <c r="G51" s="15">
        <f>B30</f>
        <v>2.4002940000000001</v>
      </c>
      <c r="H51" s="16">
        <f>B34</f>
        <v>0.14119380000000001</v>
      </c>
      <c r="I51" s="16">
        <f>B38</f>
        <v>0.27221139999999999</v>
      </c>
      <c r="J51" s="18">
        <f>B42</f>
        <v>0.79628189999999999</v>
      </c>
    </row>
    <row r="52" spans="1:10" ht="15.75" thickBot="1" x14ac:dyDescent="0.3">
      <c r="A52" s="19" t="s">
        <v>15</v>
      </c>
      <c r="B52" s="20">
        <f>B11</f>
        <v>0.2279834</v>
      </c>
      <c r="C52" s="20">
        <f>B15</f>
        <v>0.50290449999999998</v>
      </c>
      <c r="D52" s="20">
        <f>B19</f>
        <v>0.36879669999999998</v>
      </c>
      <c r="E52" s="20">
        <f>B23</f>
        <v>1.0594520000000001</v>
      </c>
      <c r="F52" s="20">
        <f>B27</f>
        <v>5.3978419999999998</v>
      </c>
      <c r="G52" s="20">
        <f>B31</f>
        <v>6.0884980000000004</v>
      </c>
      <c r="H52" s="21">
        <f>B35</f>
        <v>0.221278</v>
      </c>
      <c r="I52" s="21">
        <f>B39</f>
        <v>0.69065560000000004</v>
      </c>
      <c r="J52" s="22">
        <f>B43</f>
        <v>1.046041</v>
      </c>
    </row>
    <row r="70" spans="1:22" x14ac:dyDescent="0.25">
      <c r="N70" s="7"/>
      <c r="O70" s="9"/>
      <c r="U70" s="7"/>
      <c r="V70" s="7"/>
    </row>
    <row r="71" spans="1:22" x14ac:dyDescent="0.25">
      <c r="A71" s="36"/>
      <c r="B71" s="2" t="s">
        <v>1</v>
      </c>
      <c r="C71" s="3"/>
      <c r="D71" s="3"/>
      <c r="E71" s="3"/>
      <c r="F71" s="3"/>
      <c r="G71" s="3"/>
      <c r="N71" s="9"/>
      <c r="O71" s="9"/>
      <c r="U71" s="7"/>
      <c r="V71" s="7"/>
    </row>
    <row r="72" spans="1:22" x14ac:dyDescent="0.25">
      <c r="A72" s="5" t="s">
        <v>2</v>
      </c>
      <c r="B72" s="6" t="s">
        <v>269</v>
      </c>
      <c r="C72" s="6" t="s">
        <v>270</v>
      </c>
      <c r="D72" s="6" t="s">
        <v>3</v>
      </c>
      <c r="E72" s="6" t="s">
        <v>4</v>
      </c>
      <c r="F72" s="6" t="s">
        <v>271</v>
      </c>
      <c r="G72" s="6" t="s">
        <v>272</v>
      </c>
      <c r="N72" s="7"/>
      <c r="O72" s="7"/>
    </row>
    <row r="73" spans="1:22" x14ac:dyDescent="0.25">
      <c r="A73" s="36"/>
      <c r="B73" s="2"/>
      <c r="C73" s="2"/>
      <c r="D73" s="3"/>
      <c r="E73" s="3"/>
      <c r="F73" s="3"/>
      <c r="G73" s="3"/>
      <c r="N73" s="7"/>
      <c r="O73" s="7"/>
    </row>
    <row r="74" spans="1:22" x14ac:dyDescent="0.25">
      <c r="A74" s="36" t="s">
        <v>72</v>
      </c>
      <c r="B74" s="3"/>
      <c r="C74" s="3"/>
      <c r="D74" s="3"/>
      <c r="E74" s="3"/>
      <c r="F74" s="3"/>
      <c r="G74" s="3"/>
      <c r="N74" s="7"/>
      <c r="O74" s="7"/>
    </row>
    <row r="75" spans="1:22" x14ac:dyDescent="0.25">
      <c r="A75" s="36" t="s">
        <v>73</v>
      </c>
      <c r="B75" s="2">
        <v>1.2344839999999999</v>
      </c>
      <c r="C75" s="2">
        <v>2.3257699999999999E-2</v>
      </c>
      <c r="D75" s="2">
        <v>11.18</v>
      </c>
      <c r="E75" s="2">
        <v>0</v>
      </c>
      <c r="F75" s="2">
        <v>1.1897310000000001</v>
      </c>
      <c r="G75" s="2">
        <v>1.2809200000000001</v>
      </c>
      <c r="N75" s="7"/>
      <c r="O75" s="7"/>
    </row>
    <row r="76" spans="1:22" x14ac:dyDescent="0.25">
      <c r="A76" s="36"/>
      <c r="B76" s="3"/>
      <c r="C76" s="3"/>
      <c r="D76" s="3"/>
      <c r="E76" s="3"/>
      <c r="F76" s="3"/>
      <c r="G76" s="3"/>
      <c r="N76" s="7"/>
      <c r="O76" s="7"/>
    </row>
    <row r="77" spans="1:22" x14ac:dyDescent="0.25">
      <c r="A77" s="36" t="s">
        <v>74</v>
      </c>
      <c r="B77" s="3"/>
      <c r="C77" s="3"/>
      <c r="D77" s="3"/>
      <c r="E77" s="3"/>
      <c r="F77" s="3"/>
      <c r="G77" s="3"/>
      <c r="N77" s="7"/>
      <c r="O77" s="7"/>
    </row>
    <row r="78" spans="1:22" x14ac:dyDescent="0.25">
      <c r="A78" s="36" t="s">
        <v>75</v>
      </c>
      <c r="B78" s="2">
        <v>0.72881819999999997</v>
      </c>
      <c r="C78" s="2">
        <v>1.8682799999999999E-2</v>
      </c>
      <c r="D78" s="2">
        <v>-12.34</v>
      </c>
      <c r="E78" s="2">
        <v>0</v>
      </c>
      <c r="F78" s="2">
        <v>0.69310519999999998</v>
      </c>
      <c r="G78" s="2">
        <v>0.76637120000000003</v>
      </c>
      <c r="N78" s="7"/>
      <c r="O78" s="7"/>
    </row>
    <row r="79" spans="1:22" x14ac:dyDescent="0.25">
      <c r="A79" s="36" t="s">
        <v>76</v>
      </c>
      <c r="B79" s="2">
        <v>0.65400029999999998</v>
      </c>
      <c r="C79" s="2">
        <v>2.3776700000000001E-2</v>
      </c>
      <c r="D79" s="2">
        <v>-11.68</v>
      </c>
      <c r="E79" s="2">
        <v>0</v>
      </c>
      <c r="F79" s="2">
        <v>0.60902040000000002</v>
      </c>
      <c r="G79" s="2">
        <v>0.70230230000000005</v>
      </c>
      <c r="N79" s="7"/>
      <c r="O79" s="7"/>
    </row>
    <row r="80" spans="1:22" x14ac:dyDescent="0.25">
      <c r="A80" s="36" t="s">
        <v>77</v>
      </c>
      <c r="B80" s="2">
        <v>0.62292780000000003</v>
      </c>
      <c r="C80" s="2">
        <v>2.63065E-2</v>
      </c>
      <c r="D80" s="2">
        <v>-11.21</v>
      </c>
      <c r="E80" s="2">
        <v>0</v>
      </c>
      <c r="F80" s="2">
        <v>0.57344419999999996</v>
      </c>
      <c r="G80" s="2">
        <v>0.67668150000000005</v>
      </c>
      <c r="N80" s="7"/>
      <c r="O80" s="7"/>
    </row>
    <row r="81" spans="1:15" x14ac:dyDescent="0.25">
      <c r="A81" s="36" t="s">
        <v>78</v>
      </c>
      <c r="B81" s="2">
        <v>0.56685549999999996</v>
      </c>
      <c r="C81" s="2">
        <v>2.7918999999999999E-2</v>
      </c>
      <c r="D81" s="2">
        <v>-11.53</v>
      </c>
      <c r="E81" s="2">
        <v>0</v>
      </c>
      <c r="F81" s="2">
        <v>0.51469339999999997</v>
      </c>
      <c r="G81" s="2">
        <v>0.62430399999999997</v>
      </c>
      <c r="N81" s="7"/>
      <c r="O81" s="7"/>
    </row>
    <row r="82" spans="1:15" x14ac:dyDescent="0.25">
      <c r="A82" s="36" t="s">
        <v>79</v>
      </c>
      <c r="B82" s="2">
        <v>0.49910080000000001</v>
      </c>
      <c r="C82" s="2">
        <v>3.0044499999999998E-2</v>
      </c>
      <c r="D82" s="2">
        <v>-11.54</v>
      </c>
      <c r="E82" s="2">
        <v>0</v>
      </c>
      <c r="F82" s="2">
        <v>0.4435558</v>
      </c>
      <c r="G82" s="2">
        <v>0.56160140000000003</v>
      </c>
      <c r="N82" s="7"/>
      <c r="O82" s="7"/>
    </row>
    <row r="83" spans="1:15" x14ac:dyDescent="0.25">
      <c r="A83" s="36" t="s">
        <v>80</v>
      </c>
      <c r="B83" s="2">
        <v>0.35947010000000001</v>
      </c>
      <c r="C83" s="2">
        <v>2.1299599999999998E-2</v>
      </c>
      <c r="D83" s="2">
        <v>-17.27</v>
      </c>
      <c r="E83" s="2">
        <v>0</v>
      </c>
      <c r="F83" s="2">
        <v>0.32005660000000002</v>
      </c>
      <c r="G83" s="2">
        <v>0.40373720000000002</v>
      </c>
      <c r="N83" s="7"/>
      <c r="O83" s="7"/>
    </row>
    <row r="84" spans="1:15" x14ac:dyDescent="0.25">
      <c r="A84" s="36" t="s">
        <v>86</v>
      </c>
      <c r="B84" s="2">
        <v>0.29331950000000001</v>
      </c>
      <c r="C84" s="2">
        <v>3.1293399999999999E-2</v>
      </c>
      <c r="D84" s="2">
        <v>-11.5</v>
      </c>
      <c r="E84" s="2">
        <v>0</v>
      </c>
      <c r="F84" s="2">
        <v>0.2379735</v>
      </c>
      <c r="G84" s="2">
        <v>0.36153740000000001</v>
      </c>
    </row>
    <row r="85" spans="1:15" x14ac:dyDescent="0.25">
      <c r="A85" s="36" t="s">
        <v>87</v>
      </c>
      <c r="B85" s="2">
        <v>0.17574300000000001</v>
      </c>
      <c r="C85" s="2">
        <v>2.2648700000000001E-2</v>
      </c>
      <c r="D85" s="2">
        <v>-13.49</v>
      </c>
      <c r="E85" s="2">
        <v>0</v>
      </c>
      <c r="F85" s="2">
        <v>0.136515</v>
      </c>
      <c r="G85" s="2">
        <v>0.22624330000000001</v>
      </c>
    </row>
    <row r="86" spans="1:15" x14ac:dyDescent="0.25">
      <c r="A86" s="36" t="s">
        <v>88</v>
      </c>
      <c r="B86" s="2">
        <v>5.9919199999999999E-2</v>
      </c>
      <c r="C86" s="2">
        <v>1.4751200000000001E-2</v>
      </c>
      <c r="D86" s="2">
        <v>-11.43</v>
      </c>
      <c r="E86" s="2">
        <v>0</v>
      </c>
      <c r="F86" s="2">
        <v>3.6984000000000003E-2</v>
      </c>
      <c r="G86" s="2">
        <v>9.70776E-2</v>
      </c>
    </row>
    <row r="87" spans="1:15" x14ac:dyDescent="0.25">
      <c r="A87" s="36"/>
      <c r="B87" s="3"/>
      <c r="C87" s="3"/>
      <c r="D87" s="3"/>
      <c r="E87" s="3"/>
      <c r="F87" s="3"/>
      <c r="G87" s="3"/>
    </row>
    <row r="88" spans="1:15" x14ac:dyDescent="0.25">
      <c r="A88" s="36" t="s">
        <v>113</v>
      </c>
      <c r="B88" s="3"/>
      <c r="C88" s="3"/>
      <c r="D88" s="3"/>
      <c r="E88" s="3"/>
      <c r="F88" s="3"/>
      <c r="G88" s="3"/>
    </row>
    <row r="89" spans="1:15" x14ac:dyDescent="0.25">
      <c r="A89" s="36">
        <v>2</v>
      </c>
      <c r="B89" s="2">
        <v>0.9643893</v>
      </c>
      <c r="C89" s="2">
        <v>1.90694E-2</v>
      </c>
      <c r="D89" s="2">
        <v>-1.83</v>
      </c>
      <c r="E89" s="2">
        <v>6.7000000000000004E-2</v>
      </c>
      <c r="F89" s="2">
        <v>0.92772900000000003</v>
      </c>
      <c r="G89" s="2">
        <v>1.0024979999999999</v>
      </c>
    </row>
    <row r="90" spans="1:15" x14ac:dyDescent="0.25">
      <c r="A90" s="36">
        <v>3</v>
      </c>
      <c r="B90" s="2">
        <v>1.479414</v>
      </c>
      <c r="C90" s="2">
        <v>7.32984E-2</v>
      </c>
      <c r="D90" s="2">
        <v>7.9</v>
      </c>
      <c r="E90" s="2">
        <v>0</v>
      </c>
      <c r="F90" s="2">
        <v>1.3425069999999999</v>
      </c>
      <c r="G90" s="2">
        <v>1.6302829999999999</v>
      </c>
    </row>
    <row r="91" spans="1:15" x14ac:dyDescent="0.25">
      <c r="A91" s="36"/>
      <c r="B91" s="3"/>
      <c r="C91" s="3"/>
      <c r="D91" s="3"/>
      <c r="E91" s="3"/>
      <c r="F91" s="3"/>
      <c r="G91" s="3"/>
    </row>
    <row r="92" spans="1:15" x14ac:dyDescent="0.25">
      <c r="A92" s="36" t="s">
        <v>108</v>
      </c>
      <c r="B92" s="3"/>
      <c r="C92" s="3"/>
      <c r="D92" s="3"/>
      <c r="E92" s="3"/>
      <c r="F92" s="3"/>
      <c r="G92" s="3"/>
    </row>
    <row r="93" spans="1:15" x14ac:dyDescent="0.25">
      <c r="A93" s="36">
        <v>2</v>
      </c>
      <c r="B93" s="2">
        <v>1.275854</v>
      </c>
      <c r="C93" s="2">
        <v>2.6008799999999999E-2</v>
      </c>
      <c r="D93" s="2">
        <v>11.95</v>
      </c>
      <c r="E93" s="2">
        <v>0</v>
      </c>
      <c r="F93" s="2">
        <v>1.2258830000000001</v>
      </c>
      <c r="G93" s="2">
        <v>1.327863</v>
      </c>
    </row>
    <row r="94" spans="1:15" x14ac:dyDescent="0.25">
      <c r="A94" s="36" t="s">
        <v>109</v>
      </c>
      <c r="B94" s="2">
        <v>1.863758</v>
      </c>
      <c r="C94" s="2">
        <v>4.6553400000000002E-2</v>
      </c>
      <c r="D94" s="2">
        <v>24.93</v>
      </c>
      <c r="E94" s="2">
        <v>0</v>
      </c>
      <c r="F94" s="2">
        <v>1.7747120000000001</v>
      </c>
      <c r="G94" s="2">
        <v>1.957271</v>
      </c>
    </row>
    <row r="95" spans="1:15" x14ac:dyDescent="0.25">
      <c r="A95" s="36"/>
      <c r="B95" s="3"/>
      <c r="C95" s="3"/>
      <c r="D95" s="3"/>
      <c r="E95" s="3"/>
      <c r="F95" s="3"/>
      <c r="G95" s="3"/>
    </row>
    <row r="96" spans="1:15" x14ac:dyDescent="0.25">
      <c r="A96" s="36" t="s">
        <v>84</v>
      </c>
      <c r="B96" s="3"/>
      <c r="C96" s="3"/>
      <c r="D96" s="3"/>
      <c r="E96" s="3"/>
      <c r="F96" s="3"/>
      <c r="G96" s="3"/>
    </row>
    <row r="97" spans="1:7" x14ac:dyDescent="0.25">
      <c r="A97" s="38" t="s">
        <v>315</v>
      </c>
      <c r="B97" s="2">
        <v>0.44365660000000001</v>
      </c>
      <c r="C97" s="2">
        <v>9.5396000000000005E-3</v>
      </c>
      <c r="D97" s="2">
        <v>-37.799999999999997</v>
      </c>
      <c r="E97" s="2">
        <v>0</v>
      </c>
      <c r="F97" s="2">
        <v>0.4253477</v>
      </c>
      <c r="G97" s="2">
        <v>0.46275349999999998</v>
      </c>
    </row>
    <row r="98" spans="1:7" x14ac:dyDescent="0.25">
      <c r="A98" s="38" t="s">
        <v>316</v>
      </c>
      <c r="B98" s="2">
        <v>0.31509989999999999</v>
      </c>
      <c r="C98" s="2">
        <v>9.9273999999999994E-3</v>
      </c>
      <c r="D98" s="2">
        <v>-36.659999999999997</v>
      </c>
      <c r="E98" s="2">
        <v>0</v>
      </c>
      <c r="F98" s="2">
        <v>0.29623110000000002</v>
      </c>
      <c r="G98" s="2">
        <v>0.33517059999999999</v>
      </c>
    </row>
    <row r="99" spans="1:7" x14ac:dyDescent="0.25">
      <c r="A99" s="38" t="s">
        <v>317</v>
      </c>
      <c r="B99" s="2">
        <v>0.24758269999999999</v>
      </c>
      <c r="C99" s="2">
        <v>8.9396000000000007E-3</v>
      </c>
      <c r="D99" s="2">
        <v>-38.659999999999997</v>
      </c>
      <c r="E99" s="2">
        <v>0</v>
      </c>
      <c r="F99" s="2">
        <v>0.23066710000000001</v>
      </c>
      <c r="G99" s="2">
        <v>0.2657388</v>
      </c>
    </row>
    <row r="100" spans="1:7" x14ac:dyDescent="0.25">
      <c r="A100" s="38" t="s">
        <v>82</v>
      </c>
      <c r="B100" s="2">
        <v>0.3145252</v>
      </c>
      <c r="C100" s="2">
        <v>1.24399E-2</v>
      </c>
      <c r="D100" s="2">
        <v>-29.25</v>
      </c>
      <c r="E100" s="2">
        <v>0</v>
      </c>
      <c r="F100" s="2">
        <v>0.29106460000000001</v>
      </c>
      <c r="G100" s="2">
        <v>0.33987689999999998</v>
      </c>
    </row>
    <row r="101" spans="1:7" x14ac:dyDescent="0.25">
      <c r="A101" s="36"/>
      <c r="B101" s="3"/>
      <c r="C101" s="3"/>
      <c r="D101" s="3"/>
      <c r="E101" s="3"/>
      <c r="F101" s="3"/>
      <c r="G101" s="3"/>
    </row>
    <row r="102" spans="1:7" x14ac:dyDescent="0.25">
      <c r="A102" s="36" t="s">
        <v>45</v>
      </c>
      <c r="B102" s="3"/>
      <c r="C102" s="3"/>
      <c r="D102" s="3"/>
      <c r="E102" s="3"/>
      <c r="F102" s="3"/>
      <c r="G102" s="3"/>
    </row>
    <row r="103" spans="1:7" x14ac:dyDescent="0.25">
      <c r="A103" s="36" t="s">
        <v>46</v>
      </c>
      <c r="B103" s="2">
        <v>2.1204400000000002E-2</v>
      </c>
      <c r="C103" s="2">
        <v>4.3706999999999999E-3</v>
      </c>
      <c r="D103" s="2">
        <v>-18.7</v>
      </c>
      <c r="E103" s="2">
        <v>0</v>
      </c>
      <c r="F103" s="2">
        <f>B103-0.0141572</f>
        <v>7.0472000000000017E-3</v>
      </c>
      <c r="G103" s="2">
        <f>0.0317597-B103</f>
        <v>1.05553E-2</v>
      </c>
    </row>
    <row r="104" spans="1:7" x14ac:dyDescent="0.25">
      <c r="A104" s="36" t="s">
        <v>16</v>
      </c>
      <c r="B104" s="2">
        <v>3.2532499999999999E-2</v>
      </c>
      <c r="C104" s="2">
        <v>6.2585999999999996E-3</v>
      </c>
      <c r="D104" s="2">
        <v>-17.809999999999999</v>
      </c>
      <c r="E104" s="2">
        <v>0</v>
      </c>
      <c r="F104" s="2">
        <f>B104-0.0223133</f>
        <v>1.0219199999999998E-2</v>
      </c>
      <c r="G104" s="2">
        <f>0.047432-B104</f>
        <v>1.4899500000000003E-2</v>
      </c>
    </row>
    <row r="105" spans="1:7" x14ac:dyDescent="0.25">
      <c r="A105" s="36" t="s">
        <v>17</v>
      </c>
      <c r="B105" s="2">
        <v>4.10091E-2</v>
      </c>
      <c r="C105" s="2">
        <v>5.1640999999999996E-3</v>
      </c>
      <c r="D105" s="2">
        <v>-25.36</v>
      </c>
      <c r="E105" s="2">
        <v>0</v>
      </c>
      <c r="F105" s="2">
        <f>B105-0.0320399</f>
        <v>8.9691999999999966E-3</v>
      </c>
      <c r="G105" s="2">
        <f>0.0524891-B105</f>
        <v>1.1479999999999997E-2</v>
      </c>
    </row>
    <row r="106" spans="1:7" x14ac:dyDescent="0.25">
      <c r="A106" s="36" t="s">
        <v>18</v>
      </c>
      <c r="B106" s="2">
        <v>6.4500600000000005E-2</v>
      </c>
      <c r="C106" s="2">
        <v>1.18639E-2</v>
      </c>
      <c r="D106" s="2">
        <v>-14.9</v>
      </c>
      <c r="E106" s="2">
        <v>0</v>
      </c>
      <c r="F106" s="2">
        <f>B106-0.0449778</f>
        <v>1.9522800000000007E-2</v>
      </c>
      <c r="G106" s="2">
        <f>0.0924972-B106</f>
        <v>2.7996599999999996E-2</v>
      </c>
    </row>
    <row r="107" spans="1:7" x14ac:dyDescent="0.25">
      <c r="A107" s="36" t="s">
        <v>19</v>
      </c>
      <c r="B107" s="2">
        <v>7.2095000000000006E-2</v>
      </c>
      <c r="C107" s="2">
        <v>8.5994000000000001E-3</v>
      </c>
      <c r="D107" s="2">
        <v>-22.05</v>
      </c>
      <c r="E107" s="2">
        <v>0</v>
      </c>
      <c r="F107" s="2">
        <f>B107-0.0570657</f>
        <v>1.5029300000000009E-2</v>
      </c>
      <c r="G107" s="2">
        <f>0.0910826-B107</f>
        <v>1.8987599999999993E-2</v>
      </c>
    </row>
    <row r="108" spans="1:7" x14ac:dyDescent="0.25">
      <c r="A108" s="36" t="s">
        <v>20</v>
      </c>
      <c r="B108" s="2">
        <v>0.1233993</v>
      </c>
      <c r="C108" s="2">
        <v>1.34491E-2</v>
      </c>
      <c r="D108" s="2">
        <v>-19.2</v>
      </c>
      <c r="E108" s="2">
        <v>0</v>
      </c>
      <c r="F108" s="2">
        <f>B108-0.0996648</f>
        <v>2.3734500000000006E-2</v>
      </c>
      <c r="G108" s="2">
        <f>0.1527859-B108</f>
        <v>2.9386599999999999E-2</v>
      </c>
    </row>
    <row r="109" spans="1:7" x14ac:dyDescent="0.25">
      <c r="A109" s="36" t="s">
        <v>21</v>
      </c>
      <c r="B109" s="2">
        <v>9.2919399999999999E-2</v>
      </c>
      <c r="C109" s="2">
        <v>8.4697000000000001E-3</v>
      </c>
      <c r="D109" s="2">
        <v>-26.07</v>
      </c>
      <c r="E109" s="2">
        <v>0</v>
      </c>
      <c r="F109" s="2">
        <f>B109-0.0777174</f>
        <v>1.5201999999999993E-2</v>
      </c>
      <c r="G109" s="2">
        <f>0.1110949-B109</f>
        <v>1.8175499999999997E-2</v>
      </c>
    </row>
    <row r="110" spans="1:7" x14ac:dyDescent="0.25">
      <c r="A110" s="36" t="s">
        <v>22</v>
      </c>
      <c r="B110" s="2">
        <v>0.14228060000000001</v>
      </c>
      <c r="C110" s="2">
        <v>1.8115200000000001E-2</v>
      </c>
      <c r="D110" s="2">
        <v>-15.32</v>
      </c>
      <c r="E110" s="2">
        <v>0</v>
      </c>
      <c r="F110" s="2">
        <f>B110-0.1108589</f>
        <v>3.1421700000000011E-2</v>
      </c>
      <c r="G110" s="2">
        <f>0.1826085-B110</f>
        <v>4.03279E-2</v>
      </c>
    </row>
    <row r="111" spans="1:7" x14ac:dyDescent="0.25">
      <c r="A111" s="36" t="s">
        <v>23</v>
      </c>
      <c r="B111" s="2">
        <v>0.1391009</v>
      </c>
      <c r="C111" s="2">
        <v>1.2997099999999999E-2</v>
      </c>
      <c r="D111" s="2">
        <v>-21.11</v>
      </c>
      <c r="E111" s="2">
        <v>0</v>
      </c>
      <c r="F111" s="2">
        <f>B111-0.1158236</f>
        <v>2.3277300000000001E-2</v>
      </c>
      <c r="G111" s="2">
        <f>0.1670564-B111</f>
        <v>2.7955499999999994E-2</v>
      </c>
    </row>
    <row r="112" spans="1:7" x14ac:dyDescent="0.25">
      <c r="A112" s="36" t="s">
        <v>24</v>
      </c>
      <c r="B112" s="2">
        <v>0.1200338</v>
      </c>
      <c r="C112" s="2">
        <v>1.3291000000000001E-2</v>
      </c>
      <c r="D112" s="2">
        <v>-19.149999999999999</v>
      </c>
      <c r="E112" s="2">
        <v>0</v>
      </c>
      <c r="F112" s="2">
        <f>B112-0.0966168</f>
        <v>2.3416999999999993E-2</v>
      </c>
      <c r="G112" s="2">
        <f>0.1491264-B112</f>
        <v>2.9092599999999996E-2</v>
      </c>
    </row>
    <row r="113" spans="1:7" x14ac:dyDescent="0.25">
      <c r="A113" s="36" t="s">
        <v>25</v>
      </c>
      <c r="B113" s="2">
        <v>0.1557308</v>
      </c>
      <c r="C113" s="2">
        <v>1.2059800000000001E-2</v>
      </c>
      <c r="D113" s="2">
        <v>-24.01</v>
      </c>
      <c r="E113" s="2">
        <v>0</v>
      </c>
      <c r="F113" s="2">
        <f>B113-0.1338003</f>
        <v>2.1930499999999992E-2</v>
      </c>
      <c r="G113" s="2">
        <f>0.1812557-B113</f>
        <v>2.5524899999999989E-2</v>
      </c>
    </row>
    <row r="114" spans="1:7" x14ac:dyDescent="0.25">
      <c r="A114" s="36" t="s">
        <v>26</v>
      </c>
      <c r="B114" s="2">
        <v>0.1043391</v>
      </c>
      <c r="C114" s="2">
        <v>1.50048E-2</v>
      </c>
      <c r="D114" s="2">
        <v>-15.72</v>
      </c>
      <c r="E114" s="2">
        <v>0</v>
      </c>
      <c r="F114" s="2">
        <f>B114-0.0787114</f>
        <v>2.5627700000000003E-2</v>
      </c>
      <c r="G114" s="2">
        <f>0.138311-B114</f>
        <v>3.3971899999999985E-2</v>
      </c>
    </row>
    <row r="115" spans="1:7" x14ac:dyDescent="0.25">
      <c r="A115" s="36" t="s">
        <v>27</v>
      </c>
      <c r="B115" s="2">
        <v>0.3494487</v>
      </c>
      <c r="C115" s="2">
        <v>2.4444299999999999E-2</v>
      </c>
      <c r="D115" s="2">
        <v>-15.03</v>
      </c>
      <c r="E115" s="2">
        <v>0</v>
      </c>
      <c r="F115" s="2">
        <f>B115-0.304678</f>
        <v>4.4770699999999997E-2</v>
      </c>
      <c r="G115" s="2">
        <f>0.4007982-B115</f>
        <v>5.1349499999999992E-2</v>
      </c>
    </row>
    <row r="116" spans="1:7" x14ac:dyDescent="0.25">
      <c r="A116" s="36" t="s">
        <v>28</v>
      </c>
      <c r="B116" s="2">
        <v>0.39263399999999998</v>
      </c>
      <c r="C116" s="2">
        <v>2.9497700000000002E-2</v>
      </c>
      <c r="D116" s="2">
        <v>-12.44</v>
      </c>
      <c r="E116" s="2">
        <v>0</v>
      </c>
      <c r="F116" s="2">
        <f>B116-0.3388747</f>
        <v>5.375930000000001E-2</v>
      </c>
      <c r="G116" s="2">
        <f>0.4549217-B116</f>
        <v>6.2287700000000001E-2</v>
      </c>
    </row>
    <row r="117" spans="1:7" x14ac:dyDescent="0.25">
      <c r="A117" s="36" t="s">
        <v>29</v>
      </c>
      <c r="B117" s="2">
        <v>0.52117899999999995</v>
      </c>
      <c r="C117" s="2">
        <v>3.1420499999999997E-2</v>
      </c>
      <c r="D117" s="2">
        <v>-10.81</v>
      </c>
      <c r="E117" s="2">
        <v>0</v>
      </c>
      <c r="F117" s="2">
        <f>B117-0.4630952</f>
        <v>5.8083799999999963E-2</v>
      </c>
      <c r="G117" s="2">
        <f>0.586548-B117</f>
        <v>6.536900000000001E-2</v>
      </c>
    </row>
    <row r="118" spans="1:7" x14ac:dyDescent="0.25">
      <c r="A118" s="36" t="s">
        <v>30</v>
      </c>
      <c r="B118" s="2">
        <v>0.2997379</v>
      </c>
      <c r="C118" s="2">
        <v>2.8946800000000002E-2</v>
      </c>
      <c r="D118" s="2">
        <v>-12.48</v>
      </c>
      <c r="E118" s="2">
        <v>0</v>
      </c>
      <c r="F118" s="2">
        <f>B118-0.2480493</f>
        <v>5.1688600000000001E-2</v>
      </c>
      <c r="G118" s="2">
        <f>0.3621974-B118</f>
        <v>6.2459500000000001E-2</v>
      </c>
    </row>
    <row r="119" spans="1:7" x14ac:dyDescent="0.25">
      <c r="A119" s="36" t="s">
        <v>67</v>
      </c>
      <c r="B119" s="2">
        <v>0.99745550000000005</v>
      </c>
      <c r="C119" s="2">
        <v>7.3947700000000005E-2</v>
      </c>
      <c r="D119" s="2">
        <v>-0.03</v>
      </c>
      <c r="E119" s="2">
        <v>0.97299999999999998</v>
      </c>
      <c r="F119" s="2">
        <f>B119-0.8625585</f>
        <v>0.13489700000000004</v>
      </c>
      <c r="G119" s="2">
        <f>1.153449-B119</f>
        <v>0.1559934999999999</v>
      </c>
    </row>
    <row r="120" spans="1:7" x14ac:dyDescent="0.25">
      <c r="A120" s="36" t="s">
        <v>31</v>
      </c>
      <c r="B120" s="2">
        <v>1.6389670000000001</v>
      </c>
      <c r="C120" s="2">
        <v>0.1085246</v>
      </c>
      <c r="D120" s="2">
        <v>7.46</v>
      </c>
      <c r="E120" s="2">
        <v>0</v>
      </c>
      <c r="F120" s="2">
        <f>B120-1.439486</f>
        <v>0.19948100000000002</v>
      </c>
      <c r="G120" s="2">
        <f>1.86609-B120</f>
        <v>0.22712299999999996</v>
      </c>
    </row>
    <row r="121" spans="1:7" x14ac:dyDescent="0.25">
      <c r="A121" s="36" t="s">
        <v>32</v>
      </c>
      <c r="B121" s="2">
        <v>1.5874159999999999</v>
      </c>
      <c r="C121" s="2">
        <v>8.7478200000000006E-2</v>
      </c>
      <c r="D121" s="2">
        <v>8.39</v>
      </c>
      <c r="E121" s="2">
        <v>0</v>
      </c>
      <c r="F121" s="2">
        <f>B121-1.424896</f>
        <v>0.16252</v>
      </c>
      <c r="G121" s="2">
        <f>1.768472-B121</f>
        <v>0.18105600000000011</v>
      </c>
    </row>
    <row r="122" spans="1:7" x14ac:dyDescent="0.25">
      <c r="A122" s="36" t="s">
        <v>33</v>
      </c>
      <c r="B122" s="2">
        <v>1.5271459999999999</v>
      </c>
      <c r="C122" s="2">
        <v>0.1068245</v>
      </c>
      <c r="D122" s="2">
        <v>6.05</v>
      </c>
      <c r="E122" s="2">
        <v>0</v>
      </c>
      <c r="F122" s="2">
        <f>B122-1.331492</f>
        <v>0.19565399999999999</v>
      </c>
      <c r="G122" s="2">
        <f>1.751549-B122</f>
        <v>0.22440300000000013</v>
      </c>
    </row>
    <row r="123" spans="1:7" x14ac:dyDescent="0.25">
      <c r="A123" s="36" t="s">
        <v>34</v>
      </c>
      <c r="B123" s="2">
        <v>1</v>
      </c>
      <c r="C123" s="2"/>
      <c r="D123" s="2"/>
      <c r="E123" s="2"/>
      <c r="F123" s="2">
        <v>0</v>
      </c>
      <c r="G123" s="2">
        <v>0</v>
      </c>
    </row>
    <row r="124" spans="1:7" x14ac:dyDescent="0.25">
      <c r="A124" s="36" t="s">
        <v>35</v>
      </c>
      <c r="B124" s="2">
        <v>1.3439300000000001</v>
      </c>
      <c r="C124" s="2">
        <v>7.5102000000000002E-2</v>
      </c>
      <c r="D124" s="2">
        <v>5.29</v>
      </c>
      <c r="E124" s="2">
        <v>0</v>
      </c>
      <c r="F124" s="2">
        <f>B124-1.204507</f>
        <v>0.13942300000000007</v>
      </c>
      <c r="G124" s="2">
        <f>1.499491-B124</f>
        <v>0.15556099999999984</v>
      </c>
    </row>
    <row r="125" spans="1:7" x14ac:dyDescent="0.25">
      <c r="A125" s="36" t="s">
        <v>36</v>
      </c>
      <c r="B125" s="2">
        <v>0.97954669999999999</v>
      </c>
      <c r="C125" s="2">
        <v>5.5475099999999999E-2</v>
      </c>
      <c r="D125" s="2">
        <v>-0.36</v>
      </c>
      <c r="E125" s="2">
        <v>0.71499999999999997</v>
      </c>
      <c r="F125" s="2">
        <f>B125-0.8766347</f>
        <v>0.102912</v>
      </c>
      <c r="G125" s="2">
        <f>1.09454-B125</f>
        <v>0.11499330000000008</v>
      </c>
    </row>
    <row r="126" spans="1:7" x14ac:dyDescent="0.25">
      <c r="A126" s="36" t="s">
        <v>37</v>
      </c>
      <c r="B126" s="2">
        <v>1.720647</v>
      </c>
      <c r="C126" s="2">
        <v>0.1175216</v>
      </c>
      <c r="D126" s="2">
        <v>7.95</v>
      </c>
      <c r="E126" s="2">
        <v>0</v>
      </c>
      <c r="F126" s="2">
        <f>B126-1.505061</f>
        <v>0.21558600000000006</v>
      </c>
      <c r="G126" s="2">
        <f>1.967114-B126</f>
        <v>0.24646699999999999</v>
      </c>
    </row>
    <row r="127" spans="1:7" x14ac:dyDescent="0.25">
      <c r="A127" s="36" t="s">
        <v>50</v>
      </c>
      <c r="B127" s="2">
        <v>3.3078900000000001E-2</v>
      </c>
      <c r="C127" s="2">
        <v>5.5431999999999999E-3</v>
      </c>
      <c r="D127" s="2">
        <v>-20.34</v>
      </c>
      <c r="E127" s="2">
        <v>0</v>
      </c>
      <c r="F127" s="2">
        <f>B127-0.0238183</f>
        <v>9.2606000000000008E-3</v>
      </c>
      <c r="G127" s="2">
        <f>0.0459401-B127</f>
        <v>1.2861199999999996E-2</v>
      </c>
    </row>
    <row r="128" spans="1:7" x14ac:dyDescent="0.25">
      <c r="A128" s="36" t="s">
        <v>51</v>
      </c>
      <c r="B128" s="2">
        <v>4.4872500000000003E-2</v>
      </c>
      <c r="C128" s="2">
        <v>7.4580999999999996E-3</v>
      </c>
      <c r="D128" s="2">
        <v>-18.68</v>
      </c>
      <c r="E128" s="2">
        <v>0</v>
      </c>
      <c r="F128" s="2">
        <f>B128-0.0323969</f>
        <v>1.2475600000000003E-2</v>
      </c>
      <c r="G128" s="2">
        <f>0.0621521-B128</f>
        <v>1.7279599999999999E-2</v>
      </c>
    </row>
    <row r="129" spans="1:10" x14ac:dyDescent="0.25">
      <c r="A129" s="36" t="s">
        <v>52</v>
      </c>
      <c r="B129" s="2">
        <v>5.7620400000000002E-2</v>
      </c>
      <c r="C129" s="2">
        <v>6.1919999999999996E-3</v>
      </c>
      <c r="D129" s="2">
        <v>-26.56</v>
      </c>
      <c r="E129" s="2">
        <v>0</v>
      </c>
      <c r="F129" s="2">
        <f>B129-0.0466771</f>
        <v>1.0943300000000003E-2</v>
      </c>
      <c r="G129" s="2">
        <f>0.0711293-B129</f>
        <v>1.3508900000000004E-2</v>
      </c>
    </row>
    <row r="130" spans="1:10" x14ac:dyDescent="0.25">
      <c r="A130" s="36" t="s">
        <v>53</v>
      </c>
      <c r="B130" s="2">
        <v>6.2603500000000006E-2</v>
      </c>
      <c r="C130" s="2">
        <v>1.1351E-2</v>
      </c>
      <c r="D130" s="2">
        <v>-15.28</v>
      </c>
      <c r="E130" s="2">
        <v>0</v>
      </c>
      <c r="F130" s="2">
        <f>B130-0.0438795</f>
        <v>1.8724000000000005E-2</v>
      </c>
      <c r="G130" s="2">
        <f>0.0893172-B130</f>
        <v>2.6713699999999993E-2</v>
      </c>
    </row>
    <row r="131" spans="1:10" x14ac:dyDescent="0.25">
      <c r="A131" s="36" t="s">
        <v>54</v>
      </c>
      <c r="B131" s="2">
        <v>9.4995800000000005E-2</v>
      </c>
      <c r="C131" s="2">
        <v>1.0424299999999999E-2</v>
      </c>
      <c r="D131" s="2">
        <v>-21.45</v>
      </c>
      <c r="E131" s="2">
        <v>0</v>
      </c>
      <c r="F131" s="2">
        <f>B131-0.0766123</f>
        <v>1.8383500000000011E-2</v>
      </c>
      <c r="G131" s="2">
        <f>0.1177905-B131</f>
        <v>2.2794700000000001E-2</v>
      </c>
    </row>
    <row r="132" spans="1:10" x14ac:dyDescent="0.25">
      <c r="A132" s="36" t="s">
        <v>55</v>
      </c>
      <c r="B132" s="2">
        <v>0.13910459999999999</v>
      </c>
      <c r="C132" s="2">
        <v>1.4322400000000001E-2</v>
      </c>
      <c r="D132" s="2">
        <v>-19.16</v>
      </c>
      <c r="E132" s="2">
        <v>0</v>
      </c>
      <c r="F132" s="2">
        <f>B132-0.1136843</f>
        <v>2.5420299999999993E-2</v>
      </c>
      <c r="G132" s="2">
        <f>0.170209-B132</f>
        <v>3.1104400000000004E-2</v>
      </c>
    </row>
    <row r="133" spans="1:10" x14ac:dyDescent="0.25">
      <c r="A133" s="36" t="s">
        <v>56</v>
      </c>
      <c r="B133" s="2">
        <v>0.11108800000000001</v>
      </c>
      <c r="C133" s="2">
        <v>9.5806999999999993E-3</v>
      </c>
      <c r="D133" s="2">
        <v>-25.48</v>
      </c>
      <c r="E133" s="2">
        <v>0</v>
      </c>
      <c r="F133" s="2">
        <f>B133-0.0938115</f>
        <v>1.72765E-2</v>
      </c>
      <c r="G133" s="2">
        <f>0.1315461-B133</f>
        <v>2.0458099999999993E-2</v>
      </c>
    </row>
    <row r="134" spans="1:10" x14ac:dyDescent="0.25">
      <c r="A134" s="36" t="s">
        <v>57</v>
      </c>
      <c r="B134" s="2">
        <v>0.19539870000000001</v>
      </c>
      <c r="C134" s="2">
        <v>2.2323300000000001E-2</v>
      </c>
      <c r="D134" s="2">
        <v>-14.29</v>
      </c>
      <c r="E134" s="2">
        <v>0</v>
      </c>
      <c r="F134" s="2">
        <f>B134-0.1561983</f>
        <v>3.9200399999999996E-2</v>
      </c>
      <c r="G134" s="2">
        <f>0.2444372-B134</f>
        <v>4.9038499999999985E-2</v>
      </c>
    </row>
    <row r="135" spans="1:10" x14ac:dyDescent="0.25">
      <c r="A135" s="36" t="s">
        <v>58</v>
      </c>
      <c r="B135" s="2">
        <v>0.27905000000000002</v>
      </c>
      <c r="C135" s="2">
        <v>2.4568599999999999E-2</v>
      </c>
      <c r="D135" s="2">
        <v>-14.5</v>
      </c>
      <c r="E135" s="2">
        <v>0</v>
      </c>
      <c r="F135" s="2">
        <f>B135-0.2348222</f>
        <v>4.4227800000000012E-2</v>
      </c>
      <c r="G135" s="2">
        <f>0.331608-B135</f>
        <v>5.2557999999999994E-2</v>
      </c>
    </row>
    <row r="136" spans="1:10" x14ac:dyDescent="0.25">
      <c r="A136" s="36" t="s">
        <v>59</v>
      </c>
      <c r="B136" s="2">
        <v>0.30513269999999998</v>
      </c>
      <c r="C136" s="2">
        <v>3.09165E-2</v>
      </c>
      <c r="D136" s="2">
        <v>-11.72</v>
      </c>
      <c r="E136" s="2">
        <v>0</v>
      </c>
      <c r="F136" s="2">
        <f>B136-0.2501749</f>
        <v>5.4957800000000001E-2</v>
      </c>
      <c r="G136" s="2">
        <f>0.3721635-B136</f>
        <v>6.7030800000000001E-2</v>
      </c>
    </row>
    <row r="137" spans="1:10" x14ac:dyDescent="0.25">
      <c r="A137" s="36" t="s">
        <v>60</v>
      </c>
      <c r="B137" s="2">
        <v>0.32495819999999997</v>
      </c>
      <c r="C137" s="2">
        <v>2.1654900000000001E-2</v>
      </c>
      <c r="D137" s="2">
        <v>-16.87</v>
      </c>
      <c r="E137" s="2">
        <v>0</v>
      </c>
      <c r="F137" s="2">
        <f>B137-0.2851703</f>
        <v>3.9787899999999987E-2</v>
      </c>
      <c r="G137" s="2">
        <f>0.3702975-B137</f>
        <v>4.5339300000000027E-2</v>
      </c>
    </row>
    <row r="138" spans="1:10" x14ac:dyDescent="0.25">
      <c r="A138" s="36" t="s">
        <v>61</v>
      </c>
      <c r="B138" s="2">
        <v>0.29594369999999998</v>
      </c>
      <c r="C138" s="2">
        <v>3.3989999999999999E-2</v>
      </c>
      <c r="D138" s="2">
        <v>-10.6</v>
      </c>
      <c r="E138" s="2">
        <v>0</v>
      </c>
      <c r="F138" s="2">
        <f>B138-0.2362904</f>
        <v>5.9653299999999965E-2</v>
      </c>
      <c r="G138" s="2">
        <f>0.370657-B138</f>
        <v>7.4713300000000038E-2</v>
      </c>
    </row>
    <row r="139" spans="1:10" x14ac:dyDescent="0.25">
      <c r="A139" s="36"/>
      <c r="B139" s="3"/>
      <c r="C139" s="3"/>
      <c r="D139" s="3"/>
      <c r="E139" s="3"/>
      <c r="F139" s="3"/>
      <c r="G139" s="3"/>
    </row>
    <row r="140" spans="1:10" x14ac:dyDescent="0.25">
      <c r="A140" s="5" t="s">
        <v>6</v>
      </c>
      <c r="B140" s="6">
        <v>1.35061E-2</v>
      </c>
      <c r="C140" s="6">
        <v>6.9160000000000001E-4</v>
      </c>
      <c r="D140" s="6">
        <v>-84.06</v>
      </c>
      <c r="E140" s="6">
        <v>0</v>
      </c>
      <c r="F140" s="6">
        <v>1.2216299999999999E-2</v>
      </c>
      <c r="G140" s="6">
        <v>1.4932000000000001E-2</v>
      </c>
    </row>
    <row r="141" spans="1:10" ht="15.75" thickBot="1" x14ac:dyDescent="0.3"/>
    <row r="142" spans="1:10" x14ac:dyDescent="0.25">
      <c r="A142" s="10"/>
      <c r="B142" s="11" t="s">
        <v>9</v>
      </c>
      <c r="C142" s="11" t="s">
        <v>10</v>
      </c>
      <c r="D142" s="11" t="s">
        <v>40</v>
      </c>
      <c r="E142" s="11" t="s">
        <v>11</v>
      </c>
      <c r="F142" s="11" t="s">
        <v>7</v>
      </c>
      <c r="G142" s="11" t="s">
        <v>8</v>
      </c>
      <c r="H142" s="11" t="s">
        <v>62</v>
      </c>
      <c r="I142" s="11" t="s">
        <v>63</v>
      </c>
      <c r="J142" s="11" t="s">
        <v>64</v>
      </c>
    </row>
    <row r="143" spans="1:10" x14ac:dyDescent="0.25">
      <c r="A143" s="13" t="s">
        <v>12</v>
      </c>
      <c r="B143" s="14">
        <f>B103</f>
        <v>2.1204400000000002E-2</v>
      </c>
      <c r="C143" s="15">
        <f>B107</f>
        <v>7.2095000000000006E-2</v>
      </c>
      <c r="D143" s="15">
        <f>B111</f>
        <v>0.1391009</v>
      </c>
      <c r="E143" s="15">
        <f>B115</f>
        <v>0.3494487</v>
      </c>
      <c r="F143" s="15">
        <f>B119</f>
        <v>0.99745550000000005</v>
      </c>
      <c r="G143" s="15">
        <f>B123</f>
        <v>1</v>
      </c>
      <c r="H143" s="16">
        <f>B127</f>
        <v>3.3078900000000001E-2</v>
      </c>
      <c r="I143" s="16">
        <f>B131</f>
        <v>9.4995800000000005E-2</v>
      </c>
      <c r="J143" s="17">
        <f>B135</f>
        <v>0.27905000000000002</v>
      </c>
    </row>
    <row r="144" spans="1:10" x14ac:dyDescent="0.25">
      <c r="A144" s="13" t="s">
        <v>13</v>
      </c>
      <c r="B144" s="15">
        <f>B104</f>
        <v>3.2532499999999999E-2</v>
      </c>
      <c r="C144" s="15">
        <f>B108</f>
        <v>0.1233993</v>
      </c>
      <c r="D144" s="15">
        <f>B112</f>
        <v>0.1200338</v>
      </c>
      <c r="E144" s="15">
        <f>B116</f>
        <v>0.39263399999999998</v>
      </c>
      <c r="F144" s="15">
        <f>B120</f>
        <v>1.6389670000000001</v>
      </c>
      <c r="G144" s="15">
        <f>B124</f>
        <v>1.3439300000000001</v>
      </c>
      <c r="H144" s="16">
        <f>B128</f>
        <v>4.4872500000000003E-2</v>
      </c>
      <c r="I144" s="16">
        <f>B132</f>
        <v>0.13910459999999999</v>
      </c>
      <c r="J144" s="18">
        <f>B136</f>
        <v>0.30513269999999998</v>
      </c>
    </row>
    <row r="145" spans="1:10" x14ac:dyDescent="0.25">
      <c r="A145" s="13" t="s">
        <v>14</v>
      </c>
      <c r="B145" s="15">
        <f>B105</f>
        <v>4.10091E-2</v>
      </c>
      <c r="C145" s="15">
        <f>B109</f>
        <v>9.2919399999999999E-2</v>
      </c>
      <c r="D145" s="15">
        <f>B113</f>
        <v>0.1557308</v>
      </c>
      <c r="E145" s="15">
        <f>B117</f>
        <v>0.52117899999999995</v>
      </c>
      <c r="F145" s="15">
        <f>B121</f>
        <v>1.5874159999999999</v>
      </c>
      <c r="G145" s="15">
        <f>B125</f>
        <v>0.97954669999999999</v>
      </c>
      <c r="H145" s="16">
        <f>B129</f>
        <v>5.7620400000000002E-2</v>
      </c>
      <c r="I145" s="16">
        <f>B133</f>
        <v>0.11108800000000001</v>
      </c>
      <c r="J145" s="18">
        <f>B137</f>
        <v>0.32495819999999997</v>
      </c>
    </row>
    <row r="146" spans="1:10" ht="15.75" thickBot="1" x14ac:dyDescent="0.3">
      <c r="A146" s="19" t="s">
        <v>371</v>
      </c>
      <c r="B146" s="20">
        <f>B106</f>
        <v>6.4500600000000005E-2</v>
      </c>
      <c r="C146" s="20">
        <f>B110</f>
        <v>0.14228060000000001</v>
      </c>
      <c r="D146" s="20">
        <f>B114</f>
        <v>0.1043391</v>
      </c>
      <c r="E146" s="20">
        <f>B118</f>
        <v>0.2997379</v>
      </c>
      <c r="F146" s="20">
        <f>B122</f>
        <v>1.5271459999999999</v>
      </c>
      <c r="G146" s="20">
        <f>B126</f>
        <v>1.720647</v>
      </c>
      <c r="H146" s="21">
        <f>B130</f>
        <v>6.2603500000000006E-2</v>
      </c>
      <c r="I146" s="21">
        <f>B134</f>
        <v>0.19539870000000001</v>
      </c>
      <c r="J146" s="22">
        <f>B138</f>
        <v>0.29594369999999998</v>
      </c>
    </row>
    <row r="163" spans="1:7" s="1" customFormat="1" x14ac:dyDescent="0.25">
      <c r="A163" s="1" t="s">
        <v>90</v>
      </c>
    </row>
    <row r="165" spans="1:7" x14ac:dyDescent="0.25">
      <c r="A165" s="49"/>
      <c r="B165" s="46" t="s">
        <v>1</v>
      </c>
      <c r="C165" s="47"/>
      <c r="D165" s="47"/>
      <c r="E165" s="47"/>
      <c r="F165" s="47"/>
      <c r="G165" s="47"/>
    </row>
    <row r="166" spans="1:7" x14ac:dyDescent="0.25">
      <c r="A166" s="50" t="s">
        <v>2</v>
      </c>
      <c r="B166" s="48" t="s">
        <v>269</v>
      </c>
      <c r="C166" s="48" t="s">
        <v>270</v>
      </c>
      <c r="D166" s="48" t="s">
        <v>3</v>
      </c>
      <c r="E166" s="48" t="s">
        <v>4</v>
      </c>
      <c r="F166" s="48" t="s">
        <v>271</v>
      </c>
      <c r="G166" s="48" t="s">
        <v>272</v>
      </c>
    </row>
    <row r="167" spans="1:7" x14ac:dyDescent="0.25">
      <c r="A167" s="49"/>
      <c r="B167" s="46"/>
      <c r="C167" s="46"/>
      <c r="D167" s="47"/>
      <c r="E167" s="47"/>
      <c r="F167" s="47"/>
      <c r="G167" s="47"/>
    </row>
    <row r="168" spans="1:7" x14ac:dyDescent="0.25">
      <c r="A168" s="49" t="s">
        <v>74</v>
      </c>
      <c r="B168" s="47"/>
      <c r="C168" s="47"/>
      <c r="D168" s="47"/>
      <c r="E168" s="47"/>
      <c r="F168" s="47"/>
      <c r="G168" s="47"/>
    </row>
    <row r="169" spans="1:7" x14ac:dyDescent="0.25">
      <c r="A169" s="49" t="s">
        <v>75</v>
      </c>
      <c r="B169" s="46">
        <v>0.70966300000000004</v>
      </c>
      <c r="C169" s="46">
        <v>1.8105300000000001E-2</v>
      </c>
      <c r="D169" s="46">
        <v>-13.44</v>
      </c>
      <c r="E169" s="46">
        <v>0</v>
      </c>
      <c r="F169" s="46">
        <v>0.67504989999999998</v>
      </c>
      <c r="G169" s="46">
        <v>0.74605080000000001</v>
      </c>
    </row>
    <row r="170" spans="1:7" x14ac:dyDescent="0.25">
      <c r="A170" s="49" t="s">
        <v>76</v>
      </c>
      <c r="B170" s="46">
        <v>0.63270800000000005</v>
      </c>
      <c r="C170" s="46">
        <v>2.2830099999999999E-2</v>
      </c>
      <c r="D170" s="46">
        <v>-12.69</v>
      </c>
      <c r="E170" s="46">
        <v>0</v>
      </c>
      <c r="F170" s="46">
        <v>0.58950749999999996</v>
      </c>
      <c r="G170" s="46">
        <v>0.67907439999999997</v>
      </c>
    </row>
    <row r="171" spans="1:7" x14ac:dyDescent="0.25">
      <c r="A171" s="49" t="s">
        <v>77</v>
      </c>
      <c r="B171" s="46">
        <v>0.59791439999999996</v>
      </c>
      <c r="C171" s="46">
        <v>2.5356799999999999E-2</v>
      </c>
      <c r="D171" s="46">
        <v>-12.13</v>
      </c>
      <c r="E171" s="46">
        <v>0</v>
      </c>
      <c r="F171" s="46">
        <v>0.55022530000000003</v>
      </c>
      <c r="G171" s="46">
        <v>0.6497368</v>
      </c>
    </row>
    <row r="172" spans="1:7" x14ac:dyDescent="0.25">
      <c r="A172" s="49" t="s">
        <v>78</v>
      </c>
      <c r="B172" s="46">
        <v>0.54003109999999999</v>
      </c>
      <c r="C172" s="46">
        <v>2.6546500000000001E-2</v>
      </c>
      <c r="D172" s="46">
        <v>-12.53</v>
      </c>
      <c r="E172" s="46">
        <v>0</v>
      </c>
      <c r="F172" s="46">
        <v>0.4904288</v>
      </c>
      <c r="G172" s="46">
        <v>0.59465029999999997</v>
      </c>
    </row>
    <row r="173" spans="1:7" x14ac:dyDescent="0.25">
      <c r="A173" s="49" t="s">
        <v>79</v>
      </c>
      <c r="B173" s="46">
        <v>0.47418070000000001</v>
      </c>
      <c r="C173" s="46">
        <v>2.8984599999999999E-2</v>
      </c>
      <c r="D173" s="46">
        <v>-12.21</v>
      </c>
      <c r="E173" s="46">
        <v>0</v>
      </c>
      <c r="F173" s="46">
        <v>0.42064299999999999</v>
      </c>
      <c r="G173" s="46">
        <v>0.53453260000000002</v>
      </c>
    </row>
    <row r="174" spans="1:7" x14ac:dyDescent="0.25">
      <c r="A174" s="49" t="s">
        <v>80</v>
      </c>
      <c r="B174" s="46">
        <v>0.33701189999999998</v>
      </c>
      <c r="C174" s="46">
        <v>2.0269200000000001E-2</v>
      </c>
      <c r="D174" s="46">
        <v>-18.079999999999998</v>
      </c>
      <c r="E174" s="46">
        <v>0</v>
      </c>
      <c r="F174" s="46">
        <v>0.2995372</v>
      </c>
      <c r="G174" s="46">
        <v>0.37917499999999998</v>
      </c>
    </row>
    <row r="175" spans="1:7" x14ac:dyDescent="0.25">
      <c r="A175" s="49" t="s">
        <v>86</v>
      </c>
      <c r="B175" s="46">
        <v>0.26845479999999999</v>
      </c>
      <c r="C175" s="46">
        <v>2.87659E-2</v>
      </c>
      <c r="D175" s="46">
        <v>-12.27</v>
      </c>
      <c r="E175" s="46">
        <v>0</v>
      </c>
      <c r="F175" s="46">
        <v>0.2176015</v>
      </c>
      <c r="G175" s="46">
        <v>0.3311924</v>
      </c>
    </row>
    <row r="176" spans="1:7" x14ac:dyDescent="0.25">
      <c r="A176" s="49" t="s">
        <v>87</v>
      </c>
      <c r="B176" s="46">
        <v>0.15973660000000001</v>
      </c>
      <c r="C176" s="46">
        <v>2.0601999999999999E-2</v>
      </c>
      <c r="D176" s="46">
        <v>-14.22</v>
      </c>
      <c r="E176" s="46">
        <v>0</v>
      </c>
      <c r="F176" s="46">
        <v>0.1240569</v>
      </c>
      <c r="G176" s="46">
        <v>0.205678</v>
      </c>
    </row>
    <row r="177" spans="1:7" x14ac:dyDescent="0.25">
      <c r="A177" s="49" t="s">
        <v>88</v>
      </c>
      <c r="B177" s="46">
        <v>5.3160300000000001E-2</v>
      </c>
      <c r="C177" s="46">
        <v>1.3067E-2</v>
      </c>
      <c r="D177" s="46">
        <v>-11.94</v>
      </c>
      <c r="E177" s="46">
        <v>0</v>
      </c>
      <c r="F177" s="46">
        <v>3.2836700000000003E-2</v>
      </c>
      <c r="G177" s="46">
        <v>8.6062899999999998E-2</v>
      </c>
    </row>
    <row r="178" spans="1:7" x14ac:dyDescent="0.25">
      <c r="A178" s="49"/>
      <c r="B178" s="47"/>
      <c r="C178" s="47"/>
      <c r="D178" s="47"/>
      <c r="E178" s="47"/>
      <c r="F178" s="47"/>
      <c r="G178" s="47"/>
    </row>
    <row r="179" spans="1:7" x14ac:dyDescent="0.25">
      <c r="A179" s="49" t="s">
        <v>113</v>
      </c>
      <c r="B179" s="47"/>
      <c r="C179" s="47"/>
      <c r="D179" s="47"/>
      <c r="E179" s="47"/>
      <c r="F179" s="47"/>
      <c r="G179" s="47"/>
    </row>
    <row r="180" spans="1:7" x14ac:dyDescent="0.25">
      <c r="A180" s="49">
        <v>2</v>
      </c>
      <c r="B180" s="46">
        <v>0.98425649999999998</v>
      </c>
      <c r="C180" s="46">
        <v>1.9529899999999999E-2</v>
      </c>
      <c r="D180" s="46">
        <v>-0.8</v>
      </c>
      <c r="E180" s="46">
        <v>0.42399999999999999</v>
      </c>
      <c r="F180" s="46">
        <v>0.94671329999999998</v>
      </c>
      <c r="G180" s="46">
        <v>1.023288</v>
      </c>
    </row>
    <row r="181" spans="1:7" x14ac:dyDescent="0.25">
      <c r="A181" s="49">
        <v>3</v>
      </c>
      <c r="B181" s="46">
        <v>1.559169</v>
      </c>
      <c r="C181" s="46">
        <v>7.6435900000000001E-2</v>
      </c>
      <c r="D181" s="46">
        <v>9.06</v>
      </c>
      <c r="E181" s="46">
        <v>0</v>
      </c>
      <c r="F181" s="46">
        <v>1.4163300000000001</v>
      </c>
      <c r="G181" s="46">
        <v>1.7164140000000001</v>
      </c>
    </row>
    <row r="182" spans="1:7" x14ac:dyDescent="0.25">
      <c r="A182" s="49"/>
      <c r="B182" s="47"/>
      <c r="C182" s="47"/>
      <c r="D182" s="47"/>
      <c r="E182" s="47"/>
      <c r="F182" s="47"/>
      <c r="G182" s="47"/>
    </row>
    <row r="183" spans="1:7" x14ac:dyDescent="0.25">
      <c r="A183" s="49" t="s">
        <v>108</v>
      </c>
      <c r="B183" s="47"/>
      <c r="C183" s="47"/>
      <c r="D183" s="47"/>
      <c r="E183" s="47"/>
      <c r="F183" s="47"/>
      <c r="G183" s="47"/>
    </row>
    <row r="184" spans="1:7" x14ac:dyDescent="0.25">
      <c r="A184" s="49">
        <v>2</v>
      </c>
      <c r="B184" s="46">
        <v>1.3234490000000001</v>
      </c>
      <c r="C184" s="46">
        <v>2.61487E-2</v>
      </c>
      <c r="D184" s="46">
        <v>14.18</v>
      </c>
      <c r="E184" s="46">
        <v>0</v>
      </c>
      <c r="F184" s="46">
        <v>1.2731790000000001</v>
      </c>
      <c r="G184" s="46">
        <v>1.375705</v>
      </c>
    </row>
    <row r="185" spans="1:7" x14ac:dyDescent="0.25">
      <c r="A185" s="49" t="s">
        <v>109</v>
      </c>
      <c r="B185" s="46">
        <v>1.9335150000000001</v>
      </c>
      <c r="C185" s="46">
        <v>4.6926299999999997E-2</v>
      </c>
      <c r="D185" s="46">
        <v>27.17</v>
      </c>
      <c r="E185" s="46">
        <v>0</v>
      </c>
      <c r="F185" s="46">
        <v>1.8436950000000001</v>
      </c>
      <c r="G185" s="46">
        <v>2.0277120000000002</v>
      </c>
    </row>
    <row r="186" spans="1:7" x14ac:dyDescent="0.25">
      <c r="A186" s="49"/>
      <c r="B186" s="47"/>
      <c r="C186" s="47"/>
      <c r="D186" s="47"/>
      <c r="E186" s="47"/>
      <c r="F186" s="47"/>
      <c r="G186" s="47"/>
    </row>
    <row r="187" spans="1:7" x14ac:dyDescent="0.25">
      <c r="A187" s="49" t="s">
        <v>84</v>
      </c>
      <c r="B187" s="47"/>
      <c r="C187" s="47"/>
      <c r="D187" s="47"/>
      <c r="E187" s="47"/>
      <c r="F187" s="47"/>
      <c r="G187" s="47"/>
    </row>
    <row r="188" spans="1:7" x14ac:dyDescent="0.25">
      <c r="A188" s="38" t="s">
        <v>315</v>
      </c>
      <c r="B188" s="46">
        <v>0.44145230000000002</v>
      </c>
      <c r="C188" s="46">
        <v>9.4797000000000006E-3</v>
      </c>
      <c r="D188" s="46">
        <v>-38.08</v>
      </c>
      <c r="E188" s="46">
        <v>0</v>
      </c>
      <c r="F188" s="46">
        <v>0.42325800000000002</v>
      </c>
      <c r="G188" s="46">
        <v>0.46042870000000002</v>
      </c>
    </row>
    <row r="189" spans="1:7" x14ac:dyDescent="0.25">
      <c r="A189" s="38" t="s">
        <v>316</v>
      </c>
      <c r="B189" s="46">
        <v>0.31232320000000002</v>
      </c>
      <c r="C189" s="46">
        <v>9.8212000000000004E-3</v>
      </c>
      <c r="D189" s="46">
        <v>-37.01</v>
      </c>
      <c r="E189" s="46">
        <v>0</v>
      </c>
      <c r="F189" s="46">
        <v>0.29365520000000001</v>
      </c>
      <c r="G189" s="46">
        <v>0.33217799999999997</v>
      </c>
    </row>
    <row r="190" spans="1:7" x14ac:dyDescent="0.25">
      <c r="A190" s="38" t="s">
        <v>317</v>
      </c>
      <c r="B190" s="46">
        <v>0.24177119999999999</v>
      </c>
      <c r="C190" s="46">
        <v>8.6954000000000007E-3</v>
      </c>
      <c r="D190" s="46">
        <v>-39.479999999999997</v>
      </c>
      <c r="E190" s="46">
        <v>0</v>
      </c>
      <c r="F190" s="46">
        <v>0.2253153</v>
      </c>
      <c r="G190" s="46">
        <v>0.25942890000000002</v>
      </c>
    </row>
    <row r="191" spans="1:7" x14ac:dyDescent="0.25">
      <c r="A191" s="38" t="s">
        <v>82</v>
      </c>
      <c r="B191" s="46">
        <v>0.2878173</v>
      </c>
      <c r="C191" s="46">
        <v>1.0828000000000001E-2</v>
      </c>
      <c r="D191" s="46">
        <v>-33.1</v>
      </c>
      <c r="E191" s="46">
        <v>0</v>
      </c>
      <c r="F191" s="46">
        <v>0.26735829999999999</v>
      </c>
      <c r="G191" s="46">
        <v>0.3098418</v>
      </c>
    </row>
    <row r="192" spans="1:7" x14ac:dyDescent="0.25">
      <c r="A192" s="49"/>
      <c r="B192" s="47"/>
      <c r="C192" s="47"/>
      <c r="D192" s="47"/>
      <c r="E192" s="47"/>
      <c r="F192" s="47"/>
      <c r="G192" s="47"/>
    </row>
    <row r="193" spans="1:7" x14ac:dyDescent="0.25">
      <c r="A193" s="49" t="s">
        <v>98</v>
      </c>
      <c r="B193" s="47"/>
      <c r="C193" s="47"/>
      <c r="D193" s="47"/>
      <c r="E193" s="47"/>
      <c r="F193" s="47"/>
      <c r="G193" s="47"/>
    </row>
    <row r="194" spans="1:7" x14ac:dyDescent="0.25">
      <c r="A194" s="49" t="s">
        <v>117</v>
      </c>
      <c r="B194" s="46">
        <v>7.4681300000000006E-2</v>
      </c>
      <c r="C194" s="46">
        <v>1.2669400000000001E-2</v>
      </c>
      <c r="D194" s="46">
        <v>-15.29</v>
      </c>
      <c r="E194" s="46">
        <v>0</v>
      </c>
      <c r="F194" s="46">
        <f>B194-0.053556</f>
        <v>2.1125300000000007E-2</v>
      </c>
      <c r="G194" s="46">
        <f>0.1041394-B194</f>
        <v>2.9458099999999987E-2</v>
      </c>
    </row>
    <row r="195" spans="1:7" x14ac:dyDescent="0.25">
      <c r="A195" s="49" t="s">
        <v>118</v>
      </c>
      <c r="B195" s="46">
        <v>9.1415099999999999E-2</v>
      </c>
      <c r="C195" s="46">
        <v>1.3600900000000001E-2</v>
      </c>
      <c r="D195" s="46">
        <v>-16.079999999999998</v>
      </c>
      <c r="E195" s="46">
        <v>0</v>
      </c>
      <c r="F195" s="46">
        <f>B195-0.0682928</f>
        <v>2.3122299999999998E-2</v>
      </c>
      <c r="G195" s="46">
        <f>0.122366-B195</f>
        <v>3.0950900000000003E-2</v>
      </c>
    </row>
    <row r="196" spans="1:7" x14ac:dyDescent="0.25">
      <c r="A196" s="49" t="s">
        <v>119</v>
      </c>
      <c r="B196" s="46">
        <v>0.19854279999999999</v>
      </c>
      <c r="C196" s="46">
        <v>2.3313E-2</v>
      </c>
      <c r="D196" s="46">
        <v>-13.77</v>
      </c>
      <c r="E196" s="46">
        <v>0</v>
      </c>
      <c r="F196" s="46">
        <f>B196-0.1577268</f>
        <v>4.0815999999999991E-2</v>
      </c>
      <c r="G196" s="46">
        <f>0.249921-B196</f>
        <v>5.1378200000000013E-2</v>
      </c>
    </row>
    <row r="197" spans="1:7" x14ac:dyDescent="0.25">
      <c r="A197" s="49" t="s">
        <v>120</v>
      </c>
      <c r="B197" s="46">
        <v>0.21084439999999999</v>
      </c>
      <c r="C197" s="46">
        <v>2.26261E-2</v>
      </c>
      <c r="D197" s="46">
        <v>-14.51</v>
      </c>
      <c r="E197" s="46">
        <v>0</v>
      </c>
      <c r="F197" s="46">
        <f>B197-0.1708513</f>
        <v>3.9993099999999976E-2</v>
      </c>
      <c r="G197" s="46">
        <f>0.2601992-B197</f>
        <v>4.9354800000000032E-2</v>
      </c>
    </row>
    <row r="198" spans="1:7" x14ac:dyDescent="0.25">
      <c r="A198" s="49" t="s">
        <v>121</v>
      </c>
      <c r="B198" s="46">
        <v>0.43715850000000001</v>
      </c>
      <c r="C198" s="46">
        <v>3.9938000000000001E-2</v>
      </c>
      <c r="D198" s="46">
        <v>-9.06</v>
      </c>
      <c r="E198" s="46">
        <v>0</v>
      </c>
      <c r="F198" s="46">
        <f>B198-0.3654892</f>
        <v>7.1669299999999991E-2</v>
      </c>
      <c r="G198" s="46">
        <f>0.5228814-B198</f>
        <v>8.5722900000000046E-2</v>
      </c>
    </row>
    <row r="199" spans="1:7" x14ac:dyDescent="0.25">
      <c r="A199" s="49" t="s">
        <v>122</v>
      </c>
      <c r="B199" s="46">
        <v>0.45117760000000001</v>
      </c>
      <c r="C199" s="46">
        <v>3.9867699999999999E-2</v>
      </c>
      <c r="D199" s="46">
        <v>-9.01</v>
      </c>
      <c r="E199" s="46">
        <v>0</v>
      </c>
      <c r="F199" s="46">
        <f>B199-0.3794306</f>
        <v>7.1747000000000005E-2</v>
      </c>
      <c r="G199" s="46">
        <f>0.5364913-B199</f>
        <v>8.5313699999999992E-2</v>
      </c>
    </row>
    <row r="200" spans="1:7" x14ac:dyDescent="0.25">
      <c r="A200" s="49" t="s">
        <v>123</v>
      </c>
      <c r="B200" s="46">
        <v>0.87795990000000002</v>
      </c>
      <c r="C200" s="46">
        <v>7.2003700000000004E-2</v>
      </c>
      <c r="D200" s="46">
        <v>-1.59</v>
      </c>
      <c r="E200" s="46">
        <v>0.113</v>
      </c>
      <c r="F200" s="46">
        <f>B200-0.7475935</f>
        <v>0.13036639999999999</v>
      </c>
      <c r="G200" s="46">
        <f>1.03106-B200</f>
        <v>0.15310010000000007</v>
      </c>
    </row>
    <row r="201" spans="1:7" x14ac:dyDescent="0.25">
      <c r="A201" s="49" t="s">
        <v>124</v>
      </c>
      <c r="B201" s="46">
        <v>1.08666</v>
      </c>
      <c r="C201" s="46">
        <v>8.27991E-2</v>
      </c>
      <c r="D201" s="46">
        <v>1.0900000000000001</v>
      </c>
      <c r="E201" s="46">
        <v>0.27500000000000002</v>
      </c>
      <c r="F201" s="46">
        <f>B201-0.9359129</f>
        <v>0.15074709999999991</v>
      </c>
      <c r="G201" s="46">
        <f>1.261687-B201</f>
        <v>0.17502700000000004</v>
      </c>
    </row>
    <row r="202" spans="1:7" x14ac:dyDescent="0.25">
      <c r="A202" s="49" t="s">
        <v>153</v>
      </c>
      <c r="B202" s="46">
        <v>2.404372</v>
      </c>
      <c r="C202" s="46">
        <v>0.21101539999999999</v>
      </c>
      <c r="D202" s="46">
        <v>10</v>
      </c>
      <c r="E202" s="46">
        <v>0</v>
      </c>
      <c r="F202" s="46">
        <f>B202-2.024405</f>
        <v>0.37996700000000017</v>
      </c>
      <c r="G202" s="46">
        <f>2.855655-B202</f>
        <v>0.4512830000000001</v>
      </c>
    </row>
    <row r="203" spans="1:7" x14ac:dyDescent="0.25">
      <c r="A203" s="49" t="s">
        <v>125</v>
      </c>
      <c r="B203" s="46">
        <v>2.7984810000000002</v>
      </c>
      <c r="C203" s="46">
        <v>0.2064232</v>
      </c>
      <c r="D203" s="46">
        <v>13.95</v>
      </c>
      <c r="E203" s="46">
        <v>0</v>
      </c>
      <c r="F203" s="46">
        <f>B203-2.421784</f>
        <v>0.37669700000000006</v>
      </c>
      <c r="G203" s="46">
        <f>3.23377-B203</f>
        <v>0.43528899999999959</v>
      </c>
    </row>
    <row r="204" spans="1:7" x14ac:dyDescent="0.25">
      <c r="A204" s="49" t="s">
        <v>126</v>
      </c>
      <c r="B204" s="46">
        <v>1</v>
      </c>
      <c r="C204" s="46"/>
      <c r="D204" s="46"/>
      <c r="E204" s="46"/>
      <c r="F204" s="46">
        <v>0</v>
      </c>
      <c r="G204" s="46">
        <v>0</v>
      </c>
    </row>
    <row r="205" spans="1:7" x14ac:dyDescent="0.25">
      <c r="A205" s="49" t="s">
        <v>127</v>
      </c>
      <c r="B205" s="46">
        <v>1.3284670000000001</v>
      </c>
      <c r="C205" s="46">
        <v>0.10197440000000001</v>
      </c>
      <c r="D205" s="46">
        <v>3.7</v>
      </c>
      <c r="E205" s="46">
        <v>0</v>
      </c>
      <c r="F205" s="46">
        <f>B205-1.142909</f>
        <v>0.18555800000000011</v>
      </c>
      <c r="G205" s="46">
        <f>1.544151-B205</f>
        <v>0.21568399999999999</v>
      </c>
    </row>
    <row r="206" spans="1:7" x14ac:dyDescent="0.25">
      <c r="A206" s="49" t="s">
        <v>128</v>
      </c>
      <c r="B206" s="46">
        <v>9.2896199999999998E-2</v>
      </c>
      <c r="C206" s="46">
        <v>1.4374400000000001E-2</v>
      </c>
      <c r="D206" s="46">
        <v>-15.36</v>
      </c>
      <c r="E206" s="46">
        <v>0</v>
      </c>
      <c r="F206" s="46">
        <f>B206-0.0685941</f>
        <v>2.4302099999999993E-2</v>
      </c>
      <c r="G206" s="46">
        <f>0.1258083-B206</f>
        <v>3.2912100000000014E-2</v>
      </c>
    </row>
    <row r="207" spans="1:7" x14ac:dyDescent="0.25">
      <c r="A207" s="49" t="s">
        <v>129</v>
      </c>
      <c r="B207" s="46">
        <v>0.12680150000000001</v>
      </c>
      <c r="C207" s="46">
        <v>1.61099E-2</v>
      </c>
      <c r="D207" s="46">
        <v>-16.25</v>
      </c>
      <c r="E207" s="46">
        <v>0</v>
      </c>
      <c r="F207" s="46">
        <f>B207-0.0988509</f>
        <v>2.7950600000000006E-2</v>
      </c>
      <c r="G207" s="46">
        <f>0.1626553-B207</f>
        <v>3.5853799999999991E-2</v>
      </c>
    </row>
    <row r="208" spans="1:7" x14ac:dyDescent="0.25">
      <c r="A208" s="49" t="s">
        <v>130</v>
      </c>
      <c r="B208" s="46">
        <v>0.2185792</v>
      </c>
      <c r="C208" s="46">
        <v>2.5850499999999998E-2</v>
      </c>
      <c r="D208" s="46">
        <v>-12.86</v>
      </c>
      <c r="E208" s="46">
        <v>0</v>
      </c>
      <c r="F208" s="46">
        <f>B208-0.1733567</f>
        <v>4.5222499999999999E-2</v>
      </c>
      <c r="G208" s="46">
        <f>0.2755988-B208</f>
        <v>5.7019599999999976E-2</v>
      </c>
    </row>
    <row r="209" spans="1:7" x14ac:dyDescent="0.25">
      <c r="A209" s="49" t="s">
        <v>131</v>
      </c>
      <c r="B209" s="46">
        <v>0.19167670000000001</v>
      </c>
      <c r="C209" s="46">
        <v>2.1287E-2</v>
      </c>
      <c r="D209" s="46">
        <v>-14.87</v>
      </c>
      <c r="E209" s="46">
        <v>0</v>
      </c>
      <c r="F209" s="46">
        <f>B209-0.1541835</f>
        <v>3.7493200000000004E-2</v>
      </c>
      <c r="G209" s="46">
        <f>0.2382873-B209</f>
        <v>4.6610600000000002E-2</v>
      </c>
    </row>
    <row r="210" spans="1:7" x14ac:dyDescent="0.25">
      <c r="A210" s="49" t="s">
        <v>132</v>
      </c>
      <c r="B210" s="46">
        <v>0.8834244</v>
      </c>
      <c r="C210" s="46">
        <v>8.3344399999999999E-2</v>
      </c>
      <c r="D210" s="46">
        <v>-1.31</v>
      </c>
      <c r="E210" s="46">
        <v>0.189</v>
      </c>
      <c r="F210" s="46">
        <f>B210-0.7342855</f>
        <v>0.14913889999999996</v>
      </c>
      <c r="G210" s="46">
        <f>1.062855-B210</f>
        <v>0.17943060000000011</v>
      </c>
    </row>
    <row r="211" spans="1:7" x14ac:dyDescent="0.25">
      <c r="A211" s="49" t="s">
        <v>133</v>
      </c>
      <c r="B211" s="46">
        <v>0.93479270000000003</v>
      </c>
      <c r="C211" s="46">
        <v>7.6618500000000006E-2</v>
      </c>
      <c r="D211" s="46">
        <v>-0.82</v>
      </c>
      <c r="E211" s="46">
        <v>0.41099999999999998</v>
      </c>
      <c r="F211" s="46">
        <f>B211-0.7960644</f>
        <v>0.13872830000000003</v>
      </c>
      <c r="G211" s="46">
        <f>1.097697-B211</f>
        <v>0.16290429999999989</v>
      </c>
    </row>
    <row r="212" spans="1:7" x14ac:dyDescent="0.25">
      <c r="A212" s="49" t="s">
        <v>134</v>
      </c>
      <c r="B212" s="46">
        <v>2.78366E-2</v>
      </c>
      <c r="C212" s="46">
        <v>7.9141999999999997E-3</v>
      </c>
      <c r="D212" s="46">
        <v>-12.6</v>
      </c>
      <c r="E212" s="46">
        <v>0</v>
      </c>
      <c r="F212" s="46">
        <f>B212-0.0159446</f>
        <v>1.1892E-2</v>
      </c>
      <c r="G212" s="46">
        <f>0.0485981-B212</f>
        <v>2.0761499999999999E-2</v>
      </c>
    </row>
    <row r="213" spans="1:7" x14ac:dyDescent="0.25">
      <c r="A213" s="49" t="s">
        <v>135</v>
      </c>
      <c r="B213" s="46">
        <v>8.87598E-2</v>
      </c>
      <c r="C213" s="46">
        <v>1.38198E-2</v>
      </c>
      <c r="D213" s="46">
        <v>-15.55</v>
      </c>
      <c r="E213" s="46">
        <v>0</v>
      </c>
      <c r="F213" s="46">
        <f>B213-0.0654162</f>
        <v>2.3343600000000006E-2</v>
      </c>
      <c r="G213" s="46">
        <f>0.1204334-B213</f>
        <v>3.1673599999999996E-2</v>
      </c>
    </row>
    <row r="214" spans="1:7" x14ac:dyDescent="0.25">
      <c r="A214" s="49" t="s">
        <v>136</v>
      </c>
      <c r="B214" s="46">
        <v>0.18414659999999999</v>
      </c>
      <c r="C214" s="46">
        <v>2.35374E-2</v>
      </c>
      <c r="D214" s="46">
        <v>-13.24</v>
      </c>
      <c r="E214" s="46">
        <v>0</v>
      </c>
      <c r="F214" s="46">
        <f>B214-0.143339</f>
        <v>4.0807599999999999E-2</v>
      </c>
      <c r="G214" s="46">
        <f>0.2365719-B214</f>
        <v>5.2425300000000008E-2</v>
      </c>
    </row>
    <row r="215" spans="1:7" x14ac:dyDescent="0.25">
      <c r="A215" s="49" t="s">
        <v>137</v>
      </c>
      <c r="B215" s="46">
        <v>0.1931831</v>
      </c>
      <c r="C215" s="46">
        <v>2.2732800000000001E-2</v>
      </c>
      <c r="D215" s="46">
        <v>-13.97</v>
      </c>
      <c r="E215" s="46">
        <v>0</v>
      </c>
      <c r="F215" s="46">
        <f>B215-0.1533925</f>
        <v>3.9790600000000009E-2</v>
      </c>
      <c r="G215" s="46">
        <f>0.2432955-B215</f>
        <v>5.0112400000000001E-2</v>
      </c>
    </row>
    <row r="216" spans="1:7" x14ac:dyDescent="0.25">
      <c r="A216" s="49" t="s">
        <v>138</v>
      </c>
      <c r="B216" s="46">
        <v>6.6378400000000004E-2</v>
      </c>
      <c r="C216" s="46">
        <v>1.30267E-2</v>
      </c>
      <c r="D216" s="46">
        <v>-13.82</v>
      </c>
      <c r="E216" s="46">
        <v>0</v>
      </c>
      <c r="F216" s="46">
        <f>B216-0.0451835</f>
        <v>2.1194900000000003E-2</v>
      </c>
      <c r="G216" s="46">
        <f>0.0975157-B216</f>
        <v>3.1137299999999993E-2</v>
      </c>
    </row>
    <row r="217" spans="1:7" x14ac:dyDescent="0.25">
      <c r="A217" s="49" t="s">
        <v>139</v>
      </c>
      <c r="B217" s="46">
        <v>8.5278999999999994E-2</v>
      </c>
      <c r="C217" s="46">
        <v>1.35774E-2</v>
      </c>
      <c r="D217" s="46">
        <v>-15.46</v>
      </c>
      <c r="E217" s="46">
        <v>0</v>
      </c>
      <c r="F217" s="46">
        <f>B217-0.0624196</f>
        <v>2.2859399999999995E-2</v>
      </c>
      <c r="G217" s="46">
        <f>0.1165102-B217</f>
        <v>3.1231200000000001E-2</v>
      </c>
    </row>
    <row r="218" spans="1:7" x14ac:dyDescent="0.25">
      <c r="A218" s="49" t="s">
        <v>140</v>
      </c>
      <c r="B218" s="46">
        <v>0.59954719999999995</v>
      </c>
      <c r="C218" s="46">
        <v>5.39585E-2</v>
      </c>
      <c r="D218" s="46">
        <v>-5.68</v>
      </c>
      <c r="E218" s="46">
        <v>0</v>
      </c>
      <c r="F218" s="46">
        <f>B218-0.5025928</f>
        <v>9.6954399999999996E-2</v>
      </c>
      <c r="G218" s="46">
        <f>0.715205-B218</f>
        <v>0.11565780000000003</v>
      </c>
    </row>
    <row r="219" spans="1:7" x14ac:dyDescent="0.25">
      <c r="A219" s="49" t="s">
        <v>141</v>
      </c>
      <c r="B219" s="46">
        <v>0.73966500000000002</v>
      </c>
      <c r="C219" s="46">
        <v>6.1780300000000003E-2</v>
      </c>
      <c r="D219" s="46">
        <v>-3.61</v>
      </c>
      <c r="E219" s="46">
        <v>0</v>
      </c>
      <c r="F219" s="46">
        <f>B219-0.6279697</f>
        <v>0.11169530000000005</v>
      </c>
      <c r="G219" s="46">
        <f>0.8712273-B219</f>
        <v>0.13156230000000002</v>
      </c>
    </row>
    <row r="220" spans="1:7" x14ac:dyDescent="0.25">
      <c r="A220" s="49" t="s">
        <v>142</v>
      </c>
      <c r="B220" s="46">
        <v>2.8200129999999999</v>
      </c>
      <c r="C220" s="46">
        <v>0.24462729999999999</v>
      </c>
      <c r="D220" s="46">
        <v>11.95</v>
      </c>
      <c r="E220" s="46">
        <v>0</v>
      </c>
      <c r="F220" s="46">
        <f>B220-2.379097</f>
        <v>0.44091600000000009</v>
      </c>
      <c r="G220" s="46">
        <f>3.342645-B220</f>
        <v>0.52263200000000021</v>
      </c>
    </row>
    <row r="221" spans="1:7" x14ac:dyDescent="0.25">
      <c r="A221" s="49" t="s">
        <v>143</v>
      </c>
      <c r="B221" s="46">
        <v>3.4198629999999999</v>
      </c>
      <c r="C221" s="46">
        <v>0.25191140000000001</v>
      </c>
      <c r="D221" s="46">
        <v>16.690000000000001</v>
      </c>
      <c r="E221" s="46">
        <v>0</v>
      </c>
      <c r="F221" s="46">
        <f>B221-2.960112</f>
        <v>0.4597509999999998</v>
      </c>
      <c r="G221" s="46">
        <f>3.95102-B221</f>
        <v>0.53115700000000032</v>
      </c>
    </row>
    <row r="222" spans="1:7" x14ac:dyDescent="0.25">
      <c r="A222" s="49" t="s">
        <v>144</v>
      </c>
      <c r="B222" s="46">
        <v>3.9141870000000001</v>
      </c>
      <c r="C222" s="46">
        <v>0.30072670000000001</v>
      </c>
      <c r="D222" s="46">
        <v>17.760000000000002</v>
      </c>
      <c r="E222" s="46">
        <v>0</v>
      </c>
      <c r="F222" s="46">
        <f>B222-3.367005</f>
        <v>0.54718200000000028</v>
      </c>
      <c r="G222" s="46">
        <f>4.550292-B222</f>
        <v>0.6361049999999997</v>
      </c>
    </row>
    <row r="223" spans="1:7" x14ac:dyDescent="0.25">
      <c r="A223" s="49" t="s">
        <v>145</v>
      </c>
      <c r="B223" s="46">
        <v>3.2945549999999999</v>
      </c>
      <c r="C223" s="46">
        <v>0.24255109999999999</v>
      </c>
      <c r="D223" s="46">
        <v>16.190000000000001</v>
      </c>
      <c r="E223" s="46">
        <v>0</v>
      </c>
      <c r="F223" s="46">
        <f>B223-2.85187</f>
        <v>0.442685</v>
      </c>
      <c r="G223" s="46">
        <f>3.805956-B223</f>
        <v>0.51140100000000022</v>
      </c>
    </row>
    <row r="224" spans="1:7" x14ac:dyDescent="0.25">
      <c r="A224" s="49" t="s">
        <v>146</v>
      </c>
      <c r="B224" s="46">
        <v>5.9954800000000003E-2</v>
      </c>
      <c r="C224" s="46">
        <v>1.1972399999999999E-2</v>
      </c>
      <c r="D224" s="46">
        <v>-14.09</v>
      </c>
      <c r="E224" s="46">
        <v>0</v>
      </c>
      <c r="F224" s="46">
        <f>B224-0.0405366</f>
        <v>1.9418200000000004E-2</v>
      </c>
      <c r="G224" s="46">
        <f>0.0886748-B224</f>
        <v>2.8719999999999996E-2</v>
      </c>
    </row>
    <row r="225" spans="1:21" x14ac:dyDescent="0.25">
      <c r="A225" s="49" t="s">
        <v>147</v>
      </c>
      <c r="B225" s="46">
        <v>0.1009425</v>
      </c>
      <c r="C225" s="46">
        <v>1.4871000000000001E-2</v>
      </c>
      <c r="D225" s="46">
        <v>-15.57</v>
      </c>
      <c r="E225" s="46">
        <v>0</v>
      </c>
      <c r="F225" s="46">
        <f>B225-0.0756265</f>
        <v>2.5316000000000005E-2</v>
      </c>
      <c r="G225" s="46">
        <f>0.134733-B225</f>
        <v>3.3790499999999987E-2</v>
      </c>
    </row>
    <row r="226" spans="1:21" x14ac:dyDescent="0.25">
      <c r="A226" s="49" t="s">
        <v>148</v>
      </c>
      <c r="B226" s="46">
        <v>0.24838389999999999</v>
      </c>
      <c r="C226" s="46">
        <v>2.8304200000000002E-2</v>
      </c>
      <c r="D226" s="46">
        <v>-12.22</v>
      </c>
      <c r="E226" s="46">
        <v>0</v>
      </c>
      <c r="F226" s="46">
        <f>B226-0.1986671</f>
        <v>4.9716799999999978E-2</v>
      </c>
      <c r="G226" s="46">
        <f>0.3105423-B226</f>
        <v>6.2158400000000003E-2</v>
      </c>
    </row>
    <row r="227" spans="1:21" x14ac:dyDescent="0.25">
      <c r="A227" s="49" t="s">
        <v>149</v>
      </c>
      <c r="B227" s="46">
        <v>0.32545259999999998</v>
      </c>
      <c r="C227" s="46">
        <v>3.3095699999999999E-2</v>
      </c>
      <c r="D227" s="46">
        <v>-11.04</v>
      </c>
      <c r="E227" s="46">
        <v>0</v>
      </c>
      <c r="F227" s="46">
        <f>B227-0.2666417</f>
        <v>5.8810899999999999E-2</v>
      </c>
      <c r="G227" s="46">
        <f>0.397235-B227</f>
        <v>7.1782400000000024E-2</v>
      </c>
    </row>
    <row r="228" spans="1:21" x14ac:dyDescent="0.25">
      <c r="A228" s="49" t="s">
        <v>150</v>
      </c>
      <c r="B228" s="46">
        <v>0.24838389999999999</v>
      </c>
      <c r="C228" s="46">
        <v>4.5904399999999998E-2</v>
      </c>
      <c r="D228" s="46">
        <v>-7.54</v>
      </c>
      <c r="E228" s="46">
        <v>0</v>
      </c>
      <c r="F228" s="46">
        <f>B228-0.1729063</f>
        <v>7.5477599999999978E-2</v>
      </c>
      <c r="G228" s="46">
        <f>0.3568091-B228</f>
        <v>0.1084252</v>
      </c>
    </row>
    <row r="229" spans="1:21" x14ac:dyDescent="0.25">
      <c r="A229" s="49" t="s">
        <v>151</v>
      </c>
      <c r="B229" s="46">
        <v>0.25757750000000001</v>
      </c>
      <c r="C229" s="46">
        <v>2.9090299999999999E-2</v>
      </c>
      <c r="D229" s="46">
        <v>-12.01</v>
      </c>
      <c r="E229" s="46">
        <v>0</v>
      </c>
      <c r="F229" s="46">
        <f>B229-0.206431</f>
        <v>5.1146500000000011E-2</v>
      </c>
      <c r="G229" s="46">
        <f>0.3213963-B229</f>
        <v>6.3818800000000009E-2</v>
      </c>
    </row>
    <row r="230" spans="1:21" x14ac:dyDescent="0.25">
      <c r="A230" s="49"/>
      <c r="B230" s="47"/>
      <c r="C230" s="47"/>
      <c r="D230" s="47"/>
      <c r="E230" s="47"/>
      <c r="F230" s="47"/>
      <c r="G230" s="47"/>
    </row>
    <row r="231" spans="1:21" x14ac:dyDescent="0.25">
      <c r="A231" s="50" t="s">
        <v>6</v>
      </c>
      <c r="B231" s="48">
        <v>7.4882000000000004E-3</v>
      </c>
      <c r="C231" s="48">
        <v>5.0739999999999997E-4</v>
      </c>
      <c r="D231" s="48">
        <v>-72.239999999999995</v>
      </c>
      <c r="E231" s="48">
        <v>0</v>
      </c>
      <c r="F231" s="48">
        <v>6.5570000000000003E-3</v>
      </c>
      <c r="G231" s="48">
        <v>8.5517000000000006E-3</v>
      </c>
    </row>
    <row r="232" spans="1:21" x14ac:dyDescent="0.25">
      <c r="T232" s="46"/>
      <c r="U232" s="46"/>
    </row>
    <row r="233" spans="1:21" ht="15.75" thickBot="1" x14ac:dyDescent="0.3">
      <c r="M233" s="7"/>
      <c r="N233" s="7"/>
      <c r="O233" s="7"/>
      <c r="P233" s="7"/>
      <c r="Q233" s="7"/>
      <c r="R233" s="7"/>
      <c r="T233" s="46"/>
      <c r="U233" s="46"/>
    </row>
    <row r="234" spans="1:21" x14ac:dyDescent="0.25">
      <c r="A234" s="10"/>
      <c r="B234" s="11"/>
      <c r="C234" s="11" t="s">
        <v>9</v>
      </c>
      <c r="D234" s="11" t="s">
        <v>10</v>
      </c>
      <c r="E234" s="11" t="s">
        <v>40</v>
      </c>
      <c r="F234" s="11" t="s">
        <v>11</v>
      </c>
      <c r="G234" s="11" t="s">
        <v>7</v>
      </c>
      <c r="H234" s="11" t="s">
        <v>8</v>
      </c>
      <c r="I234" s="11" t="s">
        <v>62</v>
      </c>
      <c r="J234" s="11" t="s">
        <v>63</v>
      </c>
      <c r="K234" s="12" t="s">
        <v>64</v>
      </c>
      <c r="M234" s="46">
        <v>2.1125300000000007E-2</v>
      </c>
      <c r="N234" s="46">
        <v>2.9458099999999987E-2</v>
      </c>
      <c r="O234" s="46">
        <v>0.13036639999999999</v>
      </c>
      <c r="P234" s="46">
        <v>0.15310010000000007</v>
      </c>
      <c r="Q234" s="46">
        <v>2.4302099999999993E-2</v>
      </c>
      <c r="R234" s="46">
        <v>3.2912100000000014E-2</v>
      </c>
      <c r="T234" s="46"/>
      <c r="U234" s="46"/>
    </row>
    <row r="235" spans="1:21" x14ac:dyDescent="0.25">
      <c r="A235" s="24" t="s">
        <v>91</v>
      </c>
      <c r="B235" s="7" t="s">
        <v>152</v>
      </c>
      <c r="C235" s="14">
        <f>B194</f>
        <v>7.4681300000000006E-2</v>
      </c>
      <c r="D235" s="15">
        <f>B196</f>
        <v>0.19854279999999999</v>
      </c>
      <c r="E235" s="15">
        <f>B198</f>
        <v>0.43715850000000001</v>
      </c>
      <c r="F235" s="15">
        <f>B200</f>
        <v>0.87795990000000002</v>
      </c>
      <c r="G235" s="15">
        <f>B202</f>
        <v>2.404372</v>
      </c>
      <c r="H235" s="15">
        <f>B204</f>
        <v>1</v>
      </c>
      <c r="I235" s="16">
        <f>B206</f>
        <v>9.2896199999999998E-2</v>
      </c>
      <c r="J235" s="16">
        <f>B208</f>
        <v>0.2185792</v>
      </c>
      <c r="K235" s="17">
        <f>B210</f>
        <v>0.8834244</v>
      </c>
      <c r="M235" s="46">
        <v>2.3122299999999998E-2</v>
      </c>
      <c r="N235" s="46">
        <v>3.0950900000000003E-2</v>
      </c>
      <c r="O235" s="46">
        <v>0.15074709999999991</v>
      </c>
      <c r="P235" s="46">
        <v>0.17502700000000004</v>
      </c>
      <c r="Q235" s="46">
        <v>2.7950600000000006E-2</v>
      </c>
      <c r="R235" s="46">
        <v>3.5853799999999991E-2</v>
      </c>
      <c r="T235" s="46"/>
      <c r="U235" s="46"/>
    </row>
    <row r="236" spans="1:21" x14ac:dyDescent="0.25">
      <c r="A236" s="24"/>
      <c r="B236" s="7" t="s">
        <v>372</v>
      </c>
      <c r="C236" s="15">
        <f>B195</f>
        <v>9.1415099999999999E-2</v>
      </c>
      <c r="D236" s="15">
        <f>B197</f>
        <v>0.21084439999999999</v>
      </c>
      <c r="E236" s="15">
        <f>B199</f>
        <v>0.45117760000000001</v>
      </c>
      <c r="F236" s="15">
        <f>B201</f>
        <v>1.08666</v>
      </c>
      <c r="G236" s="15">
        <f>B203</f>
        <v>2.7984810000000002</v>
      </c>
      <c r="H236" s="15">
        <f>B205</f>
        <v>1.3284670000000001</v>
      </c>
      <c r="I236" s="16">
        <f>B207</f>
        <v>0.12680150000000001</v>
      </c>
      <c r="J236" s="16">
        <f>B209</f>
        <v>0.19167670000000001</v>
      </c>
      <c r="K236" s="18">
        <f>B211</f>
        <v>0.93479270000000003</v>
      </c>
      <c r="M236" s="46">
        <v>1.1892E-2</v>
      </c>
      <c r="N236" s="46">
        <v>2.0761499999999999E-2</v>
      </c>
      <c r="O236" s="46">
        <v>9.6954399999999996E-2</v>
      </c>
      <c r="P236" s="46">
        <v>0.11565780000000003</v>
      </c>
      <c r="Q236" s="46">
        <v>1.9418200000000004E-2</v>
      </c>
      <c r="R236" s="46">
        <v>2.8719999999999996E-2</v>
      </c>
      <c r="T236" s="46"/>
      <c r="U236" s="46"/>
    </row>
    <row r="237" spans="1:21" x14ac:dyDescent="0.25">
      <c r="A237" s="24" t="s">
        <v>73</v>
      </c>
      <c r="B237" s="7" t="s">
        <v>152</v>
      </c>
      <c r="C237" s="15">
        <f>B212</f>
        <v>2.78366E-2</v>
      </c>
      <c r="D237" s="15">
        <f>B214</f>
        <v>0.18414659999999999</v>
      </c>
      <c r="E237" s="15">
        <f>B216</f>
        <v>6.6378400000000004E-2</v>
      </c>
      <c r="F237" s="15">
        <f>B218</f>
        <v>0.59954719999999995</v>
      </c>
      <c r="G237" s="15">
        <f>B220</f>
        <v>2.8200129999999999</v>
      </c>
      <c r="H237" s="25">
        <f>B222</f>
        <v>3.9141870000000001</v>
      </c>
      <c r="I237" s="16">
        <f>B224</f>
        <v>5.9954800000000003E-2</v>
      </c>
      <c r="J237" s="16">
        <f>B226</f>
        <v>0.24838389999999999</v>
      </c>
      <c r="K237" s="17">
        <f>B228</f>
        <v>0.24838389999999999</v>
      </c>
      <c r="M237" s="46">
        <v>2.3343600000000006E-2</v>
      </c>
      <c r="N237" s="46">
        <v>3.1673599999999996E-2</v>
      </c>
      <c r="O237" s="46">
        <v>0.11169530000000005</v>
      </c>
      <c r="P237" s="46">
        <v>0.13156230000000002</v>
      </c>
      <c r="Q237" s="46">
        <v>2.5316000000000005E-2</v>
      </c>
      <c r="R237" s="46">
        <v>3.3790499999999987E-2</v>
      </c>
      <c r="T237" s="46"/>
      <c r="U237" s="46"/>
    </row>
    <row r="238" spans="1:21" ht="15.75" thickBot="1" x14ac:dyDescent="0.3">
      <c r="A238" s="26"/>
      <c r="B238" s="27" t="s">
        <v>372</v>
      </c>
      <c r="C238" s="29">
        <f>B213</f>
        <v>8.87598E-2</v>
      </c>
      <c r="D238" s="29">
        <f>B215</f>
        <v>0.1931831</v>
      </c>
      <c r="E238" s="29">
        <f>B217</f>
        <v>8.5278999999999994E-2</v>
      </c>
      <c r="F238" s="29">
        <f>B219</f>
        <v>0.73966500000000002</v>
      </c>
      <c r="G238" s="28">
        <f>B221</f>
        <v>3.4198629999999999</v>
      </c>
      <c r="H238" s="28">
        <f>B223</f>
        <v>3.2945549999999999</v>
      </c>
      <c r="I238" s="29">
        <f>B225</f>
        <v>0.1009425</v>
      </c>
      <c r="J238" s="29">
        <f>B227</f>
        <v>0.32545259999999998</v>
      </c>
      <c r="K238" s="31">
        <f>B229</f>
        <v>0.25757750000000001</v>
      </c>
      <c r="M238" s="46">
        <v>4.0815999999999991E-2</v>
      </c>
      <c r="N238" s="46">
        <v>5.1378200000000013E-2</v>
      </c>
      <c r="O238" s="46">
        <v>0.37996700000000017</v>
      </c>
      <c r="P238" s="46">
        <v>0.4512830000000001</v>
      </c>
      <c r="Q238" s="46">
        <v>4.5222499999999999E-2</v>
      </c>
      <c r="R238" s="46">
        <v>5.7019599999999976E-2</v>
      </c>
      <c r="T238" s="46"/>
      <c r="U238" s="46"/>
    </row>
    <row r="239" spans="1:21" x14ac:dyDescent="0.25">
      <c r="M239" s="46">
        <v>3.9993099999999976E-2</v>
      </c>
      <c r="N239" s="46">
        <v>4.9354800000000032E-2</v>
      </c>
      <c r="O239" s="46">
        <v>0.37669700000000006</v>
      </c>
      <c r="P239" s="46">
        <v>0.43528899999999959</v>
      </c>
      <c r="Q239" s="46">
        <v>3.7493200000000004E-2</v>
      </c>
      <c r="R239" s="46">
        <v>4.6610600000000002E-2</v>
      </c>
      <c r="T239" s="46"/>
      <c r="U239" s="46"/>
    </row>
    <row r="240" spans="1:21" x14ac:dyDescent="0.25">
      <c r="M240" s="46">
        <v>4.0807599999999999E-2</v>
      </c>
      <c r="N240" s="46">
        <v>5.2425300000000008E-2</v>
      </c>
      <c r="O240" s="46">
        <v>0.44091600000000009</v>
      </c>
      <c r="P240" s="46">
        <v>0.52263200000000021</v>
      </c>
      <c r="Q240" s="46">
        <v>4.9716799999999978E-2</v>
      </c>
      <c r="R240" s="46">
        <v>6.2158400000000003E-2</v>
      </c>
      <c r="T240" s="46"/>
      <c r="U240" s="46"/>
    </row>
    <row r="241" spans="1:21" x14ac:dyDescent="0.25">
      <c r="M241" s="46">
        <v>3.9790600000000009E-2</v>
      </c>
      <c r="N241" s="46">
        <v>5.0112400000000001E-2</v>
      </c>
      <c r="O241" s="46">
        <v>0.4597509999999998</v>
      </c>
      <c r="P241" s="46">
        <v>0.53115700000000032</v>
      </c>
      <c r="Q241" s="46">
        <v>5.8810899999999999E-2</v>
      </c>
      <c r="R241" s="46">
        <v>7.1782400000000024E-2</v>
      </c>
      <c r="T241" s="46"/>
      <c r="U241" s="46"/>
    </row>
    <row r="242" spans="1:21" x14ac:dyDescent="0.25">
      <c r="M242" s="46">
        <v>7.1669299999999991E-2</v>
      </c>
      <c r="N242" s="46">
        <v>8.5722900000000046E-2</v>
      </c>
      <c r="O242" s="46">
        <v>0</v>
      </c>
      <c r="P242" s="46">
        <v>0</v>
      </c>
      <c r="Q242" s="46">
        <v>0.14913889999999996</v>
      </c>
      <c r="R242" s="46">
        <v>0.17943060000000011</v>
      </c>
      <c r="T242" s="46"/>
      <c r="U242" s="46"/>
    </row>
    <row r="243" spans="1:21" x14ac:dyDescent="0.25">
      <c r="M243" s="46">
        <v>7.1747000000000005E-2</v>
      </c>
      <c r="N243" s="46">
        <v>8.5313699999999992E-2</v>
      </c>
      <c r="O243" s="46">
        <v>0.18555800000000011</v>
      </c>
      <c r="P243" s="46">
        <v>0.21568399999999999</v>
      </c>
      <c r="Q243" s="46">
        <v>0.13872830000000003</v>
      </c>
      <c r="R243" s="46">
        <v>0.16290429999999989</v>
      </c>
      <c r="T243" s="46"/>
      <c r="U243" s="46"/>
    </row>
    <row r="244" spans="1:21" x14ac:dyDescent="0.25">
      <c r="M244" s="46">
        <v>2.1194900000000003E-2</v>
      </c>
      <c r="N244" s="46">
        <v>3.1137299999999993E-2</v>
      </c>
      <c r="O244" s="46">
        <v>0.54718200000000028</v>
      </c>
      <c r="P244" s="46">
        <v>0.6361049999999997</v>
      </c>
      <c r="Q244" s="46">
        <v>7.5477599999999978E-2</v>
      </c>
      <c r="R244" s="46">
        <v>0.1084252</v>
      </c>
      <c r="T244" s="46"/>
      <c r="U244" s="46"/>
    </row>
    <row r="245" spans="1:21" x14ac:dyDescent="0.25">
      <c r="M245" s="46">
        <v>2.2859399999999995E-2</v>
      </c>
      <c r="N245" s="46">
        <v>3.1231200000000001E-2</v>
      </c>
      <c r="O245" s="46">
        <v>0.442685</v>
      </c>
      <c r="P245" s="46">
        <v>0.51140100000000022</v>
      </c>
      <c r="Q245" s="46">
        <v>5.1146500000000011E-2</v>
      </c>
      <c r="R245" s="46">
        <v>6.3818800000000009E-2</v>
      </c>
      <c r="T245" s="46"/>
      <c r="U245" s="46"/>
    </row>
    <row r="246" spans="1:21" x14ac:dyDescent="0.25">
      <c r="M246" s="7"/>
      <c r="N246" s="9"/>
      <c r="O246" s="7"/>
      <c r="P246" s="7"/>
      <c r="Q246" s="7"/>
      <c r="R246" s="7"/>
      <c r="T246" s="46"/>
      <c r="U246" s="46"/>
    </row>
    <row r="247" spans="1:21" x14ac:dyDescent="0.25">
      <c r="M247" s="7"/>
      <c r="N247" s="7"/>
      <c r="O247" s="7"/>
      <c r="P247" s="7"/>
      <c r="Q247" s="7"/>
      <c r="R247" s="7"/>
      <c r="T247" s="46"/>
      <c r="U247" s="46"/>
    </row>
    <row r="248" spans="1:21" x14ac:dyDescent="0.25">
      <c r="M248" s="7"/>
      <c r="N248" s="7"/>
      <c r="O248" s="7"/>
      <c r="P248" s="7"/>
      <c r="Q248" s="7"/>
      <c r="R248" s="7"/>
      <c r="T248" s="46"/>
      <c r="U248" s="46"/>
    </row>
    <row r="249" spans="1:21" x14ac:dyDescent="0.25">
      <c r="M249" s="7"/>
      <c r="N249" s="7"/>
      <c r="O249" s="7"/>
      <c r="P249" s="7"/>
      <c r="Q249" s="7"/>
      <c r="R249" s="7"/>
      <c r="T249" s="46"/>
      <c r="U249" s="46"/>
    </row>
    <row r="250" spans="1:21" x14ac:dyDescent="0.25">
      <c r="M250" s="7"/>
      <c r="N250" s="7"/>
      <c r="O250" s="9"/>
      <c r="P250" s="9"/>
      <c r="Q250" s="7"/>
      <c r="R250" s="7"/>
      <c r="T250" s="7"/>
      <c r="U250" s="7"/>
    </row>
    <row r="251" spans="1:21" x14ac:dyDescent="0.25">
      <c r="M251" s="7"/>
      <c r="N251" s="7"/>
      <c r="O251" s="9"/>
      <c r="P251" s="9"/>
      <c r="Q251" s="7"/>
      <c r="R251" s="7"/>
      <c r="T251" s="7"/>
      <c r="U251" s="7"/>
    </row>
    <row r="252" spans="1:21" x14ac:dyDescent="0.25">
      <c r="M252" s="7"/>
      <c r="N252" s="7"/>
      <c r="O252" s="9"/>
      <c r="P252" s="9"/>
      <c r="Q252" s="7"/>
      <c r="R252" s="7"/>
      <c r="T252" s="9"/>
      <c r="U252" s="9"/>
    </row>
    <row r="253" spans="1:21" x14ac:dyDescent="0.25">
      <c r="M253" s="7"/>
      <c r="N253" s="7"/>
      <c r="O253" s="7"/>
      <c r="P253" s="7"/>
      <c r="T253" s="7"/>
      <c r="U253" s="7"/>
    </row>
    <row r="254" spans="1:21" x14ac:dyDescent="0.25">
      <c r="M254" s="7"/>
      <c r="N254" s="7"/>
      <c r="O254" s="7"/>
      <c r="P254" s="7"/>
      <c r="T254" s="7"/>
      <c r="U254" s="7"/>
    </row>
    <row r="255" spans="1:21" s="1" customFormat="1" x14ac:dyDescent="0.25">
      <c r="A255" s="1" t="s">
        <v>99</v>
      </c>
      <c r="M255" s="33"/>
      <c r="N255" s="33"/>
      <c r="O255" s="33"/>
      <c r="P255" s="33"/>
      <c r="T255" s="33"/>
      <c r="U255" s="33"/>
    </row>
    <row r="256" spans="1:21" x14ac:dyDescent="0.25">
      <c r="M256" s="9"/>
      <c r="N256" s="9"/>
      <c r="O256" s="7"/>
      <c r="P256" s="7"/>
      <c r="T256" s="7"/>
      <c r="U256" s="7"/>
    </row>
    <row r="257" spans="1:21" x14ac:dyDescent="0.25">
      <c r="A257" s="49"/>
      <c r="B257" s="46" t="s">
        <v>1</v>
      </c>
      <c r="C257" s="47"/>
      <c r="D257" s="47"/>
      <c r="E257" s="47"/>
      <c r="F257" s="47"/>
      <c r="G257" s="47"/>
      <c r="M257" s="9"/>
      <c r="N257" s="9"/>
      <c r="O257" s="7"/>
      <c r="P257" s="7"/>
      <c r="T257" s="7"/>
      <c r="U257" s="7"/>
    </row>
    <row r="258" spans="1:21" x14ac:dyDescent="0.25">
      <c r="A258" s="50" t="s">
        <v>2</v>
      </c>
      <c r="B258" s="48" t="s">
        <v>269</v>
      </c>
      <c r="C258" s="48" t="s">
        <v>270</v>
      </c>
      <c r="D258" s="48" t="s">
        <v>3</v>
      </c>
      <c r="E258" s="48" t="s">
        <v>4</v>
      </c>
      <c r="F258" s="48" t="s">
        <v>271</v>
      </c>
      <c r="G258" s="48" t="s">
        <v>272</v>
      </c>
      <c r="M258" s="9"/>
      <c r="N258" s="9"/>
      <c r="O258" s="7"/>
      <c r="P258" s="7"/>
      <c r="T258" s="7"/>
      <c r="U258" s="7"/>
    </row>
    <row r="259" spans="1:21" x14ac:dyDescent="0.25">
      <c r="A259" s="49"/>
      <c r="B259" s="46"/>
      <c r="C259" s="46"/>
      <c r="D259" s="47"/>
      <c r="E259" s="47"/>
      <c r="F259" s="47"/>
      <c r="G259" s="47"/>
      <c r="M259" s="9"/>
      <c r="N259" s="9"/>
      <c r="O259" s="7"/>
      <c r="P259" s="7"/>
      <c r="T259" s="7"/>
      <c r="U259" s="7"/>
    </row>
    <row r="260" spans="1:21" x14ac:dyDescent="0.25">
      <c r="A260" s="49" t="s">
        <v>72</v>
      </c>
      <c r="B260" s="47"/>
      <c r="C260" s="47"/>
      <c r="D260" s="47"/>
      <c r="E260" s="47"/>
      <c r="F260" s="47"/>
      <c r="G260" s="47"/>
      <c r="M260" s="9"/>
      <c r="N260" s="9"/>
      <c r="O260" s="7"/>
      <c r="P260" s="7"/>
      <c r="T260" s="7"/>
      <c r="U260" s="7"/>
    </row>
    <row r="261" spans="1:21" x14ac:dyDescent="0.25">
      <c r="A261" s="49" t="s">
        <v>73</v>
      </c>
      <c r="B261" s="46">
        <v>1.229687</v>
      </c>
      <c r="C261" s="46">
        <v>2.34077E-2</v>
      </c>
      <c r="D261" s="46">
        <v>10.86</v>
      </c>
      <c r="E261" s="46">
        <v>0</v>
      </c>
      <c r="F261" s="46">
        <v>1.1846540000000001</v>
      </c>
      <c r="G261" s="46">
        <v>1.276432</v>
      </c>
      <c r="M261" s="9"/>
      <c r="N261" s="9"/>
      <c r="O261" s="7"/>
      <c r="P261" s="7"/>
      <c r="T261" s="7"/>
      <c r="U261" s="7"/>
    </row>
    <row r="262" spans="1:21" x14ac:dyDescent="0.25">
      <c r="A262" s="49"/>
      <c r="B262" s="47"/>
      <c r="C262" s="47"/>
      <c r="D262" s="47"/>
      <c r="E262" s="47"/>
      <c r="F262" s="47"/>
      <c r="G262" s="47"/>
      <c r="M262" s="9"/>
      <c r="N262" s="9"/>
      <c r="O262" s="7"/>
      <c r="P262" s="7"/>
      <c r="T262" s="7"/>
      <c r="U262" s="7"/>
    </row>
    <row r="263" spans="1:21" x14ac:dyDescent="0.25">
      <c r="A263" s="49" t="s">
        <v>113</v>
      </c>
      <c r="B263" s="47"/>
      <c r="C263" s="47"/>
      <c r="D263" s="47"/>
      <c r="E263" s="47"/>
      <c r="F263" s="47"/>
      <c r="G263" s="47"/>
      <c r="M263" s="9"/>
      <c r="N263" s="9"/>
      <c r="O263" s="7"/>
      <c r="P263" s="7"/>
      <c r="T263" s="7"/>
      <c r="U263" s="7"/>
    </row>
    <row r="264" spans="1:21" x14ac:dyDescent="0.25">
      <c r="A264" s="49">
        <v>2</v>
      </c>
      <c r="B264" s="46">
        <v>1.0593790000000001</v>
      </c>
      <c r="C264" s="46">
        <v>2.09313E-2</v>
      </c>
      <c r="D264" s="46">
        <v>2.92</v>
      </c>
      <c r="E264" s="46">
        <v>4.0000000000000001E-3</v>
      </c>
      <c r="F264" s="46">
        <v>1.019139</v>
      </c>
      <c r="G264" s="46">
        <v>1.1012090000000001</v>
      </c>
      <c r="M264" s="9"/>
      <c r="N264" s="9"/>
      <c r="O264" s="7"/>
      <c r="P264" s="7"/>
      <c r="T264" s="7"/>
      <c r="U264" s="7"/>
    </row>
    <row r="265" spans="1:21" x14ac:dyDescent="0.25">
      <c r="A265" s="49">
        <v>3</v>
      </c>
      <c r="B265" s="46">
        <v>1.7220629999999999</v>
      </c>
      <c r="C265" s="46">
        <v>8.5442100000000007E-2</v>
      </c>
      <c r="D265" s="46">
        <v>10.95</v>
      </c>
      <c r="E265" s="46">
        <v>0</v>
      </c>
      <c r="F265" s="46">
        <v>1.5624849999999999</v>
      </c>
      <c r="G265" s="46">
        <v>1.89794</v>
      </c>
      <c r="M265" s="7"/>
      <c r="N265" s="7"/>
      <c r="O265" s="7"/>
      <c r="P265" s="7"/>
      <c r="T265" s="7"/>
      <c r="U265" s="7"/>
    </row>
    <row r="266" spans="1:21" x14ac:dyDescent="0.25">
      <c r="A266" s="49"/>
      <c r="B266" s="47"/>
      <c r="C266" s="47"/>
      <c r="D266" s="47"/>
      <c r="E266" s="47"/>
      <c r="F266" s="47"/>
      <c r="G266" s="47"/>
      <c r="M266" s="7"/>
      <c r="N266" s="7"/>
      <c r="O266" s="7"/>
      <c r="P266" s="7"/>
      <c r="T266" s="7"/>
      <c r="U266" s="7"/>
    </row>
    <row r="267" spans="1:21" x14ac:dyDescent="0.25">
      <c r="A267" s="49" t="s">
        <v>108</v>
      </c>
      <c r="B267" s="47"/>
      <c r="C267" s="47"/>
      <c r="D267" s="47"/>
      <c r="E267" s="47"/>
      <c r="F267" s="47"/>
      <c r="G267" s="47"/>
      <c r="M267" s="7"/>
      <c r="N267" s="7"/>
      <c r="O267" s="7"/>
      <c r="P267" s="7"/>
      <c r="T267" s="7"/>
      <c r="U267" s="7"/>
    </row>
    <row r="268" spans="1:21" x14ac:dyDescent="0.25">
      <c r="A268" s="49">
        <v>2</v>
      </c>
      <c r="B268" s="46">
        <v>1.3173349999999999</v>
      </c>
      <c r="C268" s="46">
        <v>2.6232499999999999E-2</v>
      </c>
      <c r="D268" s="46">
        <v>13.84</v>
      </c>
      <c r="E268" s="46">
        <v>0</v>
      </c>
      <c r="F268" s="46">
        <v>1.26691</v>
      </c>
      <c r="G268" s="46">
        <v>1.369766</v>
      </c>
      <c r="M268" s="9"/>
      <c r="N268" s="9"/>
      <c r="O268" s="7"/>
      <c r="P268" s="7"/>
      <c r="T268" s="7"/>
      <c r="U268" s="7"/>
    </row>
    <row r="269" spans="1:21" x14ac:dyDescent="0.25">
      <c r="A269" s="49" t="s">
        <v>109</v>
      </c>
      <c r="B269" s="46">
        <v>1.9963690000000001</v>
      </c>
      <c r="C269" s="46">
        <v>4.9095300000000001E-2</v>
      </c>
      <c r="D269" s="46">
        <v>28.11</v>
      </c>
      <c r="E269" s="46">
        <v>0</v>
      </c>
      <c r="F269" s="46">
        <v>1.902426</v>
      </c>
      <c r="G269" s="46">
        <v>2.0949499999999999</v>
      </c>
      <c r="M269" s="7"/>
      <c r="N269" s="7"/>
      <c r="T269" s="7"/>
      <c r="U269" s="7"/>
    </row>
    <row r="270" spans="1:21" x14ac:dyDescent="0.25">
      <c r="A270" s="49"/>
      <c r="B270" s="47"/>
      <c r="C270" s="47"/>
      <c r="D270" s="47"/>
      <c r="E270" s="47"/>
      <c r="F270" s="47"/>
      <c r="G270" s="47"/>
      <c r="M270" s="7"/>
      <c r="N270" s="7"/>
      <c r="T270" s="7"/>
      <c r="U270" s="7"/>
    </row>
    <row r="271" spans="1:21" x14ac:dyDescent="0.25">
      <c r="A271" s="49" t="s">
        <v>84</v>
      </c>
      <c r="B271" s="47"/>
      <c r="C271" s="47"/>
      <c r="D271" s="47"/>
      <c r="E271" s="47"/>
      <c r="F271" s="47"/>
      <c r="G271" s="47"/>
      <c r="M271" s="7"/>
      <c r="N271" s="7"/>
      <c r="T271" s="7"/>
      <c r="U271" s="7"/>
    </row>
    <row r="272" spans="1:21" x14ac:dyDescent="0.25">
      <c r="A272" s="38" t="s">
        <v>315</v>
      </c>
      <c r="B272" s="46">
        <v>0.42757040000000002</v>
      </c>
      <c r="C272" s="46">
        <v>9.1424999999999996E-3</v>
      </c>
      <c r="D272" s="46">
        <v>-39.74</v>
      </c>
      <c r="E272" s="46">
        <v>0</v>
      </c>
      <c r="F272" s="46">
        <v>0.41002179999999999</v>
      </c>
      <c r="G272" s="46">
        <v>0.44587009999999999</v>
      </c>
      <c r="M272" s="7"/>
      <c r="N272" s="7"/>
      <c r="T272" s="7"/>
      <c r="U272" s="7"/>
    </row>
    <row r="273" spans="1:14" x14ac:dyDescent="0.25">
      <c r="A273" s="38" t="s">
        <v>316</v>
      </c>
      <c r="B273" s="46">
        <v>0.28593229999999997</v>
      </c>
      <c r="C273" s="46">
        <v>8.8666000000000005E-3</v>
      </c>
      <c r="D273" s="46">
        <v>-40.380000000000003</v>
      </c>
      <c r="E273" s="46">
        <v>0</v>
      </c>
      <c r="F273" s="46">
        <v>0.26907170000000002</v>
      </c>
      <c r="G273" s="46">
        <v>0.30384939999999999</v>
      </c>
      <c r="M273" s="7"/>
      <c r="N273" s="7"/>
    </row>
    <row r="274" spans="1:14" x14ac:dyDescent="0.25">
      <c r="A274" s="38" t="s">
        <v>317</v>
      </c>
      <c r="B274" s="46">
        <v>0.2137985</v>
      </c>
      <c r="C274" s="46">
        <v>7.4888999999999997E-3</v>
      </c>
      <c r="D274" s="46">
        <v>-44.04</v>
      </c>
      <c r="E274" s="46">
        <v>0</v>
      </c>
      <c r="F274" s="46">
        <v>0.19961309999999999</v>
      </c>
      <c r="G274" s="46">
        <v>0.228992</v>
      </c>
      <c r="M274" s="7"/>
      <c r="N274" s="7"/>
    </row>
    <row r="275" spans="1:14" x14ac:dyDescent="0.25">
      <c r="A275" s="38" t="s">
        <v>82</v>
      </c>
      <c r="B275" s="46">
        <v>0.2621501</v>
      </c>
      <c r="C275" s="46">
        <v>1.0489E-2</v>
      </c>
      <c r="D275" s="46">
        <v>-33.46</v>
      </c>
      <c r="E275" s="46">
        <v>0</v>
      </c>
      <c r="F275" s="46">
        <v>0.2423775</v>
      </c>
      <c r="G275" s="46">
        <v>0.2835358</v>
      </c>
      <c r="M275" s="7"/>
      <c r="N275" s="7"/>
    </row>
    <row r="276" spans="1:14" x14ac:dyDescent="0.25">
      <c r="A276" s="49"/>
      <c r="B276" s="47"/>
      <c r="C276" s="47"/>
      <c r="D276" s="47"/>
      <c r="E276" s="47"/>
      <c r="F276" s="47"/>
      <c r="G276" s="47"/>
      <c r="M276" s="7"/>
      <c r="N276" s="7"/>
    </row>
    <row r="277" spans="1:14" x14ac:dyDescent="0.25">
      <c r="A277" s="49" t="s">
        <v>100</v>
      </c>
      <c r="B277" s="47"/>
      <c r="C277" s="47"/>
      <c r="D277" s="47"/>
      <c r="E277" s="47"/>
      <c r="F277" s="47"/>
      <c r="G277" s="47"/>
      <c r="M277" s="7"/>
      <c r="N277" s="7"/>
    </row>
    <row r="278" spans="1:14" x14ac:dyDescent="0.25">
      <c r="A278" s="49" t="s">
        <v>154</v>
      </c>
      <c r="B278" s="46">
        <v>2.3631099999999999E-2</v>
      </c>
      <c r="C278" s="46">
        <v>3.8614000000000001E-3</v>
      </c>
      <c r="D278" s="46">
        <v>-22.92</v>
      </c>
      <c r="E278" s="46">
        <v>0</v>
      </c>
      <c r="F278" s="46">
        <f>B278-0.0171552</f>
        <v>6.4758999999999997E-3</v>
      </c>
      <c r="G278" s="46">
        <f>0.0325518-B278</f>
        <v>8.9207000000000002E-3</v>
      </c>
      <c r="M278" s="7"/>
      <c r="N278" s="7"/>
    </row>
    <row r="279" spans="1:14" x14ac:dyDescent="0.25">
      <c r="A279" s="49" t="s">
        <v>155</v>
      </c>
      <c r="B279" s="46">
        <v>3.6428500000000003E-2</v>
      </c>
      <c r="C279" s="46">
        <v>4.2357999999999996E-3</v>
      </c>
      <c r="D279" s="46">
        <v>-28.49</v>
      </c>
      <c r="E279" s="46">
        <v>0</v>
      </c>
      <c r="F279" s="46">
        <f>B279-0.0290045</f>
        <v>7.4240000000000035E-3</v>
      </c>
      <c r="G279" s="46">
        <f>0.0457527-B279</f>
        <v>9.3241999999999978E-3</v>
      </c>
      <c r="M279" s="7"/>
      <c r="N279" s="7"/>
    </row>
    <row r="280" spans="1:14" x14ac:dyDescent="0.25">
      <c r="A280" s="49" t="s">
        <v>156</v>
      </c>
      <c r="B280" s="46">
        <v>9.27954E-2</v>
      </c>
      <c r="C280" s="46">
        <v>8.6277999999999997E-3</v>
      </c>
      <c r="D280" s="46">
        <v>-25.57</v>
      </c>
      <c r="E280" s="46">
        <v>0</v>
      </c>
      <c r="F280" s="46">
        <f>B280-0.0773364</f>
        <v>1.5459000000000001E-2</v>
      </c>
      <c r="G280" s="46">
        <f>0.1113445-B280</f>
        <v>1.8549099999999999E-2</v>
      </c>
      <c r="M280" s="7"/>
      <c r="N280" s="7"/>
    </row>
    <row r="281" spans="1:14" x14ac:dyDescent="0.25">
      <c r="A281" s="49" t="s">
        <v>157</v>
      </c>
      <c r="B281" s="46">
        <v>9.4792399999999999E-2</v>
      </c>
      <c r="C281" s="46">
        <v>7.5033000000000001E-3</v>
      </c>
      <c r="D281" s="46">
        <v>-29.77</v>
      </c>
      <c r="E281" s="46">
        <v>0</v>
      </c>
      <c r="F281" s="46">
        <f>B281-0.0811702</f>
        <v>1.3622200000000001E-2</v>
      </c>
      <c r="G281" s="46">
        <f>0.1107009-B281</f>
        <v>1.5908500000000006E-2</v>
      </c>
    </row>
    <row r="282" spans="1:14" x14ac:dyDescent="0.25">
      <c r="A282" s="49" t="s">
        <v>158</v>
      </c>
      <c r="B282" s="46">
        <v>0.12564839999999999</v>
      </c>
      <c r="C282" s="46">
        <v>1.0507499999999999E-2</v>
      </c>
      <c r="D282" s="46">
        <v>-24.8</v>
      </c>
      <c r="E282" s="46">
        <v>0</v>
      </c>
      <c r="F282" s="46">
        <f>B282-0.1066533</f>
        <v>1.8995099999999987E-2</v>
      </c>
      <c r="G282" s="46">
        <f>0.1480266-B282</f>
        <v>2.2378200000000015E-2</v>
      </c>
    </row>
    <row r="283" spans="1:14" x14ac:dyDescent="0.25">
      <c r="A283" s="49" t="s">
        <v>159</v>
      </c>
      <c r="B283" s="46">
        <v>0.12103659999999999</v>
      </c>
      <c r="C283" s="46">
        <v>8.9169999999999996E-3</v>
      </c>
      <c r="D283" s="46">
        <v>-28.66</v>
      </c>
      <c r="E283" s="46">
        <v>0</v>
      </c>
      <c r="F283" s="46">
        <f>B283-0.1047628</f>
        <v>1.6273799999999991E-2</v>
      </c>
      <c r="G283" s="46">
        <f>0.1398384-B283</f>
        <v>1.8801800000000007E-2</v>
      </c>
    </row>
    <row r="284" spans="1:14" x14ac:dyDescent="0.25">
      <c r="A284" s="49" t="s">
        <v>160</v>
      </c>
      <c r="B284" s="46">
        <v>0.31873200000000002</v>
      </c>
      <c r="C284" s="46">
        <v>2.08138E-2</v>
      </c>
      <c r="D284" s="46">
        <v>-17.510000000000002</v>
      </c>
      <c r="E284" s="46">
        <v>0</v>
      </c>
      <c r="F284" s="46">
        <f>B284-0.2804404</f>
        <v>3.8291600000000037E-2</v>
      </c>
      <c r="G284" s="46">
        <f>0.362252-B284</f>
        <v>4.3520000000000003E-2</v>
      </c>
    </row>
    <row r="285" spans="1:14" x14ac:dyDescent="0.25">
      <c r="A285" s="49" t="s">
        <v>161</v>
      </c>
      <c r="B285" s="46">
        <v>0.37290250000000003</v>
      </c>
      <c r="C285" s="46">
        <v>2.0973800000000001E-2</v>
      </c>
      <c r="D285" s="46">
        <v>-17.54</v>
      </c>
      <c r="E285" s="46">
        <v>0</v>
      </c>
      <c r="F285" s="46">
        <f>B285-0.3339795</f>
        <v>3.8923000000000041E-2</v>
      </c>
      <c r="G285" s="46">
        <f>0.4163617-B285</f>
        <v>4.3459199999999976E-2</v>
      </c>
    </row>
    <row r="286" spans="1:14" x14ac:dyDescent="0.25">
      <c r="A286" s="49" t="s">
        <v>189</v>
      </c>
      <c r="B286" s="46">
        <v>1.2069160000000001</v>
      </c>
      <c r="C286" s="46">
        <v>8.2523399999999997E-2</v>
      </c>
      <c r="D286" s="46">
        <v>2.75</v>
      </c>
      <c r="E286" s="46">
        <v>6.0000000000000001E-3</v>
      </c>
      <c r="F286" s="46">
        <f>B286-1.055543</f>
        <v>0.1513730000000002</v>
      </c>
      <c r="G286" s="46">
        <f>1.379998-B286</f>
        <v>0.17308199999999996</v>
      </c>
    </row>
    <row r="287" spans="1:14" x14ac:dyDescent="0.25">
      <c r="A287" s="49" t="s">
        <v>162</v>
      </c>
      <c r="B287" s="46">
        <v>1.2722560000000001</v>
      </c>
      <c r="C287" s="46">
        <v>6.4108100000000001E-2</v>
      </c>
      <c r="D287" s="46">
        <v>4.78</v>
      </c>
      <c r="E287" s="46">
        <v>0</v>
      </c>
      <c r="F287" s="46">
        <f>B287-1.152611</f>
        <v>0.119645</v>
      </c>
      <c r="G287" s="46">
        <f>1.404319-B287</f>
        <v>0.13206300000000004</v>
      </c>
    </row>
    <row r="288" spans="1:14" x14ac:dyDescent="0.25">
      <c r="A288" s="49" t="s">
        <v>163</v>
      </c>
      <c r="B288" s="46">
        <v>1</v>
      </c>
      <c r="C288" s="46"/>
      <c r="D288" s="46"/>
      <c r="E288" s="46"/>
      <c r="F288" s="46">
        <v>0</v>
      </c>
      <c r="G288" s="46">
        <v>0</v>
      </c>
    </row>
    <row r="289" spans="1:7" x14ac:dyDescent="0.25">
      <c r="A289" s="49" t="s">
        <v>164</v>
      </c>
      <c r="B289" s="46">
        <v>0.90914569999999995</v>
      </c>
      <c r="C289" s="46">
        <v>4.5370500000000001E-2</v>
      </c>
      <c r="D289" s="46">
        <v>-1.91</v>
      </c>
      <c r="E289" s="46">
        <v>5.6000000000000001E-2</v>
      </c>
      <c r="F289" s="46">
        <f>B289-0.8244316</f>
        <v>8.4714099999999903E-2</v>
      </c>
      <c r="G289" s="46">
        <f>1.002565-B289</f>
        <v>9.3419299999999983E-2</v>
      </c>
    </row>
    <row r="290" spans="1:7" x14ac:dyDescent="0.25">
      <c r="A290" s="49" t="s">
        <v>165</v>
      </c>
      <c r="B290" s="46">
        <v>2.5360199999999999E-2</v>
      </c>
      <c r="C290" s="46">
        <v>4.0046999999999999E-3</v>
      </c>
      <c r="D290" s="46">
        <v>-23.27</v>
      </c>
      <c r="E290" s="46">
        <v>0</v>
      </c>
      <c r="F290" s="46">
        <f>B290-0.0186096</f>
        <v>6.750599999999999E-3</v>
      </c>
      <c r="G290" s="46">
        <f>0.0345597-B290</f>
        <v>9.1994999999999993E-3</v>
      </c>
    </row>
    <row r="291" spans="1:7" x14ac:dyDescent="0.25">
      <c r="A291" s="49" t="s">
        <v>166</v>
      </c>
      <c r="B291" s="46">
        <v>4.8571299999999998E-2</v>
      </c>
      <c r="C291" s="46">
        <v>4.8874000000000001E-3</v>
      </c>
      <c r="D291" s="46">
        <v>-30.06</v>
      </c>
      <c r="E291" s="46">
        <v>0</v>
      </c>
      <c r="F291" s="46">
        <f>B291-0.0398776</f>
        <v>8.6936999999999987E-3</v>
      </c>
      <c r="G291" s="46">
        <f>0.0591604-B291</f>
        <v>1.0589100000000004E-2</v>
      </c>
    </row>
    <row r="292" spans="1:7" x14ac:dyDescent="0.25">
      <c r="A292" s="49" t="s">
        <v>167</v>
      </c>
      <c r="B292" s="46">
        <v>9.2218999999999995E-2</v>
      </c>
      <c r="C292" s="46">
        <v>8.8383000000000003E-3</v>
      </c>
      <c r="D292" s="46">
        <v>-24.87</v>
      </c>
      <c r="E292" s="46">
        <v>0</v>
      </c>
      <c r="F292" s="46">
        <f>B292-0.0764261</f>
        <v>1.5792899999999999E-2</v>
      </c>
      <c r="G292" s="46">
        <f>0.1112755-B292</f>
        <v>1.9056500000000004E-2</v>
      </c>
    </row>
    <row r="293" spans="1:7" x14ac:dyDescent="0.25">
      <c r="A293" s="49" t="s">
        <v>168</v>
      </c>
      <c r="B293" s="46">
        <v>0.10928549999999999</v>
      </c>
      <c r="C293" s="46">
        <v>8.3745E-3</v>
      </c>
      <c r="D293" s="46">
        <v>-28.89</v>
      </c>
      <c r="E293" s="46">
        <v>0</v>
      </c>
      <c r="F293" s="46">
        <f>B293-0.0940449</f>
        <v>1.5240599999999993E-2</v>
      </c>
      <c r="G293" s="46">
        <f>0.1269959-B293</f>
        <v>1.7710400000000001E-2</v>
      </c>
    </row>
    <row r="294" spans="1:7" x14ac:dyDescent="0.25">
      <c r="A294" s="49" t="s">
        <v>169</v>
      </c>
      <c r="B294" s="46">
        <v>0.2564842</v>
      </c>
      <c r="C294" s="46">
        <v>2.34159E-2</v>
      </c>
      <c r="D294" s="46">
        <v>-14.9</v>
      </c>
      <c r="E294" s="46">
        <v>0</v>
      </c>
      <c r="F294" s="46">
        <f>B294-0.2144615</f>
        <v>4.2022699999999996E-2</v>
      </c>
      <c r="G294" s="46">
        <f>0.3067409-B294</f>
        <v>5.0256699999999987E-2</v>
      </c>
    </row>
    <row r="295" spans="1:7" x14ac:dyDescent="0.25">
      <c r="A295" s="49" t="s">
        <v>170</v>
      </c>
      <c r="B295" s="46">
        <v>0.24168149999999999</v>
      </c>
      <c r="C295" s="46">
        <v>1.5973000000000001E-2</v>
      </c>
      <c r="D295" s="46">
        <v>-21.49</v>
      </c>
      <c r="E295" s="46">
        <v>0</v>
      </c>
      <c r="F295" s="46">
        <f>B295-0.2123179</f>
        <v>2.936359999999999E-2</v>
      </c>
      <c r="G295" s="46">
        <f>0.2751062-B295</f>
        <v>3.3424700000000029E-2</v>
      </c>
    </row>
    <row r="296" spans="1:7" x14ac:dyDescent="0.25">
      <c r="A296" s="49" t="s">
        <v>171</v>
      </c>
      <c r="B296" s="46">
        <v>9.9778999999999996E-3</v>
      </c>
      <c r="C296" s="46">
        <v>2.7921000000000001E-3</v>
      </c>
      <c r="D296" s="46">
        <v>-16.47</v>
      </c>
      <c r="E296" s="46">
        <v>0</v>
      </c>
      <c r="F296" s="46">
        <f>B296-0.0057657</f>
        <v>4.2121999999999993E-3</v>
      </c>
      <c r="G296" s="46">
        <f>0.0172674-B296</f>
        <v>7.2894999999999991E-3</v>
      </c>
    </row>
    <row r="297" spans="1:7" x14ac:dyDescent="0.25">
      <c r="A297" s="49" t="s">
        <v>172</v>
      </c>
      <c r="B297" s="46">
        <v>2.9594700000000002E-2</v>
      </c>
      <c r="C297" s="46">
        <v>6.8716000000000003E-3</v>
      </c>
      <c r="D297" s="46">
        <v>-15.16</v>
      </c>
      <c r="E297" s="46">
        <v>0</v>
      </c>
      <c r="F297" s="46">
        <f>B297-0.0187748</f>
        <v>1.08199E-2</v>
      </c>
      <c r="G297" s="46">
        <f>0.0466502-B297</f>
        <v>1.7055500000000001E-2</v>
      </c>
    </row>
    <row r="298" spans="1:7" x14ac:dyDescent="0.25">
      <c r="A298" s="49" t="s">
        <v>173</v>
      </c>
      <c r="B298" s="46">
        <v>2.6096000000000001E-2</v>
      </c>
      <c r="C298" s="46">
        <v>4.5988000000000001E-3</v>
      </c>
      <c r="D298" s="46">
        <v>-20.69</v>
      </c>
      <c r="E298" s="46">
        <v>0</v>
      </c>
      <c r="F298" s="46">
        <f>B298-0.0184745</f>
        <v>7.6214999999999998E-3</v>
      </c>
      <c r="G298" s="46">
        <f>0.0368618-B298</f>
        <v>1.0765799999999999E-2</v>
      </c>
    </row>
    <row r="299" spans="1:7" x14ac:dyDescent="0.25">
      <c r="A299" s="49" t="s">
        <v>174</v>
      </c>
      <c r="B299" s="46">
        <v>2.0249E-2</v>
      </c>
      <c r="C299" s="46">
        <v>5.6959000000000003E-3</v>
      </c>
      <c r="D299" s="46">
        <v>-13.86</v>
      </c>
      <c r="E299" s="46">
        <v>0</v>
      </c>
      <c r="F299" s="46">
        <f>B299-0.0116672</f>
        <v>8.5817999999999988E-3</v>
      </c>
      <c r="G299" s="46">
        <f>0.0351433-B299</f>
        <v>1.4894300000000003E-2</v>
      </c>
    </row>
    <row r="300" spans="1:7" x14ac:dyDescent="0.25">
      <c r="A300" s="49" t="s">
        <v>175</v>
      </c>
      <c r="B300" s="46">
        <v>4.0679100000000003E-2</v>
      </c>
      <c r="C300" s="46">
        <v>5.9271999999999997E-3</v>
      </c>
      <c r="D300" s="46">
        <v>-21.98</v>
      </c>
      <c r="E300" s="46">
        <v>0</v>
      </c>
      <c r="F300" s="46">
        <f>B300-0.0305736</f>
        <v>1.0105500000000003E-2</v>
      </c>
      <c r="G300" s="46">
        <f>0.0541247-B300</f>
        <v>1.3445599999999995E-2</v>
      </c>
    </row>
    <row r="301" spans="1:7" x14ac:dyDescent="0.25">
      <c r="A301" s="49" t="s">
        <v>176</v>
      </c>
      <c r="B301" s="46">
        <v>7.0092699999999994E-2</v>
      </c>
      <c r="C301" s="46">
        <v>1.08755E-2</v>
      </c>
      <c r="D301" s="46">
        <v>-17.13</v>
      </c>
      <c r="E301" s="46">
        <v>0</v>
      </c>
      <c r="F301" s="46">
        <f>B301-0.0517132</f>
        <v>1.8379499999999993E-2</v>
      </c>
      <c r="G301" s="46">
        <f>0.0950045-B301</f>
        <v>2.4911800000000012E-2</v>
      </c>
    </row>
    <row r="302" spans="1:7" x14ac:dyDescent="0.25">
      <c r="A302" s="49" t="s">
        <v>177</v>
      </c>
      <c r="B302" s="46">
        <v>0.16041359999999999</v>
      </c>
      <c r="C302" s="46">
        <v>1.3157200000000001E-2</v>
      </c>
      <c r="D302" s="46">
        <v>-22.31</v>
      </c>
      <c r="E302" s="46">
        <v>0</v>
      </c>
      <c r="F302" s="46">
        <f>B302-0.1365921</f>
        <v>2.3821499999999995E-2</v>
      </c>
      <c r="G302" s="46">
        <f>0.1883896-B302</f>
        <v>2.7976000000000001E-2</v>
      </c>
    </row>
    <row r="303" spans="1:7" x14ac:dyDescent="0.25">
      <c r="A303" s="49" t="s">
        <v>178</v>
      </c>
      <c r="B303" s="46">
        <v>0.31463839999999998</v>
      </c>
      <c r="C303" s="46">
        <v>2.6238299999999999E-2</v>
      </c>
      <c r="D303" s="46">
        <v>-13.87</v>
      </c>
      <c r="E303" s="46">
        <v>0</v>
      </c>
      <c r="F303" s="46">
        <f>B303-0.2671951</f>
        <v>4.7443299999999966E-2</v>
      </c>
      <c r="G303" s="46">
        <f>0.3705058-B303</f>
        <v>5.5867400000000011E-2</v>
      </c>
    </row>
    <row r="304" spans="1:7" x14ac:dyDescent="0.25">
      <c r="A304" s="49" t="s">
        <v>179</v>
      </c>
      <c r="B304" s="46">
        <v>0.41600090000000001</v>
      </c>
      <c r="C304" s="46">
        <v>4.0279099999999998E-2</v>
      </c>
      <c r="D304" s="46">
        <v>-9.06</v>
      </c>
      <c r="E304" s="46">
        <v>0</v>
      </c>
      <c r="F304" s="46">
        <f>B304-0.344094</f>
        <v>7.1906899999999996E-2</v>
      </c>
      <c r="G304" s="46">
        <f>0.5029346-B304</f>
        <v>8.6933700000000003E-2</v>
      </c>
    </row>
    <row r="305" spans="1:22" x14ac:dyDescent="0.25">
      <c r="A305" s="49" t="s">
        <v>180</v>
      </c>
      <c r="B305" s="46">
        <v>0.96260659999999998</v>
      </c>
      <c r="C305" s="46">
        <v>6.8385600000000005E-2</v>
      </c>
      <c r="D305" s="46">
        <v>-0.54</v>
      </c>
      <c r="E305" s="46">
        <v>0.59199999999999997</v>
      </c>
      <c r="F305" s="46">
        <f>B305-0.8374862</f>
        <v>0.12512040000000002</v>
      </c>
      <c r="G305" s="46">
        <f>1.10642-B305</f>
        <v>0.14381339999999998</v>
      </c>
    </row>
    <row r="306" spans="1:22" x14ac:dyDescent="0.25">
      <c r="A306" s="49" t="s">
        <v>181</v>
      </c>
      <c r="B306" s="46">
        <v>0.49812659999999997</v>
      </c>
      <c r="C306" s="46">
        <v>4.1882799999999998E-2</v>
      </c>
      <c r="D306" s="46">
        <v>-8.2899999999999991</v>
      </c>
      <c r="E306" s="46">
        <v>0</v>
      </c>
      <c r="F306" s="46">
        <f>B306-0.422445</f>
        <v>7.568159999999996E-2</v>
      </c>
      <c r="G306" s="46">
        <f>0.5873666-B306</f>
        <v>8.9239999999999986E-2</v>
      </c>
    </row>
    <row r="307" spans="1:22" x14ac:dyDescent="0.25">
      <c r="A307" s="49" t="s">
        <v>182</v>
      </c>
      <c r="B307" s="46">
        <v>0.75232849999999996</v>
      </c>
      <c r="C307" s="46">
        <v>5.0698600000000003E-2</v>
      </c>
      <c r="D307" s="46">
        <v>-4.22</v>
      </c>
      <c r="E307" s="46">
        <v>0</v>
      </c>
      <c r="F307" s="46">
        <f>B307-0.6592436</f>
        <v>9.3084899999999915E-2</v>
      </c>
      <c r="G307" s="46">
        <f>0.8585568-B307</f>
        <v>0.10622830000000005</v>
      </c>
    </row>
    <row r="308" spans="1:22" x14ac:dyDescent="0.25">
      <c r="A308" s="49" t="s">
        <v>183</v>
      </c>
      <c r="B308" s="46">
        <v>2.6096000000000001E-2</v>
      </c>
      <c r="C308" s="46">
        <v>4.5783999999999998E-3</v>
      </c>
      <c r="D308" s="46">
        <v>-20.78</v>
      </c>
      <c r="E308" s="46">
        <v>0</v>
      </c>
      <c r="F308" s="46">
        <f>B308-0.0185027</f>
        <v>7.5933000000000007E-3</v>
      </c>
      <c r="G308" s="46">
        <f>0.0368056-B308</f>
        <v>1.07096E-2</v>
      </c>
    </row>
    <row r="309" spans="1:22" x14ac:dyDescent="0.25">
      <c r="A309" s="49" t="s">
        <v>184</v>
      </c>
      <c r="B309" s="46">
        <v>2.9594700000000002E-2</v>
      </c>
      <c r="C309" s="46">
        <v>6.8812999999999999E-3</v>
      </c>
      <c r="D309" s="46">
        <v>-15.14</v>
      </c>
      <c r="E309" s="46">
        <v>0</v>
      </c>
      <c r="F309" s="46">
        <f>B309-0.0187627</f>
        <v>1.0832000000000001E-2</v>
      </c>
      <c r="G309" s="46">
        <f>0.0466802-B309</f>
        <v>1.7085499999999997E-2</v>
      </c>
    </row>
    <row r="310" spans="1:22" x14ac:dyDescent="0.25">
      <c r="A310" s="49" t="s">
        <v>185</v>
      </c>
      <c r="B310" s="46">
        <v>5.9099800000000001E-2</v>
      </c>
      <c r="C310" s="46">
        <v>7.1155000000000003E-3</v>
      </c>
      <c r="D310" s="46">
        <v>-23.49</v>
      </c>
      <c r="E310" s="46">
        <v>0</v>
      </c>
      <c r="F310" s="46">
        <f>B310-0.046677</f>
        <v>1.2422799999999998E-2</v>
      </c>
      <c r="G310" s="46">
        <f>0.0748287-B310</f>
        <v>1.5728899999999997E-2</v>
      </c>
    </row>
    <row r="311" spans="1:22" x14ac:dyDescent="0.25">
      <c r="A311" s="49" t="s">
        <v>186</v>
      </c>
      <c r="B311" s="46">
        <v>5.9189400000000003E-2</v>
      </c>
      <c r="C311" s="46">
        <v>9.9097000000000005E-3</v>
      </c>
      <c r="D311" s="46">
        <v>-16.89</v>
      </c>
      <c r="E311" s="46">
        <v>0</v>
      </c>
      <c r="F311" s="46">
        <f>B311-0.0426318</f>
        <v>1.6557600000000006E-2</v>
      </c>
      <c r="G311" s="46">
        <f>0.0821778-B311</f>
        <v>2.2988399999999992E-2</v>
      </c>
    </row>
    <row r="312" spans="1:22" x14ac:dyDescent="0.25">
      <c r="A312" s="49" t="s">
        <v>187</v>
      </c>
      <c r="B312" s="46">
        <v>0.12126960000000001</v>
      </c>
      <c r="C312" s="46">
        <v>1.3893300000000001E-2</v>
      </c>
      <c r="D312" s="46">
        <v>-18.420000000000002</v>
      </c>
      <c r="E312" s="46">
        <v>0</v>
      </c>
      <c r="F312" s="46">
        <f>B312-0.09688</f>
        <v>2.4389600000000011E-2</v>
      </c>
      <c r="G312" s="46">
        <f>0.1517994-B312</f>
        <v>3.0529799999999996E-2</v>
      </c>
    </row>
    <row r="313" spans="1:22" x14ac:dyDescent="0.25">
      <c r="A313" s="49" t="s">
        <v>188</v>
      </c>
      <c r="B313" s="46">
        <v>0.24921850000000001</v>
      </c>
      <c r="C313" s="46">
        <v>2.3852600000000002E-2</v>
      </c>
      <c r="D313" s="46">
        <v>-14.52</v>
      </c>
      <c r="E313" s="46">
        <v>0</v>
      </c>
      <c r="F313" s="46">
        <f>B313-0.2065914</f>
        <v>4.2627100000000001E-2</v>
      </c>
      <c r="G313" s="46">
        <f>0.3006412-B313</f>
        <v>5.1422699999999988E-2</v>
      </c>
    </row>
    <row r="314" spans="1:22" x14ac:dyDescent="0.25">
      <c r="A314" s="49"/>
      <c r="B314" s="47"/>
      <c r="C314" s="47"/>
      <c r="D314" s="47"/>
      <c r="E314" s="47"/>
      <c r="F314" s="47"/>
      <c r="G314" s="47"/>
    </row>
    <row r="315" spans="1:22" x14ac:dyDescent="0.25">
      <c r="A315" s="50" t="s">
        <v>6</v>
      </c>
      <c r="B315" s="48">
        <v>1.32341E-2</v>
      </c>
      <c r="C315" s="48">
        <v>6.0709999999999996E-4</v>
      </c>
      <c r="D315" s="48">
        <v>-94.29</v>
      </c>
      <c r="E315" s="48">
        <v>0</v>
      </c>
      <c r="F315" s="48">
        <v>1.20962E-2</v>
      </c>
      <c r="G315" s="48">
        <v>1.4479000000000001E-2</v>
      </c>
    </row>
    <row r="316" spans="1:22" x14ac:dyDescent="0.25">
      <c r="U316" s="46"/>
      <c r="V316" s="46"/>
    </row>
    <row r="317" spans="1:22" ht="15.75" thickBot="1" x14ac:dyDescent="0.3">
      <c r="M317" s="7"/>
      <c r="N317" s="7"/>
      <c r="O317" s="7"/>
      <c r="P317" s="7"/>
      <c r="Q317" s="7"/>
      <c r="R317" s="7"/>
      <c r="T317" s="7"/>
      <c r="U317" s="46"/>
      <c r="V317" s="46"/>
    </row>
    <row r="318" spans="1:22" x14ac:dyDescent="0.25">
      <c r="A318" s="10"/>
      <c r="B318" s="11"/>
      <c r="C318" s="11" t="s">
        <v>9</v>
      </c>
      <c r="D318" s="11" t="s">
        <v>10</v>
      </c>
      <c r="E318" s="11" t="s">
        <v>40</v>
      </c>
      <c r="F318" s="11" t="s">
        <v>11</v>
      </c>
      <c r="G318" s="11" t="s">
        <v>7</v>
      </c>
      <c r="H318" s="11" t="s">
        <v>8</v>
      </c>
      <c r="I318" s="11" t="s">
        <v>62</v>
      </c>
      <c r="J318" s="11" t="s">
        <v>63</v>
      </c>
      <c r="K318" s="12" t="s">
        <v>64</v>
      </c>
      <c r="M318" s="7"/>
      <c r="N318" s="46">
        <v>6.4758999999999997E-3</v>
      </c>
      <c r="O318" s="46">
        <v>8.9207000000000002E-3</v>
      </c>
      <c r="P318" s="46">
        <v>3.8291600000000037E-2</v>
      </c>
      <c r="Q318" s="46">
        <v>4.3520000000000003E-2</v>
      </c>
      <c r="R318" s="46">
        <v>6.750599999999999E-3</v>
      </c>
      <c r="S318" s="46">
        <v>9.1994999999999993E-3</v>
      </c>
      <c r="T318" s="7"/>
      <c r="U318" s="46"/>
      <c r="V318" s="46"/>
    </row>
    <row r="319" spans="1:22" x14ac:dyDescent="0.25">
      <c r="A319" s="24" t="s">
        <v>94</v>
      </c>
      <c r="B319" s="7" t="s">
        <v>152</v>
      </c>
      <c r="C319" s="14">
        <f>B278</f>
        <v>2.3631099999999999E-2</v>
      </c>
      <c r="D319" s="15">
        <f>B280</f>
        <v>9.27954E-2</v>
      </c>
      <c r="E319" s="15">
        <f>B282</f>
        <v>0.12564839999999999</v>
      </c>
      <c r="F319" s="15">
        <f>B284</f>
        <v>0.31873200000000002</v>
      </c>
      <c r="G319" s="15">
        <f>B286</f>
        <v>1.2069160000000001</v>
      </c>
      <c r="H319" s="15">
        <f>B288</f>
        <v>1</v>
      </c>
      <c r="I319" s="16">
        <f>B290</f>
        <v>2.5360199999999999E-2</v>
      </c>
      <c r="J319" s="16">
        <f>B292</f>
        <v>9.2218999999999995E-2</v>
      </c>
      <c r="K319" s="17">
        <f>B294</f>
        <v>0.2564842</v>
      </c>
      <c r="M319" s="7"/>
      <c r="N319" s="46">
        <v>7.4240000000000035E-3</v>
      </c>
      <c r="O319" s="46">
        <v>9.3241999999999978E-3</v>
      </c>
      <c r="P319" s="46">
        <v>3.8923000000000041E-2</v>
      </c>
      <c r="Q319" s="46">
        <v>4.3459199999999976E-2</v>
      </c>
      <c r="R319" s="46">
        <v>8.6936999999999987E-3</v>
      </c>
      <c r="S319" s="46">
        <v>1.0589100000000004E-2</v>
      </c>
      <c r="T319" s="7"/>
      <c r="U319" s="46"/>
      <c r="V319" s="46"/>
    </row>
    <row r="320" spans="1:22" x14ac:dyDescent="0.25">
      <c r="A320" s="24"/>
      <c r="B320" s="7" t="s">
        <v>372</v>
      </c>
      <c r="C320" s="15">
        <f>B279</f>
        <v>3.6428500000000003E-2</v>
      </c>
      <c r="D320" s="15">
        <f>B281</f>
        <v>9.4792399999999999E-2</v>
      </c>
      <c r="E320" s="15">
        <f>B283</f>
        <v>0.12103659999999999</v>
      </c>
      <c r="F320" s="15">
        <f>B285</f>
        <v>0.37290250000000003</v>
      </c>
      <c r="G320" s="15">
        <f>B287</f>
        <v>1.2722560000000001</v>
      </c>
      <c r="H320" s="15">
        <f>B289</f>
        <v>0.90914569999999995</v>
      </c>
      <c r="I320" s="16">
        <f>B291</f>
        <v>4.8571299999999998E-2</v>
      </c>
      <c r="J320" s="16">
        <f>B293</f>
        <v>0.10928549999999999</v>
      </c>
      <c r="K320" s="18">
        <f>B295</f>
        <v>0.24168149999999999</v>
      </c>
      <c r="M320" s="7"/>
      <c r="N320" s="46">
        <v>4.2121999999999993E-3</v>
      </c>
      <c r="O320" s="46">
        <v>7.2894999999999991E-3</v>
      </c>
      <c r="P320" s="46">
        <v>2.3821499999999995E-2</v>
      </c>
      <c r="Q320" s="46">
        <v>2.7976000000000001E-2</v>
      </c>
      <c r="R320" s="46">
        <v>7.5933000000000007E-3</v>
      </c>
      <c r="S320" s="46">
        <v>1.07096E-2</v>
      </c>
      <c r="T320" s="7"/>
      <c r="U320" s="46"/>
      <c r="V320" s="46"/>
    </row>
    <row r="321" spans="1:22" x14ac:dyDescent="0.25">
      <c r="A321" s="24" t="s">
        <v>95</v>
      </c>
      <c r="B321" s="7" t="s">
        <v>152</v>
      </c>
      <c r="C321" s="15">
        <f>B296</f>
        <v>9.9778999999999996E-3</v>
      </c>
      <c r="D321" s="15">
        <f>B298</f>
        <v>2.6096000000000001E-2</v>
      </c>
      <c r="E321" s="15">
        <f>B300</f>
        <v>4.0679100000000003E-2</v>
      </c>
      <c r="F321" s="15">
        <f>B302</f>
        <v>0.16041359999999999</v>
      </c>
      <c r="G321" s="15">
        <f>B304</f>
        <v>0.41600090000000001</v>
      </c>
      <c r="H321" s="15">
        <f>B306</f>
        <v>0.49812659999999997</v>
      </c>
      <c r="I321" s="16">
        <f>B308</f>
        <v>2.6096000000000001E-2</v>
      </c>
      <c r="J321" s="16">
        <f>B310</f>
        <v>5.9099800000000001E-2</v>
      </c>
      <c r="K321" s="17">
        <f>B312</f>
        <v>0.12126960000000001</v>
      </c>
      <c r="M321" s="7"/>
      <c r="N321" s="46">
        <v>1.08199E-2</v>
      </c>
      <c r="O321" s="46">
        <v>1.7055500000000001E-2</v>
      </c>
      <c r="P321" s="46">
        <v>4.7443299999999966E-2</v>
      </c>
      <c r="Q321" s="46">
        <v>5.5867400000000011E-2</v>
      </c>
      <c r="R321" s="46">
        <v>1.0832000000000001E-2</v>
      </c>
      <c r="S321" s="46">
        <v>1.7085499999999997E-2</v>
      </c>
      <c r="T321" s="7"/>
      <c r="U321" s="46"/>
      <c r="V321" s="46"/>
    </row>
    <row r="322" spans="1:22" ht="15.75" thickBot="1" x14ac:dyDescent="0.3">
      <c r="A322" s="26"/>
      <c r="B322" s="27" t="s">
        <v>372</v>
      </c>
      <c r="C322" s="29">
        <f>B297</f>
        <v>2.9594700000000002E-2</v>
      </c>
      <c r="D322" s="29">
        <f>B299</f>
        <v>2.0249E-2</v>
      </c>
      <c r="E322" s="30">
        <f>B301</f>
        <v>7.0092699999999994E-2</v>
      </c>
      <c r="F322" s="29">
        <f>B303</f>
        <v>0.31463839999999998</v>
      </c>
      <c r="G322" s="28">
        <f>B305</f>
        <v>0.96260659999999998</v>
      </c>
      <c r="H322" s="28">
        <f>B307</f>
        <v>0.75232849999999996</v>
      </c>
      <c r="I322" s="29">
        <f>B309</f>
        <v>2.9594700000000002E-2</v>
      </c>
      <c r="J322" s="29">
        <f>B311</f>
        <v>5.9189400000000003E-2</v>
      </c>
      <c r="K322" s="31">
        <f>B313</f>
        <v>0.24921850000000001</v>
      </c>
      <c r="M322" s="7"/>
      <c r="N322" s="46">
        <v>1.5459000000000001E-2</v>
      </c>
      <c r="O322" s="46">
        <v>1.8549099999999999E-2</v>
      </c>
      <c r="P322" s="46">
        <v>0.1513730000000002</v>
      </c>
      <c r="Q322" s="46">
        <v>0.17308199999999996</v>
      </c>
      <c r="R322" s="46">
        <v>1.5792899999999999E-2</v>
      </c>
      <c r="S322" s="46">
        <v>1.9056500000000004E-2</v>
      </c>
      <c r="T322" s="7"/>
      <c r="U322" s="46"/>
      <c r="V322" s="46"/>
    </row>
    <row r="323" spans="1:22" x14ac:dyDescent="0.25">
      <c r="M323" s="7"/>
      <c r="N323" s="46">
        <v>1.3622200000000001E-2</v>
      </c>
      <c r="O323" s="46">
        <v>1.5908500000000006E-2</v>
      </c>
      <c r="P323" s="46">
        <v>0.119645</v>
      </c>
      <c r="Q323" s="46">
        <v>0.13206300000000004</v>
      </c>
      <c r="R323" s="46">
        <v>1.5240599999999993E-2</v>
      </c>
      <c r="S323" s="46">
        <v>1.7710400000000001E-2</v>
      </c>
      <c r="T323" s="7"/>
      <c r="U323" s="46"/>
      <c r="V323" s="46"/>
    </row>
    <row r="324" spans="1:22" x14ac:dyDescent="0.25">
      <c r="M324" s="7"/>
      <c r="N324" s="46">
        <v>7.6214999999999998E-3</v>
      </c>
      <c r="O324" s="46">
        <v>1.0765799999999999E-2</v>
      </c>
      <c r="P324" s="46">
        <v>7.1906899999999996E-2</v>
      </c>
      <c r="Q324" s="46">
        <v>8.6933700000000003E-2</v>
      </c>
      <c r="R324" s="46">
        <v>1.2422799999999998E-2</v>
      </c>
      <c r="S324" s="46">
        <v>1.5728899999999997E-2</v>
      </c>
      <c r="T324" s="7"/>
      <c r="U324" s="46"/>
      <c r="V324" s="46"/>
    </row>
    <row r="325" spans="1:22" x14ac:dyDescent="0.25">
      <c r="M325" s="7"/>
      <c r="N325" s="46">
        <v>8.5817999999999988E-3</v>
      </c>
      <c r="O325" s="46">
        <v>1.4894300000000003E-2</v>
      </c>
      <c r="P325" s="46">
        <v>0.12512040000000002</v>
      </c>
      <c r="Q325" s="46">
        <v>0.14381339999999998</v>
      </c>
      <c r="R325" s="46">
        <v>1.6557600000000006E-2</v>
      </c>
      <c r="S325" s="46">
        <v>2.2988399999999992E-2</v>
      </c>
      <c r="T325" s="7"/>
      <c r="U325" s="46"/>
      <c r="V325" s="46"/>
    </row>
    <row r="326" spans="1:22" x14ac:dyDescent="0.25">
      <c r="M326" s="7"/>
      <c r="N326" s="46">
        <v>1.8995099999999987E-2</v>
      </c>
      <c r="O326" s="46">
        <v>2.2378200000000015E-2</v>
      </c>
      <c r="P326" s="46">
        <v>0</v>
      </c>
      <c r="Q326" s="46">
        <v>0</v>
      </c>
      <c r="R326" s="46">
        <v>4.2022699999999996E-2</v>
      </c>
      <c r="S326" s="46">
        <v>5.0256699999999987E-2</v>
      </c>
      <c r="T326" s="7"/>
      <c r="U326" s="46"/>
      <c r="V326" s="46"/>
    </row>
    <row r="327" spans="1:22" x14ac:dyDescent="0.25">
      <c r="M327" s="7"/>
      <c r="N327" s="46">
        <v>1.6273799999999991E-2</v>
      </c>
      <c r="O327" s="46">
        <v>1.8801800000000007E-2</v>
      </c>
      <c r="P327" s="46">
        <v>8.4714099999999903E-2</v>
      </c>
      <c r="Q327" s="46">
        <v>9.3419299999999983E-2</v>
      </c>
      <c r="R327" s="46">
        <v>2.936359999999999E-2</v>
      </c>
      <c r="S327" s="46">
        <v>3.3424700000000029E-2</v>
      </c>
      <c r="T327" s="7"/>
      <c r="U327" s="46"/>
      <c r="V327" s="46"/>
    </row>
    <row r="328" spans="1:22" x14ac:dyDescent="0.25">
      <c r="M328" s="7"/>
      <c r="N328" s="46">
        <v>1.0105500000000003E-2</v>
      </c>
      <c r="O328" s="46">
        <v>1.3445599999999995E-2</v>
      </c>
      <c r="P328" s="46">
        <v>7.568159999999996E-2</v>
      </c>
      <c r="Q328" s="46">
        <v>8.9239999999999986E-2</v>
      </c>
      <c r="R328" s="46">
        <v>2.4389600000000011E-2</v>
      </c>
      <c r="S328" s="46">
        <v>3.0529799999999996E-2</v>
      </c>
      <c r="T328" s="7"/>
      <c r="U328" s="46"/>
      <c r="V328" s="46"/>
    </row>
    <row r="329" spans="1:22" x14ac:dyDescent="0.25">
      <c r="M329" s="7"/>
      <c r="N329" s="46">
        <v>1.8379499999999993E-2</v>
      </c>
      <c r="O329" s="46">
        <v>2.4911800000000012E-2</v>
      </c>
      <c r="P329" s="46">
        <v>9.3084899999999915E-2</v>
      </c>
      <c r="Q329" s="46">
        <v>0.10622830000000005</v>
      </c>
      <c r="R329" s="46">
        <v>4.2627100000000001E-2</v>
      </c>
      <c r="S329" s="46">
        <v>5.1422699999999988E-2</v>
      </c>
      <c r="T329" s="7"/>
      <c r="U329" s="46"/>
      <c r="V329" s="46"/>
    </row>
    <row r="330" spans="1:22" x14ac:dyDescent="0.25">
      <c r="M330" s="9"/>
      <c r="N330" s="9"/>
      <c r="O330" s="7"/>
      <c r="P330" s="7"/>
      <c r="Q330" s="7"/>
      <c r="R330" s="7"/>
      <c r="T330" s="7"/>
      <c r="U330" s="46"/>
      <c r="V330" s="46"/>
    </row>
    <row r="331" spans="1:22" x14ac:dyDescent="0.25">
      <c r="M331" s="7"/>
      <c r="N331" s="7"/>
      <c r="O331" s="7"/>
      <c r="P331" s="7"/>
      <c r="Q331" s="7"/>
      <c r="R331" s="7"/>
      <c r="T331" s="7"/>
      <c r="U331" s="46"/>
      <c r="V331" s="46"/>
    </row>
    <row r="332" spans="1:22" x14ac:dyDescent="0.25">
      <c r="M332" s="7"/>
      <c r="N332" s="7"/>
      <c r="O332" s="7"/>
      <c r="P332" s="7"/>
      <c r="Q332" s="7"/>
      <c r="R332" s="7"/>
      <c r="T332" s="7"/>
      <c r="U332" s="46"/>
      <c r="V332" s="46"/>
    </row>
    <row r="333" spans="1:22" x14ac:dyDescent="0.25">
      <c r="M333" s="7"/>
      <c r="N333" s="7"/>
      <c r="O333" s="7"/>
      <c r="P333" s="7"/>
      <c r="Q333" s="7"/>
      <c r="R333" s="7"/>
      <c r="T333" s="7"/>
      <c r="U333" s="46"/>
      <c r="V333" s="46"/>
    </row>
    <row r="334" spans="1:22" x14ac:dyDescent="0.25">
      <c r="M334" s="7"/>
      <c r="N334" s="7"/>
      <c r="O334" s="7"/>
      <c r="P334" s="9"/>
      <c r="Q334" s="7"/>
      <c r="R334" s="7"/>
      <c r="T334" s="7"/>
      <c r="U334" s="46"/>
      <c r="V334" s="46"/>
    </row>
    <row r="335" spans="1:22" x14ac:dyDescent="0.25">
      <c r="M335" s="7"/>
      <c r="N335" s="7"/>
      <c r="O335" s="7"/>
      <c r="P335" s="9"/>
      <c r="Q335" s="7"/>
      <c r="R335" s="7"/>
      <c r="T335" s="7"/>
      <c r="U335" s="7"/>
      <c r="V335" s="7"/>
    </row>
    <row r="336" spans="1:22" x14ac:dyDescent="0.25">
      <c r="M336" s="7"/>
      <c r="N336" s="7"/>
      <c r="O336" s="7"/>
      <c r="P336" s="7"/>
      <c r="Q336" s="7"/>
      <c r="R336" s="7"/>
      <c r="T336" s="7"/>
      <c r="U336" s="7"/>
    </row>
    <row r="337" spans="1:21" x14ac:dyDescent="0.25">
      <c r="M337" s="7"/>
      <c r="N337" s="7"/>
      <c r="O337" s="7"/>
      <c r="P337" s="9"/>
      <c r="Q337" s="7"/>
      <c r="R337" s="7"/>
      <c r="T337" s="9"/>
      <c r="U337" s="9"/>
    </row>
    <row r="338" spans="1:21" x14ac:dyDescent="0.25">
      <c r="M338" s="7"/>
      <c r="N338" s="7"/>
      <c r="O338" s="7"/>
      <c r="P338" s="7"/>
      <c r="T338" s="7"/>
      <c r="U338" s="7"/>
    </row>
    <row r="339" spans="1:21" s="1" customFormat="1" x14ac:dyDescent="0.25">
      <c r="A339" s="1" t="s">
        <v>103</v>
      </c>
      <c r="M339" s="32"/>
      <c r="N339" s="33"/>
      <c r="O339" s="33"/>
      <c r="P339" s="33"/>
      <c r="T339" s="33"/>
      <c r="U339" s="33"/>
    </row>
    <row r="340" spans="1:21" x14ac:dyDescent="0.25">
      <c r="M340" s="9"/>
      <c r="N340" s="9"/>
      <c r="O340" s="7"/>
      <c r="P340" s="7"/>
      <c r="T340" s="7"/>
      <c r="U340" s="7"/>
    </row>
    <row r="341" spans="1:21" x14ac:dyDescent="0.25">
      <c r="A341" s="49"/>
      <c r="B341" s="46" t="s">
        <v>1</v>
      </c>
      <c r="C341" s="47"/>
      <c r="D341" s="47"/>
      <c r="E341" s="47"/>
      <c r="F341" s="47"/>
      <c r="G341" s="47"/>
      <c r="M341" s="9"/>
      <c r="N341" s="9"/>
      <c r="O341" s="7"/>
      <c r="P341" s="7"/>
      <c r="T341" s="7"/>
      <c r="U341" s="7"/>
    </row>
    <row r="342" spans="1:21" x14ac:dyDescent="0.25">
      <c r="A342" s="50" t="s">
        <v>2</v>
      </c>
      <c r="B342" s="48" t="s">
        <v>269</v>
      </c>
      <c r="C342" s="48" t="s">
        <v>270</v>
      </c>
      <c r="D342" s="48" t="s">
        <v>3</v>
      </c>
      <c r="E342" s="48" t="s">
        <v>4</v>
      </c>
      <c r="F342" s="48" t="s">
        <v>271</v>
      </c>
      <c r="G342" s="48" t="s">
        <v>272</v>
      </c>
      <c r="H342" s="56"/>
      <c r="M342" s="7"/>
      <c r="N342" s="9"/>
      <c r="O342" s="7"/>
      <c r="P342" s="7"/>
      <c r="T342" s="7"/>
      <c r="U342" s="7"/>
    </row>
    <row r="343" spans="1:21" x14ac:dyDescent="0.25">
      <c r="A343" s="49"/>
      <c r="B343" s="46"/>
      <c r="C343" s="46"/>
      <c r="D343" s="47"/>
      <c r="E343" s="47"/>
      <c r="F343" s="47"/>
      <c r="G343" s="47"/>
      <c r="M343" s="9"/>
      <c r="N343" s="9"/>
      <c r="O343" s="7"/>
      <c r="P343" s="7"/>
      <c r="T343" s="7"/>
      <c r="U343" s="7"/>
    </row>
    <row r="344" spans="1:21" x14ac:dyDescent="0.25">
      <c r="A344" s="49" t="s">
        <v>72</v>
      </c>
      <c r="B344" s="47"/>
      <c r="C344" s="47"/>
      <c r="D344" s="47"/>
      <c r="E344" s="47"/>
      <c r="F344" s="47"/>
      <c r="G344" s="47"/>
      <c r="M344" s="7"/>
      <c r="N344" s="9"/>
      <c r="O344" s="7"/>
      <c r="P344" s="7"/>
      <c r="T344" s="7"/>
      <c r="U344" s="7"/>
    </row>
    <row r="345" spans="1:21" x14ac:dyDescent="0.25">
      <c r="A345" s="49" t="s">
        <v>73</v>
      </c>
      <c r="B345" s="46">
        <v>1.2357549999999999</v>
      </c>
      <c r="C345" s="46">
        <v>2.3361099999999999E-2</v>
      </c>
      <c r="D345" s="46">
        <v>11.2</v>
      </c>
      <c r="E345" s="46">
        <v>0</v>
      </c>
      <c r="F345" s="46">
        <v>1.190806</v>
      </c>
      <c r="G345" s="46">
        <v>1.2824009999999999</v>
      </c>
      <c r="M345" s="9"/>
      <c r="N345" s="9"/>
      <c r="O345" s="7"/>
      <c r="P345" s="7"/>
      <c r="T345" s="7"/>
      <c r="U345" s="7"/>
    </row>
    <row r="346" spans="1:21" x14ac:dyDescent="0.25">
      <c r="A346" s="49"/>
      <c r="B346" s="47"/>
      <c r="C346" s="47"/>
      <c r="D346" s="47"/>
      <c r="E346" s="47"/>
      <c r="F346" s="47"/>
      <c r="G346" s="47"/>
      <c r="M346" s="7"/>
      <c r="N346" s="7"/>
      <c r="T346" s="7"/>
      <c r="U346" s="7"/>
    </row>
    <row r="347" spans="1:21" x14ac:dyDescent="0.25">
      <c r="A347" s="49" t="s">
        <v>74</v>
      </c>
      <c r="B347" s="47"/>
      <c r="C347" s="47"/>
      <c r="D347" s="47"/>
      <c r="E347" s="47"/>
      <c r="F347" s="47"/>
      <c r="G347" s="47"/>
      <c r="M347" s="7"/>
      <c r="N347" s="7"/>
      <c r="T347" s="7"/>
      <c r="U347" s="7"/>
    </row>
    <row r="348" spans="1:21" x14ac:dyDescent="0.25">
      <c r="A348" s="49" t="s">
        <v>75</v>
      </c>
      <c r="B348" s="46">
        <v>0.71006950000000002</v>
      </c>
      <c r="C348" s="46">
        <v>1.8199199999999999E-2</v>
      </c>
      <c r="D348" s="46">
        <v>-13.36</v>
      </c>
      <c r="E348" s="46">
        <v>0</v>
      </c>
      <c r="F348" s="46">
        <v>0.67528080000000001</v>
      </c>
      <c r="G348" s="46">
        <v>0.74665040000000005</v>
      </c>
      <c r="M348" s="7"/>
      <c r="N348" s="7"/>
      <c r="T348" s="7"/>
      <c r="U348" s="7"/>
    </row>
    <row r="349" spans="1:21" x14ac:dyDescent="0.25">
      <c r="A349" s="49" t="s">
        <v>76</v>
      </c>
      <c r="B349" s="46">
        <v>0.63309930000000003</v>
      </c>
      <c r="C349" s="46">
        <v>2.3005399999999999E-2</v>
      </c>
      <c r="D349" s="46">
        <v>-12.58</v>
      </c>
      <c r="E349" s="46">
        <v>0</v>
      </c>
      <c r="F349" s="46">
        <v>0.58957780000000004</v>
      </c>
      <c r="G349" s="46">
        <v>0.67983349999999998</v>
      </c>
      <c r="M349" s="7"/>
      <c r="N349" s="7"/>
      <c r="T349" s="7"/>
      <c r="U349" s="7"/>
    </row>
    <row r="350" spans="1:21" x14ac:dyDescent="0.25">
      <c r="A350" s="49" t="s">
        <v>77</v>
      </c>
      <c r="B350" s="46">
        <v>0.59778880000000001</v>
      </c>
      <c r="C350" s="46">
        <v>2.5422699999999999E-2</v>
      </c>
      <c r="D350" s="46">
        <v>-12.1</v>
      </c>
      <c r="E350" s="46">
        <v>0</v>
      </c>
      <c r="F350" s="46">
        <v>0.54998119999999995</v>
      </c>
      <c r="G350" s="46">
        <v>0.649752</v>
      </c>
      <c r="M350" s="7"/>
      <c r="N350" s="7"/>
    </row>
    <row r="351" spans="1:21" x14ac:dyDescent="0.25">
      <c r="A351" s="49" t="s">
        <v>78</v>
      </c>
      <c r="B351" s="46">
        <v>0.54024139999999998</v>
      </c>
      <c r="C351" s="46">
        <v>2.6694300000000001E-2</v>
      </c>
      <c r="D351" s="46">
        <v>-12.46</v>
      </c>
      <c r="E351" s="46">
        <v>0</v>
      </c>
      <c r="F351" s="46">
        <v>0.49037520000000001</v>
      </c>
      <c r="G351" s="46">
        <v>0.59517850000000005</v>
      </c>
      <c r="M351" s="7"/>
      <c r="N351" s="7"/>
    </row>
    <row r="352" spans="1:21" x14ac:dyDescent="0.25">
      <c r="A352" s="49" t="s">
        <v>79</v>
      </c>
      <c r="B352" s="46">
        <v>0.47377249999999999</v>
      </c>
      <c r="C352" s="46">
        <v>2.88934E-2</v>
      </c>
      <c r="D352" s="46">
        <v>-12.25</v>
      </c>
      <c r="E352" s="46">
        <v>0</v>
      </c>
      <c r="F352" s="46">
        <v>0.4203962</v>
      </c>
      <c r="G352" s="46">
        <v>0.53392589999999995</v>
      </c>
      <c r="M352" s="7"/>
      <c r="N352" s="7"/>
    </row>
    <row r="353" spans="1:14" x14ac:dyDescent="0.25">
      <c r="A353" s="49" t="s">
        <v>80</v>
      </c>
      <c r="B353" s="46">
        <v>0.33680729999999998</v>
      </c>
      <c r="C353" s="46">
        <v>2.0233399999999999E-2</v>
      </c>
      <c r="D353" s="46">
        <v>-18.11</v>
      </c>
      <c r="E353" s="46">
        <v>0</v>
      </c>
      <c r="F353" s="46">
        <v>0.2993961</v>
      </c>
      <c r="G353" s="46">
        <v>0.37889309999999998</v>
      </c>
      <c r="M353" s="7"/>
      <c r="N353" s="7"/>
    </row>
    <row r="354" spans="1:14" x14ac:dyDescent="0.25">
      <c r="A354" s="49" t="s">
        <v>86</v>
      </c>
      <c r="B354" s="46">
        <v>0.26853660000000001</v>
      </c>
      <c r="C354" s="46">
        <v>2.87917E-2</v>
      </c>
      <c r="D354" s="46">
        <v>-12.26</v>
      </c>
      <c r="E354" s="46">
        <v>0</v>
      </c>
      <c r="F354" s="46">
        <v>0.2176408</v>
      </c>
      <c r="G354" s="46">
        <v>0.33133469999999998</v>
      </c>
      <c r="M354" s="7"/>
      <c r="N354" s="7"/>
    </row>
    <row r="355" spans="1:14" x14ac:dyDescent="0.25">
      <c r="A355" s="49" t="s">
        <v>87</v>
      </c>
      <c r="B355" s="46">
        <v>0.15998000000000001</v>
      </c>
      <c r="C355" s="46">
        <v>2.0635000000000001E-2</v>
      </c>
      <c r="D355" s="46">
        <v>-14.21</v>
      </c>
      <c r="E355" s="46">
        <v>0</v>
      </c>
      <c r="F355" s="46">
        <v>0.12424350000000001</v>
      </c>
      <c r="G355" s="46">
        <v>0.2059956</v>
      </c>
      <c r="M355" s="7"/>
      <c r="N355" s="7"/>
    </row>
    <row r="356" spans="1:14" x14ac:dyDescent="0.25">
      <c r="A356" s="49" t="s">
        <v>88</v>
      </c>
      <c r="B356" s="46">
        <v>5.3116099999999999E-2</v>
      </c>
      <c r="C356" s="46">
        <v>1.3063999999999999E-2</v>
      </c>
      <c r="D356" s="46">
        <v>-11.93</v>
      </c>
      <c r="E356" s="46">
        <v>0</v>
      </c>
      <c r="F356" s="46">
        <v>3.27999E-2</v>
      </c>
      <c r="G356" s="46">
        <v>8.6016300000000004E-2</v>
      </c>
      <c r="M356" s="7"/>
      <c r="N356" s="7"/>
    </row>
    <row r="357" spans="1:14" x14ac:dyDescent="0.25">
      <c r="A357" s="49"/>
      <c r="B357" s="47"/>
      <c r="C357" s="47"/>
      <c r="D357" s="47"/>
      <c r="E357" s="47"/>
      <c r="F357" s="47"/>
      <c r="G357" s="47"/>
      <c r="M357" s="7"/>
      <c r="N357" s="7"/>
    </row>
    <row r="358" spans="1:14" x14ac:dyDescent="0.25">
      <c r="A358" s="49" t="s">
        <v>108</v>
      </c>
      <c r="B358" s="47"/>
      <c r="C358" s="47"/>
      <c r="D358" s="47"/>
      <c r="E358" s="47"/>
      <c r="F358" s="47"/>
      <c r="G358" s="47"/>
    </row>
    <row r="359" spans="1:14" x14ac:dyDescent="0.25">
      <c r="A359" s="49">
        <v>2</v>
      </c>
      <c r="B359" s="46">
        <v>1.3247420000000001</v>
      </c>
      <c r="C359" s="46">
        <v>2.61535E-2</v>
      </c>
      <c r="D359" s="46">
        <v>14.24</v>
      </c>
      <c r="E359" s="46">
        <v>0</v>
      </c>
      <c r="F359" s="46">
        <v>1.2744610000000001</v>
      </c>
      <c r="G359" s="46">
        <v>1.377006</v>
      </c>
    </row>
    <row r="360" spans="1:14" x14ac:dyDescent="0.25">
      <c r="A360" s="49" t="s">
        <v>109</v>
      </c>
      <c r="B360" s="46">
        <v>1.9359379999999999</v>
      </c>
      <c r="C360" s="46">
        <v>4.7421499999999998E-2</v>
      </c>
      <c r="D360" s="46">
        <v>26.97</v>
      </c>
      <c r="E360" s="46">
        <v>0</v>
      </c>
      <c r="F360" s="46">
        <v>1.845189</v>
      </c>
      <c r="G360" s="46">
        <v>2.0311490000000001</v>
      </c>
    </row>
    <row r="361" spans="1:14" x14ac:dyDescent="0.25">
      <c r="A361" s="49"/>
      <c r="B361" s="47"/>
      <c r="C361" s="47"/>
      <c r="D361" s="47"/>
      <c r="E361" s="47"/>
      <c r="F361" s="47"/>
      <c r="G361" s="47"/>
    </row>
    <row r="362" spans="1:14" x14ac:dyDescent="0.25">
      <c r="A362" s="49" t="s">
        <v>84</v>
      </c>
      <c r="B362" s="47"/>
      <c r="C362" s="47"/>
      <c r="D362" s="47"/>
      <c r="E362" s="47"/>
      <c r="F362" s="47"/>
      <c r="G362" s="47"/>
    </row>
    <row r="363" spans="1:14" x14ac:dyDescent="0.25">
      <c r="A363" s="38" t="s">
        <v>315</v>
      </c>
      <c r="B363" s="46">
        <v>0.44123430000000002</v>
      </c>
      <c r="C363" s="46">
        <v>9.4660000000000005E-3</v>
      </c>
      <c r="D363" s="46">
        <v>-38.14</v>
      </c>
      <c r="E363" s="46">
        <v>0</v>
      </c>
      <c r="F363" s="46">
        <v>0.423066</v>
      </c>
      <c r="G363" s="46">
        <v>0.46018290000000001</v>
      </c>
    </row>
    <row r="364" spans="1:14" x14ac:dyDescent="0.25">
      <c r="A364" s="38" t="s">
        <v>316</v>
      </c>
      <c r="B364" s="46">
        <v>0.3119422</v>
      </c>
      <c r="C364" s="46">
        <v>9.8247000000000004E-3</v>
      </c>
      <c r="D364" s="46">
        <v>-36.99</v>
      </c>
      <c r="E364" s="46">
        <v>0</v>
      </c>
      <c r="F364" s="46">
        <v>0.29326839999999998</v>
      </c>
      <c r="G364" s="46">
        <v>0.33180510000000002</v>
      </c>
    </row>
    <row r="365" spans="1:14" x14ac:dyDescent="0.25">
      <c r="A365" s="38" t="s">
        <v>317</v>
      </c>
      <c r="B365" s="46">
        <v>0.24115529999999999</v>
      </c>
      <c r="C365" s="46">
        <v>8.7039999999999999E-3</v>
      </c>
      <c r="D365" s="46">
        <v>-39.409999999999997</v>
      </c>
      <c r="E365" s="46">
        <v>0</v>
      </c>
      <c r="F365" s="46">
        <v>0.2246852</v>
      </c>
      <c r="G365" s="46">
        <v>0.25883279999999997</v>
      </c>
    </row>
    <row r="366" spans="1:14" x14ac:dyDescent="0.25">
      <c r="A366" s="38" t="s">
        <v>82</v>
      </c>
      <c r="B366" s="46">
        <v>0.28585569999999999</v>
      </c>
      <c r="C366" s="46">
        <v>1.08559E-2</v>
      </c>
      <c r="D366" s="46">
        <v>-32.97</v>
      </c>
      <c r="E366" s="46">
        <v>0</v>
      </c>
      <c r="F366" s="46">
        <v>0.26535120000000001</v>
      </c>
      <c r="G366" s="46">
        <v>0.30794480000000002</v>
      </c>
    </row>
    <row r="367" spans="1:14" x14ac:dyDescent="0.25">
      <c r="A367" s="49"/>
      <c r="B367" s="47"/>
      <c r="C367" s="47"/>
      <c r="D367" s="47"/>
      <c r="E367" s="47"/>
      <c r="F367" s="47"/>
      <c r="G367" s="47"/>
    </row>
    <row r="368" spans="1:14" x14ac:dyDescent="0.25">
      <c r="A368" s="49" t="s">
        <v>112</v>
      </c>
      <c r="B368" s="47"/>
      <c r="C368" s="47"/>
      <c r="D368" s="47"/>
      <c r="E368" s="47"/>
      <c r="F368" s="47"/>
      <c r="G368" s="47"/>
    </row>
    <row r="369" spans="1:7" x14ac:dyDescent="0.25">
      <c r="A369" s="49" t="s">
        <v>154</v>
      </c>
      <c r="B369" s="46">
        <v>1.5435E-3</v>
      </c>
      <c r="C369" s="46">
        <v>1.0951999999999999E-3</v>
      </c>
      <c r="D369" s="46">
        <v>-9.1199999999999992</v>
      </c>
      <c r="E369" s="46">
        <v>0</v>
      </c>
      <c r="F369" s="46">
        <f>B369-0.0003841</f>
        <v>1.1593999999999999E-3</v>
      </c>
      <c r="G369" s="46">
        <f>0.0062017-B369</f>
        <v>4.6582000000000004E-3</v>
      </c>
    </row>
    <row r="370" spans="1:7" x14ac:dyDescent="0.25">
      <c r="A370" s="49" t="s">
        <v>155</v>
      </c>
      <c r="B370" s="46">
        <v>5.3470000000000002E-3</v>
      </c>
      <c r="C370" s="46">
        <v>2.2012999999999998E-3</v>
      </c>
      <c r="D370" s="46">
        <v>-12.71</v>
      </c>
      <c r="E370" s="46">
        <v>0</v>
      </c>
      <c r="F370" s="46">
        <f>B370-0.002386</f>
        <v>2.9610000000000001E-3</v>
      </c>
      <c r="G370" s="46">
        <f>0.0119824-B370</f>
        <v>6.6354000000000005E-3</v>
      </c>
    </row>
    <row r="371" spans="1:7" x14ac:dyDescent="0.25">
      <c r="A371" s="49" t="s">
        <v>156</v>
      </c>
      <c r="B371" s="46">
        <v>2.0061699999999998E-2</v>
      </c>
      <c r="C371" s="46">
        <v>4.2592999999999997E-3</v>
      </c>
      <c r="D371" s="46">
        <v>-18.41</v>
      </c>
      <c r="E371" s="46">
        <v>0</v>
      </c>
      <c r="F371" s="46">
        <f>B371-0.0132327</f>
        <v>6.8289999999999983E-3</v>
      </c>
      <c r="G371" s="46">
        <f>0.0304149-B371</f>
        <v>1.0353200000000003E-2</v>
      </c>
    </row>
    <row r="372" spans="1:7" x14ac:dyDescent="0.25">
      <c r="A372" s="49" t="s">
        <v>157</v>
      </c>
      <c r="B372" s="46">
        <v>2.317E-2</v>
      </c>
      <c r="C372" s="46">
        <v>4.7282000000000001E-3</v>
      </c>
      <c r="D372" s="46">
        <v>-18.45</v>
      </c>
      <c r="E372" s="46">
        <v>0</v>
      </c>
      <c r="F372" s="46">
        <f>B372-0.0155319</f>
        <v>7.6381000000000001E-3</v>
      </c>
      <c r="G372" s="46">
        <f>0.0345643-B372</f>
        <v>1.13943E-2</v>
      </c>
    </row>
    <row r="373" spans="1:7" x14ac:dyDescent="0.25">
      <c r="A373" s="49" t="s">
        <v>158</v>
      </c>
      <c r="B373" s="46">
        <v>9.5679E-2</v>
      </c>
      <c r="C373" s="46">
        <v>1.0489200000000001E-2</v>
      </c>
      <c r="D373" s="46">
        <v>-21.41</v>
      </c>
      <c r="E373" s="46">
        <v>0</v>
      </c>
      <c r="F373" s="46">
        <f>B373-0.0771792</f>
        <v>1.8499799999999997E-2</v>
      </c>
      <c r="G373" s="46">
        <f>0.1186132-B373</f>
        <v>2.2934200000000002E-2</v>
      </c>
    </row>
    <row r="374" spans="1:7" x14ac:dyDescent="0.25">
      <c r="A374" s="49" t="s">
        <v>159</v>
      </c>
      <c r="B374" s="46">
        <v>0.10872080000000001</v>
      </c>
      <c r="C374" s="46">
        <v>1.18014E-2</v>
      </c>
      <c r="D374" s="46">
        <v>-20.440000000000001</v>
      </c>
      <c r="E374" s="46">
        <v>0</v>
      </c>
      <c r="F374" s="46">
        <f>B374-0.0878854</f>
        <v>2.0835400000000004E-2</v>
      </c>
      <c r="G374" s="46">
        <f>0.1344957-B374</f>
        <v>2.5774899999999989E-2</v>
      </c>
    </row>
    <row r="375" spans="1:7" x14ac:dyDescent="0.25">
      <c r="A375" s="49" t="s">
        <v>160</v>
      </c>
      <c r="B375" s="46">
        <v>0.26080249999999999</v>
      </c>
      <c r="C375" s="46">
        <v>2.1640199999999998E-2</v>
      </c>
      <c r="D375" s="46">
        <v>-16.2</v>
      </c>
      <c r="E375" s="46">
        <v>0</v>
      </c>
      <c r="F375" s="46">
        <f>B375-0.2216577</f>
        <v>3.914479999999998E-2</v>
      </c>
      <c r="G375" s="46">
        <f>0.3068602-B375</f>
        <v>4.6057700000000035E-2</v>
      </c>
    </row>
    <row r="376" spans="1:7" x14ac:dyDescent="0.25">
      <c r="A376" s="49" t="s">
        <v>161</v>
      </c>
      <c r="B376" s="46">
        <v>0.37874059999999998</v>
      </c>
      <c r="C376" s="46">
        <v>2.9079899999999999E-2</v>
      </c>
      <c r="D376" s="46">
        <v>-12.65</v>
      </c>
      <c r="E376" s="46">
        <v>0</v>
      </c>
      <c r="F376" s="46">
        <f>B376-0.3258262</f>
        <v>5.2914399999999973E-2</v>
      </c>
      <c r="G376" s="46">
        <f>0.4402482-B376</f>
        <v>6.1507599999999996E-2</v>
      </c>
    </row>
    <row r="377" spans="1:7" x14ac:dyDescent="0.25">
      <c r="A377" s="49" t="s">
        <v>189</v>
      </c>
      <c r="B377" s="46">
        <v>1.317901</v>
      </c>
      <c r="C377" s="46">
        <v>0.1101442</v>
      </c>
      <c r="D377" s="46">
        <v>3.3</v>
      </c>
      <c r="E377" s="46">
        <v>1E-3</v>
      </c>
      <c r="F377" s="46">
        <f>B377-1.118776</f>
        <v>0.199125</v>
      </c>
      <c r="G377" s="46">
        <f>1.552467-B377</f>
        <v>0.23456600000000005</v>
      </c>
    </row>
    <row r="378" spans="1:7" x14ac:dyDescent="0.25">
      <c r="A378" s="49" t="s">
        <v>162</v>
      </c>
      <c r="B378" s="46">
        <v>1.563976</v>
      </c>
      <c r="C378" s="46">
        <v>0.102534</v>
      </c>
      <c r="D378" s="46">
        <v>6.82</v>
      </c>
      <c r="E378" s="46">
        <v>0</v>
      </c>
      <c r="F378" s="46">
        <f>B378-1.375389</f>
        <v>0.18858700000000006</v>
      </c>
      <c r="G378" s="46">
        <f>1.778421-B378</f>
        <v>0.214445</v>
      </c>
    </row>
    <row r="379" spans="1:7" x14ac:dyDescent="0.25">
      <c r="A379" s="49" t="s">
        <v>163</v>
      </c>
      <c r="B379" s="46">
        <v>1</v>
      </c>
      <c r="C379" s="46"/>
      <c r="D379" s="46"/>
      <c r="E379" s="46"/>
      <c r="F379" s="46">
        <v>0</v>
      </c>
      <c r="G379" s="46">
        <v>0</v>
      </c>
    </row>
    <row r="380" spans="1:7" x14ac:dyDescent="0.25">
      <c r="A380" s="49" t="s">
        <v>164</v>
      </c>
      <c r="B380" s="46">
        <v>0.83233809999999997</v>
      </c>
      <c r="C380" s="46">
        <v>5.6056399999999999E-2</v>
      </c>
      <c r="D380" s="46">
        <v>-2.72</v>
      </c>
      <c r="E380" s="46">
        <v>6.0000000000000001E-3</v>
      </c>
      <c r="F380" s="46">
        <f>B380-0.729412</f>
        <v>0.10292610000000002</v>
      </c>
      <c r="G380" s="46">
        <f>0.9497878-B380</f>
        <v>0.11744969999999999</v>
      </c>
    </row>
    <row r="381" spans="1:7" x14ac:dyDescent="0.25">
      <c r="A381" s="49" t="s">
        <v>165</v>
      </c>
      <c r="B381" s="46">
        <v>1.2345800000000001E-2</v>
      </c>
      <c r="C381" s="46">
        <v>3.1730999999999999E-3</v>
      </c>
      <c r="D381" s="46">
        <v>-17.100000000000001</v>
      </c>
      <c r="E381" s="46">
        <v>0</v>
      </c>
      <c r="F381" s="46">
        <f>B381-0.00746</f>
        <v>4.8858000000000009E-3</v>
      </c>
      <c r="G381" s="46">
        <f>0.0204313-B381</f>
        <v>8.0854999999999989E-3</v>
      </c>
    </row>
    <row r="382" spans="1:7" x14ac:dyDescent="0.25">
      <c r="A382" s="49" t="s">
        <v>166</v>
      </c>
      <c r="B382" s="46">
        <v>1.6040800000000001E-2</v>
      </c>
      <c r="C382" s="46">
        <v>3.8920999999999999E-3</v>
      </c>
      <c r="D382" s="46">
        <v>-17.03</v>
      </c>
      <c r="E382" s="46">
        <v>0</v>
      </c>
      <c r="F382" s="46">
        <f>B382-0.0099699</f>
        <v>6.0709000000000006E-3</v>
      </c>
      <c r="G382" s="46">
        <f>0.0258083-B382</f>
        <v>9.7674999999999984E-3</v>
      </c>
    </row>
    <row r="383" spans="1:7" x14ac:dyDescent="0.25">
      <c r="A383" s="49" t="s">
        <v>167</v>
      </c>
      <c r="B383" s="46">
        <v>6.4814800000000006E-2</v>
      </c>
      <c r="C383" s="46">
        <v>8.7168999999999996E-3</v>
      </c>
      <c r="D383" s="46">
        <v>-20.350000000000001</v>
      </c>
      <c r="E383" s="46">
        <v>0</v>
      </c>
      <c r="F383" s="46">
        <f>B383-0.0497962</f>
        <v>1.5018600000000007E-2</v>
      </c>
      <c r="G383" s="46">
        <f>0.084363-B383</f>
        <v>1.9548199999999988E-2</v>
      </c>
    </row>
    <row r="384" spans="1:7" x14ac:dyDescent="0.25">
      <c r="A384" s="49" t="s">
        <v>168</v>
      </c>
      <c r="B384" s="46">
        <v>6.5945400000000001E-2</v>
      </c>
      <c r="C384" s="46">
        <v>8.5381999999999993E-3</v>
      </c>
      <c r="D384" s="46">
        <v>-21</v>
      </c>
      <c r="E384" s="46">
        <v>0</v>
      </c>
      <c r="F384" s="46">
        <f>B384-0.0511654</f>
        <v>1.4780000000000001E-2</v>
      </c>
      <c r="G384" s="46">
        <f>0.0849949-B384</f>
        <v>1.9049499999999997E-2</v>
      </c>
    </row>
    <row r="385" spans="1:7" x14ac:dyDescent="0.25">
      <c r="A385" s="49" t="s">
        <v>169</v>
      </c>
      <c r="B385" s="46">
        <v>0.26697530000000003</v>
      </c>
      <c r="C385" s="46">
        <v>2.7510300000000001E-2</v>
      </c>
      <c r="D385" s="46">
        <v>-12.82</v>
      </c>
      <c r="E385" s="46">
        <v>0</v>
      </c>
      <c r="F385" s="46">
        <f>B385-0.2181521</f>
        <v>4.8823200000000039E-2</v>
      </c>
      <c r="G385" s="46">
        <f>0.3267253-B385</f>
        <v>5.974999999999997E-2</v>
      </c>
    </row>
    <row r="386" spans="1:7" x14ac:dyDescent="0.25">
      <c r="A386" s="49" t="s">
        <v>170</v>
      </c>
      <c r="B386" s="46">
        <v>0.36448209999999998</v>
      </c>
      <c r="C386" s="46">
        <v>3.0510300000000001E-2</v>
      </c>
      <c r="D386" s="46">
        <v>-12.06</v>
      </c>
      <c r="E386" s="46">
        <v>0</v>
      </c>
      <c r="F386" s="46">
        <f>B386-0.3093308</f>
        <v>5.5151299999999959E-2</v>
      </c>
      <c r="G386" s="46">
        <f>0.4294664-B386</f>
        <v>6.498430000000005E-2</v>
      </c>
    </row>
    <row r="387" spans="1:7" x14ac:dyDescent="0.25">
      <c r="A387" s="49" t="s">
        <v>171</v>
      </c>
      <c r="B387" s="46">
        <v>3.6880599999999999E-2</v>
      </c>
      <c r="C387" s="46">
        <v>6.2859999999999999E-3</v>
      </c>
      <c r="D387" s="46">
        <v>-19.36</v>
      </c>
      <c r="E387" s="46">
        <v>0</v>
      </c>
      <c r="F387" s="46">
        <f>B387-0.0264069</f>
        <v>1.0473699999999999E-2</v>
      </c>
      <c r="G387" s="46">
        <f>0.0515084-B387</f>
        <v>1.4627800000000003E-2</v>
      </c>
    </row>
    <row r="388" spans="1:7" x14ac:dyDescent="0.25">
      <c r="A388" s="49" t="s">
        <v>172</v>
      </c>
      <c r="B388" s="46">
        <v>5.1559300000000002E-2</v>
      </c>
      <c r="C388" s="46">
        <v>6.4231999999999996E-3</v>
      </c>
      <c r="D388" s="46">
        <v>-23.8</v>
      </c>
      <c r="E388" s="46">
        <v>0</v>
      </c>
      <c r="F388" s="46">
        <f>B388-0.0403892</f>
        <v>1.1170100000000002E-2</v>
      </c>
      <c r="G388" s="46">
        <f>0.0658187-B388</f>
        <v>1.4259399999999992E-2</v>
      </c>
    </row>
    <row r="389" spans="1:7" x14ac:dyDescent="0.25">
      <c r="A389" s="49" t="s">
        <v>173</v>
      </c>
      <c r="B389" s="46">
        <v>0.1552867</v>
      </c>
      <c r="C389" s="46">
        <v>1.49015E-2</v>
      </c>
      <c r="D389" s="46">
        <v>-19.41</v>
      </c>
      <c r="E389" s="46">
        <v>0</v>
      </c>
      <c r="F389" s="46">
        <f>B389-0.1286626</f>
        <v>2.6624100000000012E-2</v>
      </c>
      <c r="G389" s="46">
        <f>0.1874202-B389</f>
        <v>3.2133500000000009E-2</v>
      </c>
    </row>
    <row r="390" spans="1:7" x14ac:dyDescent="0.25">
      <c r="A390" s="49" t="s">
        <v>174</v>
      </c>
      <c r="B390" s="46">
        <v>0.1221464</v>
      </c>
      <c r="C390" s="46">
        <v>1.1073599999999999E-2</v>
      </c>
      <c r="D390" s="46">
        <v>-23.19</v>
      </c>
      <c r="E390" s="46">
        <v>0</v>
      </c>
      <c r="F390" s="46">
        <f>B390-0.1022616</f>
        <v>1.9884800000000008E-2</v>
      </c>
      <c r="G390" s="46">
        <f>0.1458979-B390</f>
        <v>2.3751499999999995E-2</v>
      </c>
    </row>
    <row r="391" spans="1:7" x14ac:dyDescent="0.25">
      <c r="A391" s="49" t="s">
        <v>175</v>
      </c>
      <c r="B391" s="46">
        <v>0.13975799999999999</v>
      </c>
      <c r="C391" s="46">
        <v>1.38502E-2</v>
      </c>
      <c r="D391" s="46">
        <v>-19.86</v>
      </c>
      <c r="E391" s="46">
        <v>0</v>
      </c>
      <c r="F391" s="46">
        <f>B391-0.1150858</f>
        <v>2.4672199999999991E-2</v>
      </c>
      <c r="G391" s="46">
        <f>0.1697195-B391</f>
        <v>2.9961500000000002E-2</v>
      </c>
    </row>
    <row r="392" spans="1:7" x14ac:dyDescent="0.25">
      <c r="A392" s="49" t="s">
        <v>176</v>
      </c>
      <c r="B392" s="46">
        <v>0.13749149999999999</v>
      </c>
      <c r="C392" s="46">
        <v>1.20208E-2</v>
      </c>
      <c r="D392" s="46">
        <v>-22.69</v>
      </c>
      <c r="E392" s="46">
        <v>0</v>
      </c>
      <c r="F392" s="46">
        <f>B392-0.1158392</f>
        <v>2.1652299999999985E-2</v>
      </c>
      <c r="G392" s="46">
        <f>0.1631909-B392</f>
        <v>2.5699400000000011E-2</v>
      </c>
    </row>
    <row r="393" spans="1:7" x14ac:dyDescent="0.25">
      <c r="A393" s="49" t="s">
        <v>177</v>
      </c>
      <c r="B393" s="46">
        <v>0.40374549999999998</v>
      </c>
      <c r="C393" s="46">
        <v>2.9308000000000001E-2</v>
      </c>
      <c r="D393" s="46">
        <v>-12.49</v>
      </c>
      <c r="E393" s="46">
        <v>0</v>
      </c>
      <c r="F393" s="46">
        <f>B393-0.350202</f>
        <v>5.3543499999999966E-2</v>
      </c>
      <c r="G393" s="46">
        <f>0.4654754-B393</f>
        <v>6.1729900000000004E-2</v>
      </c>
    </row>
    <row r="394" spans="1:7" x14ac:dyDescent="0.25">
      <c r="A394" s="49" t="s">
        <v>178</v>
      </c>
      <c r="B394" s="46">
        <v>0.432116</v>
      </c>
      <c r="C394" s="46">
        <v>2.9009299999999998E-2</v>
      </c>
      <c r="D394" s="46">
        <v>-12.5</v>
      </c>
      <c r="E394" s="46">
        <v>0</v>
      </c>
      <c r="F394" s="46">
        <f>B394-0.3788406</f>
        <v>5.3275399999999973E-2</v>
      </c>
      <c r="G394" s="46">
        <f>0.4928834-B394</f>
        <v>6.0767400000000027E-2</v>
      </c>
    </row>
    <row r="395" spans="1:7" x14ac:dyDescent="0.25">
      <c r="A395" s="49" t="s">
        <v>179</v>
      </c>
      <c r="B395" s="46">
        <v>0.87251730000000005</v>
      </c>
      <c r="C395" s="46">
        <v>6.5181299999999998E-2</v>
      </c>
      <c r="D395" s="46">
        <v>-1.83</v>
      </c>
      <c r="E395" s="46">
        <v>6.8000000000000005E-2</v>
      </c>
      <c r="F395" s="46">
        <f>B395-0.7536767</f>
        <v>0.11884060000000007</v>
      </c>
      <c r="G395" s="46">
        <f>1.010097-B395</f>
        <v>0.13757969999999997</v>
      </c>
    </row>
    <row r="396" spans="1:7" x14ac:dyDescent="0.25">
      <c r="A396" s="49" t="s">
        <v>180</v>
      </c>
      <c r="B396" s="46">
        <v>1.2147129999999999</v>
      </c>
      <c r="C396" s="46">
        <v>7.4956900000000007E-2</v>
      </c>
      <c r="D396" s="46">
        <v>3.15</v>
      </c>
      <c r="E396" s="46">
        <v>2E-3</v>
      </c>
      <c r="F396" s="46">
        <f>B396-1.076336</f>
        <v>0.13837699999999997</v>
      </c>
      <c r="G396" s="46">
        <f>1.370879-B396</f>
        <v>0.15616600000000003</v>
      </c>
    </row>
    <row r="397" spans="1:7" x14ac:dyDescent="0.25">
      <c r="A397" s="49" t="s">
        <v>181</v>
      </c>
      <c r="B397" s="46">
        <v>0.97151259999999995</v>
      </c>
      <c r="C397" s="46">
        <v>7.0699600000000001E-2</v>
      </c>
      <c r="D397" s="46">
        <v>-0.4</v>
      </c>
      <c r="E397" s="46">
        <v>0.69099999999999995</v>
      </c>
      <c r="F397" s="46">
        <f>B397-0.8423725</f>
        <v>0.12914009999999998</v>
      </c>
      <c r="G397" s="46">
        <f>1.12045-B397</f>
        <v>0.1489374</v>
      </c>
    </row>
    <row r="398" spans="1:7" x14ac:dyDescent="0.25">
      <c r="A398" s="49" t="s">
        <v>182</v>
      </c>
      <c r="B398" s="46">
        <v>0.91517749999999998</v>
      </c>
      <c r="C398" s="46">
        <v>5.9400099999999997E-2</v>
      </c>
      <c r="D398" s="46">
        <v>-1.37</v>
      </c>
      <c r="E398" s="46">
        <v>0.17199999999999999</v>
      </c>
      <c r="F398" s="46">
        <f>B398-0.8058564</f>
        <v>0.10932109999999995</v>
      </c>
      <c r="G398" s="46">
        <f>1.039329-B398</f>
        <v>0.12415149999999997</v>
      </c>
    </row>
    <row r="399" spans="1:7" x14ac:dyDescent="0.25">
      <c r="A399" s="49" t="s">
        <v>183</v>
      </c>
      <c r="B399" s="46">
        <v>5.0468199999999998E-2</v>
      </c>
      <c r="C399" s="46">
        <v>7.4609000000000003E-3</v>
      </c>
      <c r="D399" s="46">
        <v>-20.2</v>
      </c>
      <c r="E399" s="46">
        <v>0</v>
      </c>
      <c r="F399" s="46">
        <f>B399-0.037773</f>
        <v>1.2695199999999997E-2</v>
      </c>
      <c r="G399" s="46">
        <f>0.0674301-B399</f>
        <v>1.6961900000000009E-2</v>
      </c>
    </row>
    <row r="400" spans="1:7" x14ac:dyDescent="0.25">
      <c r="A400" s="49" t="s">
        <v>184</v>
      </c>
      <c r="B400" s="46">
        <v>5.7083500000000002E-2</v>
      </c>
      <c r="C400" s="46">
        <v>6.7045999999999998E-3</v>
      </c>
      <c r="D400" s="46">
        <v>-24.38</v>
      </c>
      <c r="E400" s="46">
        <v>0</v>
      </c>
      <c r="F400" s="46">
        <f>B400-0.0453455</f>
        <v>1.1738000000000005E-2</v>
      </c>
      <c r="G400" s="46">
        <f>0.07186-B400</f>
        <v>1.4776499999999991E-2</v>
      </c>
    </row>
    <row r="401" spans="1:7" x14ac:dyDescent="0.25">
      <c r="A401" s="49" t="s">
        <v>185</v>
      </c>
      <c r="B401" s="46">
        <v>0.13975799999999999</v>
      </c>
      <c r="C401" s="46">
        <v>1.3725599999999999E-2</v>
      </c>
      <c r="D401" s="46">
        <v>-20.04</v>
      </c>
      <c r="E401" s="46">
        <v>0</v>
      </c>
      <c r="F401" s="46">
        <f>B401-0.115287</f>
        <v>2.4470999999999993E-2</v>
      </c>
      <c r="G401" s="46">
        <f>0.1694233-B401</f>
        <v>2.9665300000000006E-2</v>
      </c>
    </row>
    <row r="402" spans="1:7" x14ac:dyDescent="0.25">
      <c r="A402" s="49" t="s">
        <v>186</v>
      </c>
      <c r="B402" s="46">
        <v>0.1344225</v>
      </c>
      <c r="C402" s="46">
        <v>1.2022400000000001E-2</v>
      </c>
      <c r="D402" s="46">
        <v>-22.44</v>
      </c>
      <c r="E402" s="46">
        <v>0</v>
      </c>
      <c r="F402" s="46">
        <f>B402-0.1128087</f>
        <v>2.1613800000000002E-2</v>
      </c>
      <c r="G402" s="46">
        <f>0.1601773-B402</f>
        <v>2.5754799999999994E-2</v>
      </c>
    </row>
    <row r="403" spans="1:7" x14ac:dyDescent="0.25">
      <c r="A403" s="49" t="s">
        <v>187</v>
      </c>
      <c r="B403" s="46">
        <v>0.24360599999999999</v>
      </c>
      <c r="C403" s="46">
        <v>2.7135599999999999E-2</v>
      </c>
      <c r="D403" s="46">
        <v>-12.68</v>
      </c>
      <c r="E403" s="46">
        <v>0</v>
      </c>
      <c r="F403" s="46">
        <f>B403-0.1958265</f>
        <v>4.7779500000000003E-2</v>
      </c>
      <c r="G403" s="46">
        <f>0.3030432-B403</f>
        <v>5.9437200000000023E-2</v>
      </c>
    </row>
    <row r="404" spans="1:7" x14ac:dyDescent="0.25">
      <c r="A404" s="49" t="s">
        <v>188</v>
      </c>
      <c r="B404" s="46">
        <v>0.2246512</v>
      </c>
      <c r="C404" s="46">
        <v>1.7880199999999999E-2</v>
      </c>
      <c r="D404" s="46">
        <v>-18.760000000000002</v>
      </c>
      <c r="E404" s="46">
        <v>0</v>
      </c>
      <c r="F404" s="46">
        <f>B404-0.1922034</f>
        <v>3.2447799999999999E-2</v>
      </c>
      <c r="G404" s="46">
        <f>0.2625769-B404</f>
        <v>3.7925700000000007E-2</v>
      </c>
    </row>
    <row r="405" spans="1:7" x14ac:dyDescent="0.25">
      <c r="A405" s="49" t="s">
        <v>273</v>
      </c>
      <c r="B405" s="46">
        <v>0.39098759999999999</v>
      </c>
      <c r="C405" s="46">
        <v>9.6483200000000005E-2</v>
      </c>
      <c r="D405" s="46">
        <v>-3.81</v>
      </c>
      <c r="E405" s="46">
        <v>0</v>
      </c>
      <c r="F405" s="46">
        <f>B405-0.2410537</f>
        <v>0.14993389999999998</v>
      </c>
      <c r="G405" s="46">
        <f>0.6341794-B405</f>
        <v>0.24319179999999996</v>
      </c>
    </row>
    <row r="406" spans="1:7" x14ac:dyDescent="0.25">
      <c r="A406" s="49" t="s">
        <v>274</v>
      </c>
      <c r="B406" s="46">
        <v>0.18383769999999999</v>
      </c>
      <c r="C406" s="46">
        <v>4.09729E-2</v>
      </c>
      <c r="D406" s="46">
        <v>-7.6</v>
      </c>
      <c r="E406" s="46">
        <v>0</v>
      </c>
      <c r="F406" s="46">
        <f>B406-0.1187743</f>
        <v>6.5063399999999993E-2</v>
      </c>
      <c r="G406" s="46">
        <f>0.2845421-B406</f>
        <v>0.10070440000000003</v>
      </c>
    </row>
    <row r="407" spans="1:7" x14ac:dyDescent="0.25">
      <c r="A407" s="49" t="s">
        <v>275</v>
      </c>
      <c r="B407" s="46">
        <v>0.25134919999999999</v>
      </c>
      <c r="C407" s="46">
        <v>8.0541100000000004E-2</v>
      </c>
      <c r="D407" s="46">
        <v>-4.3099999999999996</v>
      </c>
      <c r="E407" s="46">
        <v>0</v>
      </c>
      <c r="F407" s="46">
        <f>B407-0.134129</f>
        <v>0.1172202</v>
      </c>
      <c r="G407" s="46">
        <f>0.4710123-B407</f>
        <v>0.2196631</v>
      </c>
    </row>
    <row r="408" spans="1:7" x14ac:dyDescent="0.25">
      <c r="A408" s="49" t="s">
        <v>276</v>
      </c>
      <c r="B408" s="46">
        <v>0.23179530000000001</v>
      </c>
      <c r="C408" s="46">
        <v>4.4227299999999997E-2</v>
      </c>
      <c r="D408" s="46">
        <v>-7.66</v>
      </c>
      <c r="E408" s="46">
        <v>0</v>
      </c>
      <c r="F408" s="46">
        <f>B408-0.159475</f>
        <v>7.2320300000000004E-2</v>
      </c>
      <c r="G408" s="46">
        <f>0.3369122-B408</f>
        <v>0.10511689999999999</v>
      </c>
    </row>
    <row r="409" spans="1:7" x14ac:dyDescent="0.25">
      <c r="A409" s="49" t="s">
        <v>277</v>
      </c>
      <c r="B409" s="46">
        <v>8.3783099999999999E-2</v>
      </c>
      <c r="C409" s="46">
        <v>4.7730799999999997E-2</v>
      </c>
      <c r="D409" s="46">
        <v>-4.3499999999999996</v>
      </c>
      <c r="E409" s="46">
        <v>0</v>
      </c>
      <c r="F409" s="46">
        <f>B409-0.0274303</f>
        <v>5.6352799999999995E-2</v>
      </c>
      <c r="G409" s="46">
        <f>0.2559069-B409</f>
        <v>0.17212379999999999</v>
      </c>
    </row>
    <row r="410" spans="1:7" x14ac:dyDescent="0.25">
      <c r="A410" s="49" t="s">
        <v>278</v>
      </c>
      <c r="B410" s="46">
        <v>7.19365E-2</v>
      </c>
      <c r="C410" s="46">
        <v>2.4108399999999999E-2</v>
      </c>
      <c r="D410" s="46">
        <v>-7.85</v>
      </c>
      <c r="E410" s="46">
        <v>0</v>
      </c>
      <c r="F410" s="46">
        <f>B410-0.0372977</f>
        <v>3.4638799999999997E-2</v>
      </c>
      <c r="G410" s="46">
        <f>0.1387447-B410</f>
        <v>6.6808199999999998E-2</v>
      </c>
    </row>
    <row r="411" spans="1:7" x14ac:dyDescent="0.25">
      <c r="A411" s="49" t="s">
        <v>279</v>
      </c>
      <c r="B411" s="46">
        <v>0.2234215</v>
      </c>
      <c r="C411" s="46">
        <v>7.9874899999999999E-2</v>
      </c>
      <c r="D411" s="46">
        <v>-4.1900000000000004</v>
      </c>
      <c r="E411" s="46">
        <v>0</v>
      </c>
      <c r="F411" s="46">
        <f>B411-0.11087</f>
        <v>0.1125515</v>
      </c>
      <c r="G411" s="46">
        <f>0.4502316-B411</f>
        <v>0.22681010000000001</v>
      </c>
    </row>
    <row r="412" spans="1:7" x14ac:dyDescent="0.25">
      <c r="A412" s="49" t="s">
        <v>280</v>
      </c>
      <c r="B412" s="46">
        <v>0.26376709999999998</v>
      </c>
      <c r="C412" s="46">
        <v>4.6738500000000002E-2</v>
      </c>
      <c r="D412" s="46">
        <v>-7.52</v>
      </c>
      <c r="E412" s="46">
        <v>0</v>
      </c>
      <c r="F412" s="46">
        <f>B412-0.1863764</f>
        <v>7.7390699999999979E-2</v>
      </c>
      <c r="G412" s="46">
        <f>0.3732934-B412</f>
        <v>0.10952630000000002</v>
      </c>
    </row>
    <row r="413" spans="1:7" x14ac:dyDescent="0.25">
      <c r="A413" s="49" t="s">
        <v>281</v>
      </c>
      <c r="B413" s="46">
        <v>0.83783050000000003</v>
      </c>
      <c r="C413" s="46">
        <v>0.26936539999999998</v>
      </c>
      <c r="D413" s="46">
        <v>-0.55000000000000004</v>
      </c>
      <c r="E413" s="46">
        <v>0.58199999999999996</v>
      </c>
      <c r="F413" s="46">
        <f>B413-0.4461614</f>
        <v>0.39166910000000005</v>
      </c>
      <c r="G413" s="46">
        <f>1.573332-B413</f>
        <v>0.73550149999999992</v>
      </c>
    </row>
    <row r="414" spans="1:7" x14ac:dyDescent="0.25">
      <c r="A414" s="49" t="s">
        <v>282</v>
      </c>
      <c r="B414" s="46">
        <v>1.0310900000000001</v>
      </c>
      <c r="C414" s="46">
        <v>0.1243763</v>
      </c>
      <c r="D414" s="46">
        <v>0.25</v>
      </c>
      <c r="E414" s="46">
        <v>0.8</v>
      </c>
      <c r="F414" s="46">
        <f>B414-0.8139904</f>
        <v>0.21709960000000006</v>
      </c>
      <c r="G414" s="46">
        <f>1.306091-B414</f>
        <v>0.27500099999999983</v>
      </c>
    </row>
    <row r="415" spans="1:7" x14ac:dyDescent="0.25">
      <c r="A415" s="49" t="s">
        <v>283</v>
      </c>
      <c r="B415" s="46">
        <v>2.2342149999999998</v>
      </c>
      <c r="C415" s="46">
        <v>0.40832309999999999</v>
      </c>
      <c r="D415" s="46">
        <v>4.4000000000000004</v>
      </c>
      <c r="E415" s="46">
        <v>0</v>
      </c>
      <c r="F415" s="46">
        <f>B415-1.561565</f>
        <v>0.67264999999999975</v>
      </c>
      <c r="G415" s="46">
        <f>3.196611-B415</f>
        <v>0.96239600000000003</v>
      </c>
    </row>
    <row r="416" spans="1:7" x14ac:dyDescent="0.25">
      <c r="A416" s="49" t="s">
        <v>284</v>
      </c>
      <c r="B416" s="46">
        <v>2.9493960000000001</v>
      </c>
      <c r="C416" s="46">
        <v>0.26881870000000002</v>
      </c>
      <c r="D416" s="46">
        <v>11.87</v>
      </c>
      <c r="E416" s="46">
        <v>0</v>
      </c>
      <c r="F416" s="46">
        <f>B416-2.466899</f>
        <v>0.48249699999999995</v>
      </c>
      <c r="G416" s="46">
        <f>3.526263-B416</f>
        <v>0.57686700000000002</v>
      </c>
    </row>
    <row r="417" spans="1:21" x14ac:dyDescent="0.25">
      <c r="A417" s="49" t="s">
        <v>285</v>
      </c>
      <c r="B417" s="46">
        <v>0.30720449999999999</v>
      </c>
      <c r="C417" s="46">
        <v>9.5457299999999995E-2</v>
      </c>
      <c r="D417" s="46">
        <v>-3.8</v>
      </c>
      <c r="E417" s="46">
        <v>0</v>
      </c>
      <c r="F417" s="46">
        <f>B417-0.167084</f>
        <v>0.14012049999999998</v>
      </c>
      <c r="G417" s="46">
        <f>0.5648335-B417</f>
        <v>0.257629</v>
      </c>
    </row>
    <row r="418" spans="1:21" x14ac:dyDescent="0.25">
      <c r="A418" s="49" t="s">
        <v>286</v>
      </c>
      <c r="B418" s="46">
        <v>0.26376709999999998</v>
      </c>
      <c r="C418" s="46">
        <v>4.7145300000000001E-2</v>
      </c>
      <c r="D418" s="46">
        <v>-7.46</v>
      </c>
      <c r="E418" s="46">
        <v>0</v>
      </c>
      <c r="F418" s="46">
        <f>B418-0.185814</f>
        <v>7.795309999999997E-2</v>
      </c>
      <c r="G418" s="46">
        <f>0.3744233-B418</f>
        <v>0.11065620000000004</v>
      </c>
    </row>
    <row r="419" spans="1:21" x14ac:dyDescent="0.25">
      <c r="A419" s="49" t="s">
        <v>287</v>
      </c>
      <c r="B419" s="46">
        <v>0.2234215</v>
      </c>
      <c r="C419" s="46">
        <v>7.7959100000000003E-2</v>
      </c>
      <c r="D419" s="46">
        <v>-4.3</v>
      </c>
      <c r="E419" s="46">
        <v>0</v>
      </c>
      <c r="F419" s="46">
        <f>B419-0.112749</f>
        <v>0.11067249999999999</v>
      </c>
      <c r="G419" s="46">
        <f>0.4427283-B419</f>
        <v>0.21930680000000002</v>
      </c>
    </row>
    <row r="420" spans="1:21" x14ac:dyDescent="0.25">
      <c r="A420" s="49" t="s">
        <v>288</v>
      </c>
      <c r="B420" s="46">
        <v>0.19183059999999999</v>
      </c>
      <c r="C420" s="46">
        <v>4.0822299999999999E-2</v>
      </c>
      <c r="D420" s="46">
        <v>-7.76</v>
      </c>
      <c r="E420" s="46">
        <v>0</v>
      </c>
      <c r="F420" s="46">
        <f>B420-0.1264092</f>
        <v>6.5421399999999991E-2</v>
      </c>
      <c r="G420" s="46">
        <f>0.2911099-B420</f>
        <v>9.9279299999999987E-2</v>
      </c>
    </row>
    <row r="421" spans="1:21" x14ac:dyDescent="0.25">
      <c r="A421" s="49" t="s">
        <v>289</v>
      </c>
      <c r="B421" s="46">
        <v>0.1117107</v>
      </c>
      <c r="C421" s="46">
        <v>5.4356700000000001E-2</v>
      </c>
      <c r="D421" s="46">
        <v>-4.5</v>
      </c>
      <c r="E421" s="46">
        <v>0</v>
      </c>
      <c r="F421" s="46">
        <f>B421-0.0430441</f>
        <v>6.8666599999999994E-2</v>
      </c>
      <c r="G421" s="46">
        <f>0.2899189-B421</f>
        <v>0.17820819999999998</v>
      </c>
    </row>
    <row r="422" spans="1:21" x14ac:dyDescent="0.25">
      <c r="A422" s="49" t="s">
        <v>290</v>
      </c>
      <c r="B422" s="46">
        <v>5.5950600000000003E-2</v>
      </c>
      <c r="C422" s="46">
        <v>2.1249400000000002E-2</v>
      </c>
      <c r="D422" s="46">
        <v>-7.59</v>
      </c>
      <c r="E422" s="46">
        <v>0</v>
      </c>
      <c r="F422" s="46">
        <f>B422-0.0265784</f>
        <v>2.9372200000000005E-2</v>
      </c>
      <c r="G422" s="46">
        <f>0.1177825-B422</f>
        <v>6.1831899999999995E-2</v>
      </c>
    </row>
    <row r="423" spans="1:21" x14ac:dyDescent="0.25">
      <c r="A423" s="49"/>
      <c r="B423" s="47"/>
      <c r="C423" s="47"/>
      <c r="D423" s="47"/>
      <c r="E423" s="47"/>
      <c r="F423" s="47"/>
      <c r="G423" s="47"/>
    </row>
    <row r="424" spans="1:21" x14ac:dyDescent="0.25">
      <c r="A424" s="50" t="s">
        <v>6</v>
      </c>
      <c r="B424" s="48">
        <v>1.5745700000000001E-2</v>
      </c>
      <c r="C424" s="48">
        <v>8.7719999999999996E-4</v>
      </c>
      <c r="D424" s="48">
        <v>-74.52</v>
      </c>
      <c r="E424" s="48">
        <v>0</v>
      </c>
      <c r="F424" s="48">
        <v>1.4116999999999999E-2</v>
      </c>
      <c r="G424" s="48">
        <v>1.7562299999999999E-2</v>
      </c>
    </row>
    <row r="425" spans="1:21" x14ac:dyDescent="0.25">
      <c r="T425" s="46"/>
      <c r="U425" s="46"/>
    </row>
    <row r="426" spans="1:21" ht="15.75" thickBot="1" x14ac:dyDescent="0.3">
      <c r="T426" s="46"/>
      <c r="U426" s="46"/>
    </row>
    <row r="427" spans="1:21" x14ac:dyDescent="0.25">
      <c r="A427" s="10"/>
      <c r="B427" s="11"/>
      <c r="C427" s="11" t="s">
        <v>9</v>
      </c>
      <c r="D427" s="11" t="s">
        <v>10</v>
      </c>
      <c r="E427" s="11" t="s">
        <v>40</v>
      </c>
      <c r="F427" s="11" t="s">
        <v>11</v>
      </c>
      <c r="G427" s="11" t="s">
        <v>7</v>
      </c>
      <c r="H427" s="11" t="s">
        <v>8</v>
      </c>
      <c r="I427" s="11" t="s">
        <v>62</v>
      </c>
      <c r="J427" s="11" t="s">
        <v>63</v>
      </c>
      <c r="K427" s="12" t="s">
        <v>64</v>
      </c>
      <c r="M427" s="46">
        <v>1.1593999999999999E-3</v>
      </c>
      <c r="N427" s="46">
        <v>4.6582000000000004E-3</v>
      </c>
      <c r="O427" s="46">
        <v>3.914479999999998E-2</v>
      </c>
      <c r="P427" s="46">
        <v>4.6057700000000035E-2</v>
      </c>
      <c r="Q427" s="46">
        <v>4.8858000000000009E-3</v>
      </c>
      <c r="R427" s="46">
        <v>8.0854999999999989E-3</v>
      </c>
      <c r="T427" s="46"/>
      <c r="U427" s="46"/>
    </row>
    <row r="428" spans="1:21" x14ac:dyDescent="0.25">
      <c r="A428" s="24" t="s">
        <v>105</v>
      </c>
      <c r="B428" s="7" t="s">
        <v>152</v>
      </c>
      <c r="C428" s="14">
        <f>B369</f>
        <v>1.5435E-3</v>
      </c>
      <c r="D428" s="15">
        <f>B371</f>
        <v>2.0061699999999998E-2</v>
      </c>
      <c r="E428" s="15">
        <f>B373</f>
        <v>9.5679E-2</v>
      </c>
      <c r="F428" s="15">
        <f>B375</f>
        <v>0.26080249999999999</v>
      </c>
      <c r="G428" s="15">
        <f>B377</f>
        <v>1.317901</v>
      </c>
      <c r="H428" s="15">
        <f>B379</f>
        <v>1</v>
      </c>
      <c r="I428" s="16">
        <f>B381</f>
        <v>1.2345800000000001E-2</v>
      </c>
      <c r="J428" s="16">
        <f>B383</f>
        <v>6.4814800000000006E-2</v>
      </c>
      <c r="K428" s="17">
        <f>B385</f>
        <v>0.26697530000000003</v>
      </c>
      <c r="M428" s="46">
        <v>2.9610000000000001E-3</v>
      </c>
      <c r="N428" s="46">
        <v>6.6354000000000005E-3</v>
      </c>
      <c r="O428" s="46">
        <v>5.2914399999999973E-2</v>
      </c>
      <c r="P428" s="46">
        <v>6.1507599999999996E-2</v>
      </c>
      <c r="Q428" s="46">
        <v>6.0709000000000006E-3</v>
      </c>
      <c r="R428" s="46">
        <v>9.7674999999999984E-3</v>
      </c>
      <c r="T428" s="46"/>
      <c r="U428" s="46"/>
    </row>
    <row r="429" spans="1:21" x14ac:dyDescent="0.25">
      <c r="A429" s="24"/>
      <c r="B429" s="7" t="s">
        <v>372</v>
      </c>
      <c r="C429" s="15">
        <f>B370</f>
        <v>5.3470000000000002E-3</v>
      </c>
      <c r="D429" s="15">
        <f>B372</f>
        <v>2.317E-2</v>
      </c>
      <c r="E429" s="15">
        <f>B374</f>
        <v>0.10872080000000001</v>
      </c>
      <c r="F429" s="15">
        <f>B376</f>
        <v>0.37874059999999998</v>
      </c>
      <c r="G429" s="15">
        <f>B378</f>
        <v>1.563976</v>
      </c>
      <c r="H429" s="15">
        <f>B380</f>
        <v>0.83233809999999997</v>
      </c>
      <c r="I429" s="16">
        <f>B382</f>
        <v>1.6040800000000001E-2</v>
      </c>
      <c r="J429" s="16">
        <f>B384</f>
        <v>6.5945400000000001E-2</v>
      </c>
      <c r="K429" s="18">
        <f>B386</f>
        <v>0.36448209999999998</v>
      </c>
      <c r="M429" s="46">
        <v>0.14993389999999998</v>
      </c>
      <c r="N429" s="46">
        <v>0.24319179999999996</v>
      </c>
      <c r="O429" s="46">
        <v>0.1125515</v>
      </c>
      <c r="P429" s="46">
        <v>0.22681010000000001</v>
      </c>
      <c r="Q429" s="46">
        <v>0.14012049999999998</v>
      </c>
      <c r="R429" s="46">
        <v>0.257629</v>
      </c>
      <c r="T429" s="46"/>
      <c r="U429" s="46"/>
    </row>
    <row r="430" spans="1:21" x14ac:dyDescent="0.25">
      <c r="A430" s="24" t="s">
        <v>106</v>
      </c>
      <c r="B430" s="7" t="s">
        <v>152</v>
      </c>
      <c r="C430" s="15">
        <f>B405</f>
        <v>0.39098759999999999</v>
      </c>
      <c r="D430" s="15">
        <f>B407</f>
        <v>0.25134919999999999</v>
      </c>
      <c r="E430" s="42">
        <f>B409</f>
        <v>8.3783099999999999E-2</v>
      </c>
      <c r="F430" s="15">
        <f>B411</f>
        <v>0.2234215</v>
      </c>
      <c r="G430" s="25">
        <f>B413</f>
        <v>0.83783050000000003</v>
      </c>
      <c r="H430" s="25">
        <f>B415</f>
        <v>2.2342149999999998</v>
      </c>
      <c r="I430" s="16">
        <f>B417</f>
        <v>0.30720449999999999</v>
      </c>
      <c r="J430" s="16">
        <f>B419</f>
        <v>0.2234215</v>
      </c>
      <c r="K430" s="17">
        <f>B421</f>
        <v>0.1117107</v>
      </c>
      <c r="M430" s="46">
        <v>6.5063399999999993E-2</v>
      </c>
      <c r="N430" s="46">
        <v>0.10070440000000003</v>
      </c>
      <c r="O430" s="46">
        <v>7.7390699999999979E-2</v>
      </c>
      <c r="P430" s="46">
        <v>0.10952630000000002</v>
      </c>
      <c r="Q430" s="46">
        <v>7.795309999999997E-2</v>
      </c>
      <c r="R430" s="46">
        <v>0.11065620000000004</v>
      </c>
      <c r="T430" s="46"/>
      <c r="U430" s="46"/>
    </row>
    <row r="431" spans="1:21" ht="15.75" thickBot="1" x14ac:dyDescent="0.3">
      <c r="A431" s="26"/>
      <c r="B431" s="27" t="s">
        <v>372</v>
      </c>
      <c r="C431" s="29">
        <f>B406</f>
        <v>0.18383769999999999</v>
      </c>
      <c r="D431" s="29">
        <f>B408</f>
        <v>0.23179530000000001</v>
      </c>
      <c r="E431" s="30">
        <f>B410</f>
        <v>7.19365E-2</v>
      </c>
      <c r="F431" s="29">
        <f>B412</f>
        <v>0.26376709999999998</v>
      </c>
      <c r="G431" s="28">
        <f>B414</f>
        <v>1.0310900000000001</v>
      </c>
      <c r="H431" s="28">
        <f>B416</f>
        <v>2.9493960000000001</v>
      </c>
      <c r="I431" s="29">
        <f>B418</f>
        <v>0.26376709999999998</v>
      </c>
      <c r="J431" s="29">
        <f>B420</f>
        <v>0.19183059999999999</v>
      </c>
      <c r="K431" s="31">
        <f>B422</f>
        <v>5.5950600000000003E-2</v>
      </c>
      <c r="M431" s="46">
        <v>6.8289999999999983E-3</v>
      </c>
      <c r="N431" s="46">
        <v>1.0353200000000003E-2</v>
      </c>
      <c r="O431" s="46">
        <v>0.199125</v>
      </c>
      <c r="P431" s="46">
        <v>0.23456600000000005</v>
      </c>
      <c r="Q431" s="46">
        <v>1.5018600000000007E-2</v>
      </c>
      <c r="R431" s="46">
        <v>1.9548199999999988E-2</v>
      </c>
      <c r="T431" s="46"/>
      <c r="U431" s="46"/>
    </row>
    <row r="432" spans="1:21" x14ac:dyDescent="0.25">
      <c r="M432" s="46">
        <v>7.6381000000000001E-3</v>
      </c>
      <c r="N432" s="46">
        <v>1.13943E-2</v>
      </c>
      <c r="O432" s="46">
        <v>0.18858700000000006</v>
      </c>
      <c r="P432" s="46">
        <v>0.214445</v>
      </c>
      <c r="Q432" s="46">
        <v>1.4780000000000001E-2</v>
      </c>
      <c r="R432" s="46">
        <v>1.9049499999999997E-2</v>
      </c>
      <c r="T432" s="46"/>
      <c r="U432" s="46"/>
    </row>
    <row r="433" spans="13:21" x14ac:dyDescent="0.25">
      <c r="M433" s="46">
        <v>0.1172202</v>
      </c>
      <c r="N433" s="46">
        <v>0.2196631</v>
      </c>
      <c r="O433" s="46">
        <v>0.39166910000000005</v>
      </c>
      <c r="P433" s="46">
        <v>0.73550149999999992</v>
      </c>
      <c r="Q433" s="46">
        <v>0.11067249999999999</v>
      </c>
      <c r="R433" s="46">
        <v>0.21930680000000002</v>
      </c>
      <c r="T433" s="46"/>
      <c r="U433" s="46"/>
    </row>
    <row r="434" spans="13:21" x14ac:dyDescent="0.25">
      <c r="M434" s="46">
        <v>7.2320300000000004E-2</v>
      </c>
      <c r="N434" s="46">
        <v>0.10511689999999999</v>
      </c>
      <c r="O434" s="46">
        <v>0.21709960000000006</v>
      </c>
      <c r="P434" s="46">
        <v>0.27500099999999983</v>
      </c>
      <c r="Q434" s="46">
        <v>6.5421399999999991E-2</v>
      </c>
      <c r="R434" s="46">
        <v>9.9279299999999987E-2</v>
      </c>
      <c r="T434" s="46"/>
      <c r="U434" s="46"/>
    </row>
    <row r="435" spans="13:21" x14ac:dyDescent="0.25">
      <c r="M435" s="46">
        <v>1.8499799999999997E-2</v>
      </c>
      <c r="N435" s="46">
        <v>2.2934200000000002E-2</v>
      </c>
      <c r="O435" s="46">
        <v>0</v>
      </c>
      <c r="P435" s="46">
        <v>0</v>
      </c>
      <c r="Q435" s="46">
        <v>4.8823200000000039E-2</v>
      </c>
      <c r="R435" s="46">
        <v>5.974999999999997E-2</v>
      </c>
      <c r="T435" s="46"/>
      <c r="U435" s="46"/>
    </row>
    <row r="436" spans="13:21" x14ac:dyDescent="0.25">
      <c r="M436" s="46">
        <v>2.0835400000000004E-2</v>
      </c>
      <c r="N436" s="46">
        <v>2.5774899999999989E-2</v>
      </c>
      <c r="O436" s="46">
        <v>0.10292610000000002</v>
      </c>
      <c r="P436" s="46">
        <v>0.11744969999999999</v>
      </c>
      <c r="Q436" s="46">
        <v>5.5151299999999959E-2</v>
      </c>
      <c r="R436" s="46">
        <v>6.498430000000005E-2</v>
      </c>
      <c r="T436" s="46"/>
      <c r="U436" s="46"/>
    </row>
    <row r="437" spans="13:21" x14ac:dyDescent="0.25">
      <c r="M437" s="46">
        <v>5.6352799999999995E-2</v>
      </c>
      <c r="N437" s="46">
        <v>0.17212379999999999</v>
      </c>
      <c r="O437" s="46">
        <v>0.67264999999999975</v>
      </c>
      <c r="P437" s="46">
        <v>0.96239600000000003</v>
      </c>
      <c r="Q437" s="46">
        <v>6.8666599999999994E-2</v>
      </c>
      <c r="R437" s="46">
        <v>0.17820819999999998</v>
      </c>
      <c r="T437" s="46"/>
      <c r="U437" s="46"/>
    </row>
    <row r="438" spans="13:21" x14ac:dyDescent="0.25">
      <c r="M438" s="46">
        <v>3.4638799999999997E-2</v>
      </c>
      <c r="N438" s="46">
        <v>6.6808199999999998E-2</v>
      </c>
      <c r="O438" s="46">
        <v>0.48249699999999995</v>
      </c>
      <c r="P438" s="46">
        <v>0.57686700000000002</v>
      </c>
      <c r="Q438" s="46">
        <v>2.9372200000000005E-2</v>
      </c>
      <c r="R438" s="46">
        <v>6.1831899999999995E-2</v>
      </c>
      <c r="T438" s="46"/>
      <c r="U438" s="46"/>
    </row>
    <row r="439" spans="13:21" x14ac:dyDescent="0.25">
      <c r="M439" s="7"/>
      <c r="N439" s="7"/>
      <c r="O439" s="7"/>
      <c r="P439" s="7"/>
      <c r="Q439" s="7"/>
      <c r="R439" s="7"/>
      <c r="T439" s="46"/>
      <c r="U439" s="46"/>
    </row>
    <row r="440" spans="13:21" x14ac:dyDescent="0.25">
      <c r="M440" s="9"/>
      <c r="N440" s="9"/>
      <c r="O440" s="7"/>
      <c r="P440" s="7"/>
      <c r="Q440" s="7"/>
      <c r="R440" s="7"/>
      <c r="T440" s="46"/>
      <c r="U440" s="46"/>
    </row>
    <row r="441" spans="13:21" x14ac:dyDescent="0.25">
      <c r="M441" s="7"/>
      <c r="N441" s="7"/>
      <c r="O441" s="7"/>
      <c r="P441" s="7"/>
      <c r="Q441" s="7"/>
      <c r="R441" s="7"/>
      <c r="T441" s="46"/>
      <c r="U441" s="46"/>
    </row>
    <row r="442" spans="13:21" x14ac:dyDescent="0.25">
      <c r="M442" s="7"/>
      <c r="N442" s="7"/>
      <c r="O442" s="7"/>
      <c r="P442" s="7"/>
      <c r="Q442" s="7"/>
      <c r="R442" s="7"/>
      <c r="T442" s="46"/>
      <c r="U442" s="46"/>
    </row>
    <row r="443" spans="13:21" x14ac:dyDescent="0.25">
      <c r="M443" s="7"/>
      <c r="N443" s="7"/>
      <c r="O443" s="9"/>
      <c r="P443" s="9"/>
      <c r="Q443" s="7"/>
      <c r="R443" s="7"/>
      <c r="T443" s="7"/>
      <c r="U443" s="7"/>
    </row>
    <row r="444" spans="13:21" x14ac:dyDescent="0.25">
      <c r="M444" s="7"/>
      <c r="N444" s="7"/>
      <c r="O444" s="9"/>
      <c r="P444" s="9"/>
      <c r="Q444" s="7"/>
      <c r="R444" s="7"/>
      <c r="T444" s="7"/>
      <c r="U444" s="7"/>
    </row>
    <row r="445" spans="13:21" x14ac:dyDescent="0.25">
      <c r="M445" s="7"/>
      <c r="N445" s="7"/>
      <c r="O445" s="9"/>
      <c r="P445" s="9"/>
      <c r="Q445" s="7"/>
      <c r="R445" s="7"/>
      <c r="T445" s="9"/>
      <c r="U445" s="9"/>
    </row>
    <row r="446" spans="13:21" x14ac:dyDescent="0.25">
      <c r="M446" s="7"/>
      <c r="N446" s="7"/>
      <c r="O446" s="9"/>
      <c r="P446" s="9"/>
      <c r="Q446" s="7"/>
      <c r="R446" s="7"/>
      <c r="T446" s="9"/>
      <c r="U446" s="9"/>
    </row>
    <row r="447" spans="13:21" x14ac:dyDescent="0.25">
      <c r="M447" s="7"/>
      <c r="N447" s="7"/>
      <c r="O447" s="7"/>
      <c r="P447" s="7"/>
      <c r="T447" s="7"/>
      <c r="U447" s="7"/>
    </row>
    <row r="448" spans="13:21" x14ac:dyDescent="0.25">
      <c r="M448" s="7"/>
      <c r="N448" s="7"/>
      <c r="O448" s="7"/>
      <c r="P448" s="7"/>
      <c r="T448" s="7"/>
      <c r="U448" s="7"/>
    </row>
    <row r="449" spans="13:21" x14ac:dyDescent="0.25">
      <c r="M449" s="9"/>
      <c r="N449" s="9"/>
      <c r="O449" s="7"/>
      <c r="P449" s="7"/>
      <c r="T449" s="7"/>
      <c r="U449" s="7"/>
    </row>
    <row r="450" spans="13:21" x14ac:dyDescent="0.25">
      <c r="M450" s="9"/>
      <c r="N450" s="9"/>
      <c r="O450" s="7"/>
      <c r="P450" s="7"/>
      <c r="T450" s="7"/>
      <c r="U450" s="7"/>
    </row>
    <row r="451" spans="13:21" x14ac:dyDescent="0.25">
      <c r="M451" s="7"/>
      <c r="N451" s="9"/>
      <c r="O451" s="7"/>
      <c r="P451" s="7"/>
      <c r="T451" s="7"/>
      <c r="U451" s="9"/>
    </row>
    <row r="452" spans="13:21" x14ac:dyDescent="0.25">
      <c r="M452" s="9"/>
      <c r="N452" s="9"/>
      <c r="O452" s="7"/>
      <c r="P452" s="7"/>
      <c r="T452" s="7"/>
      <c r="U452" s="7"/>
    </row>
    <row r="453" spans="13:21" x14ac:dyDescent="0.25">
      <c r="M453" s="7"/>
      <c r="N453" s="7"/>
      <c r="O453" s="7"/>
      <c r="P453" s="7"/>
      <c r="T453" s="7"/>
      <c r="U453" s="7"/>
    </row>
    <row r="454" spans="13:21" x14ac:dyDescent="0.25">
      <c r="M454" s="9"/>
      <c r="N454" s="9"/>
      <c r="O454" s="7"/>
      <c r="P454" s="7"/>
      <c r="T454" s="7"/>
      <c r="U454" s="7"/>
    </row>
    <row r="455" spans="13:21" x14ac:dyDescent="0.25">
      <c r="M455" s="7"/>
      <c r="N455" s="7"/>
      <c r="T455" s="7"/>
      <c r="U455" s="7"/>
    </row>
    <row r="456" spans="13:21" x14ac:dyDescent="0.25">
      <c r="M456" s="7"/>
      <c r="N456" s="7"/>
      <c r="T456" s="7"/>
      <c r="U456" s="7"/>
    </row>
    <row r="457" spans="13:21" x14ac:dyDescent="0.25">
      <c r="M457" s="7"/>
      <c r="N457" s="7"/>
      <c r="T457" s="7"/>
      <c r="U457" s="7"/>
    </row>
    <row r="458" spans="13:21" x14ac:dyDescent="0.25">
      <c r="M458" s="23"/>
      <c r="N458" s="23"/>
      <c r="T458" s="7"/>
      <c r="U458" s="7"/>
    </row>
    <row r="459" spans="13:21" x14ac:dyDescent="0.25">
      <c r="M459" s="7"/>
      <c r="N459" s="7"/>
    </row>
    <row r="460" spans="13:21" x14ac:dyDescent="0.25">
      <c r="M460" s="7"/>
      <c r="N460" s="7"/>
    </row>
    <row r="461" spans="13:21" x14ac:dyDescent="0.25">
      <c r="M461" s="7"/>
      <c r="N461" s="7"/>
    </row>
    <row r="462" spans="13:21" x14ac:dyDescent="0.25">
      <c r="M462" s="7"/>
      <c r="N462" s="7"/>
    </row>
    <row r="463" spans="13:21" x14ac:dyDescent="0.25">
      <c r="M463" s="7"/>
      <c r="N463" s="7"/>
    </row>
    <row r="464" spans="13:21" x14ac:dyDescent="0.25">
      <c r="M464" s="7"/>
      <c r="N464" s="7"/>
    </row>
    <row r="465" spans="13:14" x14ac:dyDescent="0.25">
      <c r="M465" s="7"/>
      <c r="N465" s="7"/>
    </row>
    <row r="466" spans="13:14" x14ac:dyDescent="0.25">
      <c r="M466" s="7"/>
      <c r="N466" s="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41E5F-60E2-429E-BD47-4928A9B92D26}">
  <dimension ref="A1:X497"/>
  <sheetViews>
    <sheetView tabSelected="1" topLeftCell="A444" workbookViewId="0">
      <selection activeCell="L450" sqref="L450"/>
    </sheetView>
  </sheetViews>
  <sheetFormatPr defaultColWidth="8.7109375" defaultRowHeight="15" x14ac:dyDescent="0.25"/>
  <cols>
    <col min="1" max="1" width="8.7109375" style="4"/>
    <col min="2" max="2" width="9.5703125" style="4" bestFit="1" customWidth="1"/>
    <col min="3" max="8" width="8.7109375" style="4"/>
    <col min="9" max="9" width="9.5703125" style="4" bestFit="1" customWidth="1"/>
    <col min="10" max="16384" width="8.7109375" style="4"/>
  </cols>
  <sheetData>
    <row r="1" spans="1:7" s="1" customFormat="1" x14ac:dyDescent="0.25">
      <c r="A1" s="1" t="s">
        <v>42</v>
      </c>
    </row>
    <row r="2" spans="1:7" s="1" customFormat="1" x14ac:dyDescent="0.25">
      <c r="A2" s="1" t="s">
        <v>49</v>
      </c>
    </row>
    <row r="4" spans="1:7" x14ac:dyDescent="0.25">
      <c r="A4" s="36"/>
      <c r="B4" s="2" t="s">
        <v>1</v>
      </c>
      <c r="C4" s="3"/>
      <c r="D4" s="3"/>
      <c r="E4" s="3"/>
      <c r="F4" s="3"/>
      <c r="G4" s="3"/>
    </row>
    <row r="5" spans="1:7" x14ac:dyDescent="0.25">
      <c r="A5" s="5" t="s">
        <v>2</v>
      </c>
      <c r="B5" s="6" t="s">
        <v>269</v>
      </c>
      <c r="C5" s="6" t="s">
        <v>270</v>
      </c>
      <c r="D5" s="6" t="s">
        <v>3</v>
      </c>
      <c r="E5" s="6" t="s">
        <v>4</v>
      </c>
      <c r="F5" s="6" t="s">
        <v>271</v>
      </c>
      <c r="G5" s="6" t="s">
        <v>272</v>
      </c>
    </row>
    <row r="6" spans="1:7" x14ac:dyDescent="0.25">
      <c r="A6" s="36"/>
      <c r="B6" s="2"/>
      <c r="C6" s="2"/>
      <c r="D6" s="3"/>
      <c r="E6" s="3"/>
      <c r="F6" s="3"/>
      <c r="G6" s="3"/>
    </row>
    <row r="7" spans="1:7" x14ac:dyDescent="0.25">
      <c r="A7" s="36" t="s">
        <v>66</v>
      </c>
      <c r="B7" s="3"/>
      <c r="C7" s="3"/>
      <c r="D7" s="3"/>
      <c r="E7" s="3"/>
      <c r="F7" s="3"/>
      <c r="G7" s="3"/>
    </row>
    <row r="8" spans="1:7" x14ac:dyDescent="0.25">
      <c r="A8" s="36" t="s">
        <v>46</v>
      </c>
      <c r="B8" s="3">
        <v>1</v>
      </c>
      <c r="C8" s="3"/>
      <c r="D8" s="3"/>
      <c r="E8" s="3"/>
      <c r="F8" s="3"/>
      <c r="G8" s="3"/>
    </row>
    <row r="9" spans="1:7" x14ac:dyDescent="0.25">
      <c r="A9" s="36" t="s">
        <v>16</v>
      </c>
      <c r="B9" s="2">
        <v>2.1673450000000001</v>
      </c>
      <c r="C9" s="2">
        <v>0.13087309999999999</v>
      </c>
      <c r="D9" s="2">
        <v>12.81</v>
      </c>
      <c r="E9" s="2">
        <v>0</v>
      </c>
      <c r="F9" s="2">
        <v>1.9254359999999999</v>
      </c>
      <c r="G9" s="2">
        <v>2.4396469999999999</v>
      </c>
    </row>
    <row r="10" spans="1:7" x14ac:dyDescent="0.25">
      <c r="A10" s="36" t="s">
        <v>17</v>
      </c>
      <c r="B10" s="2">
        <v>2.3762819999999998</v>
      </c>
      <c r="C10" s="2">
        <v>0.1263348</v>
      </c>
      <c r="D10" s="2">
        <v>16.28</v>
      </c>
      <c r="E10" s="2">
        <v>0</v>
      </c>
      <c r="F10" s="2">
        <v>2.1411340000000001</v>
      </c>
      <c r="G10" s="2">
        <v>2.637254</v>
      </c>
    </row>
    <row r="11" spans="1:7" x14ac:dyDescent="0.25">
      <c r="A11" s="36" t="s">
        <v>18</v>
      </c>
      <c r="B11" s="2">
        <v>3.6388769999999999</v>
      </c>
      <c r="C11" s="2">
        <v>0.27750580000000002</v>
      </c>
      <c r="D11" s="2">
        <v>16.940000000000001</v>
      </c>
      <c r="E11" s="2">
        <v>0</v>
      </c>
      <c r="F11" s="2">
        <v>3.1336719999999998</v>
      </c>
      <c r="G11" s="2">
        <v>4.22553</v>
      </c>
    </row>
    <row r="12" spans="1:7" x14ac:dyDescent="0.25">
      <c r="A12" s="36" t="s">
        <v>19</v>
      </c>
      <c r="B12" s="2">
        <v>1.508554</v>
      </c>
      <c r="C12" s="2">
        <v>7.9704499999999998E-2</v>
      </c>
      <c r="D12" s="2">
        <v>7.78</v>
      </c>
      <c r="E12" s="2">
        <v>0</v>
      </c>
      <c r="F12" s="2">
        <v>1.360152</v>
      </c>
      <c r="G12" s="2">
        <v>1.6731469999999999</v>
      </c>
    </row>
    <row r="13" spans="1:7" x14ac:dyDescent="0.25">
      <c r="A13" s="36" t="s">
        <v>20</v>
      </c>
      <c r="B13" s="2">
        <v>5.1862979999999999</v>
      </c>
      <c r="C13" s="2">
        <v>0.27502569999999998</v>
      </c>
      <c r="D13" s="2">
        <v>31.04</v>
      </c>
      <c r="E13" s="2">
        <v>0</v>
      </c>
      <c r="F13" s="2">
        <v>4.6743240000000004</v>
      </c>
      <c r="G13" s="2">
        <v>5.7543480000000002</v>
      </c>
    </row>
    <row r="14" spans="1:7" x14ac:dyDescent="0.25">
      <c r="A14" s="36" t="s">
        <v>21</v>
      </c>
      <c r="B14" s="2">
        <v>4.3100820000000004</v>
      </c>
      <c r="C14" s="2">
        <v>0.21532190000000001</v>
      </c>
      <c r="D14" s="2">
        <v>29.24</v>
      </c>
      <c r="E14" s="2">
        <v>0</v>
      </c>
      <c r="F14" s="2">
        <v>3.9080620000000001</v>
      </c>
      <c r="G14" s="2">
        <v>4.7534580000000002</v>
      </c>
    </row>
    <row r="15" spans="1:7" x14ac:dyDescent="0.25">
      <c r="A15" s="36" t="s">
        <v>22</v>
      </c>
      <c r="B15" s="2">
        <v>7.5044399999999998</v>
      </c>
      <c r="C15" s="2">
        <v>0.46045799999999998</v>
      </c>
      <c r="D15" s="2">
        <v>32.85</v>
      </c>
      <c r="E15" s="2">
        <v>0</v>
      </c>
      <c r="F15" s="2">
        <v>6.6541139999999999</v>
      </c>
      <c r="G15" s="2">
        <v>8.4634300000000007</v>
      </c>
    </row>
    <row r="16" spans="1:7" x14ac:dyDescent="0.25">
      <c r="A16" s="36" t="s">
        <v>23</v>
      </c>
      <c r="B16" s="2">
        <v>1.407465</v>
      </c>
      <c r="C16" s="2">
        <v>7.6685500000000004E-2</v>
      </c>
      <c r="D16" s="2">
        <v>6.27</v>
      </c>
      <c r="E16" s="2">
        <v>0</v>
      </c>
      <c r="F16" s="2">
        <v>1.2649109999999999</v>
      </c>
      <c r="G16" s="2">
        <v>1.566084</v>
      </c>
    </row>
    <row r="17" spans="1:7" x14ac:dyDescent="0.25">
      <c r="A17" s="36" t="s">
        <v>24</v>
      </c>
      <c r="B17" s="2">
        <v>3.5214020000000001</v>
      </c>
      <c r="C17" s="2">
        <v>0.20747380000000001</v>
      </c>
      <c r="D17" s="2">
        <v>21.37</v>
      </c>
      <c r="E17" s="2">
        <v>0</v>
      </c>
      <c r="F17" s="2">
        <v>3.1373609999999998</v>
      </c>
      <c r="G17" s="2">
        <v>3.9524520000000001</v>
      </c>
    </row>
    <row r="18" spans="1:7" x14ac:dyDescent="0.25">
      <c r="A18" s="36" t="s">
        <v>25</v>
      </c>
      <c r="B18" s="2">
        <v>3.0536569999999998</v>
      </c>
      <c r="C18" s="2">
        <v>0.16277159999999999</v>
      </c>
      <c r="D18" s="2">
        <v>20.94</v>
      </c>
      <c r="E18" s="2">
        <v>0</v>
      </c>
      <c r="F18" s="2">
        <v>2.7507299999999999</v>
      </c>
      <c r="G18" s="2">
        <v>3.389945</v>
      </c>
    </row>
    <row r="19" spans="1:7" x14ac:dyDescent="0.25">
      <c r="A19" s="36" t="s">
        <v>26</v>
      </c>
      <c r="B19" s="2">
        <v>3.4241229999999998</v>
      </c>
      <c r="C19" s="2">
        <v>0.28274369999999999</v>
      </c>
      <c r="D19" s="2">
        <v>14.91</v>
      </c>
      <c r="E19" s="2">
        <v>0</v>
      </c>
      <c r="F19" s="2">
        <v>2.9124750000000001</v>
      </c>
      <c r="G19" s="2">
        <v>4.0256550000000004</v>
      </c>
    </row>
    <row r="20" spans="1:7" x14ac:dyDescent="0.25">
      <c r="A20" s="36" t="s">
        <v>27</v>
      </c>
      <c r="B20" s="2">
        <v>1.8538110000000001</v>
      </c>
      <c r="C20" s="2">
        <v>9.4976599999999994E-2</v>
      </c>
      <c r="D20" s="2">
        <v>12.05</v>
      </c>
      <c r="E20" s="2">
        <v>0</v>
      </c>
      <c r="F20" s="2">
        <v>1.676701</v>
      </c>
      <c r="G20" s="2">
        <v>2.0496289999999999</v>
      </c>
    </row>
    <row r="21" spans="1:7" x14ac:dyDescent="0.25">
      <c r="A21" s="36" t="s">
        <v>28</v>
      </c>
      <c r="B21" s="2">
        <v>4.7221710000000003</v>
      </c>
      <c r="C21" s="2">
        <v>0.25640760000000001</v>
      </c>
      <c r="D21" s="2">
        <v>28.59</v>
      </c>
      <c r="E21" s="2">
        <v>0</v>
      </c>
      <c r="F21" s="2">
        <v>4.2454390000000002</v>
      </c>
      <c r="G21" s="2">
        <v>5.2524369999999996</v>
      </c>
    </row>
    <row r="22" spans="1:7" x14ac:dyDescent="0.25">
      <c r="A22" s="36" t="s">
        <v>29</v>
      </c>
      <c r="B22" s="2">
        <v>4.4712329999999998</v>
      </c>
      <c r="C22" s="2">
        <v>0.22404640000000001</v>
      </c>
      <c r="D22" s="2">
        <v>29.89</v>
      </c>
      <c r="E22" s="2">
        <v>0</v>
      </c>
      <c r="F22" s="2">
        <v>4.0529840000000004</v>
      </c>
      <c r="G22" s="2">
        <v>4.9326420000000004</v>
      </c>
    </row>
    <row r="23" spans="1:7" x14ac:dyDescent="0.25">
      <c r="A23" s="36" t="s">
        <v>30</v>
      </c>
      <c r="B23" s="2">
        <v>6.0846809999999998</v>
      </c>
      <c r="C23" s="2">
        <v>0.3965648</v>
      </c>
      <c r="D23" s="2">
        <v>27.71</v>
      </c>
      <c r="E23" s="2">
        <v>0</v>
      </c>
      <c r="F23" s="2">
        <v>5.3550230000000001</v>
      </c>
      <c r="G23" s="2">
        <v>6.9137599999999999</v>
      </c>
    </row>
    <row r="24" spans="1:7" x14ac:dyDescent="0.25">
      <c r="A24" s="36" t="s">
        <v>67</v>
      </c>
      <c r="B24" s="2">
        <v>1.5972010000000001</v>
      </c>
      <c r="C24" s="2">
        <v>8.2155000000000006E-2</v>
      </c>
      <c r="D24" s="2">
        <v>9.1</v>
      </c>
      <c r="E24" s="2">
        <v>0</v>
      </c>
      <c r="F24" s="2">
        <v>1.4440310000000001</v>
      </c>
      <c r="G24" s="2">
        <v>1.766618</v>
      </c>
    </row>
    <row r="25" spans="1:7" x14ac:dyDescent="0.25">
      <c r="A25" s="36" t="s">
        <v>31</v>
      </c>
      <c r="B25" s="2">
        <v>3.887594</v>
      </c>
      <c r="C25" s="2">
        <v>0.20629980000000001</v>
      </c>
      <c r="D25" s="2">
        <v>25.59</v>
      </c>
      <c r="E25" s="2">
        <v>0</v>
      </c>
      <c r="F25" s="2">
        <v>3.5035699999999999</v>
      </c>
      <c r="G25" s="2">
        <v>4.3137090000000002</v>
      </c>
    </row>
    <row r="26" spans="1:7" x14ac:dyDescent="0.25">
      <c r="A26" s="36" t="s">
        <v>32</v>
      </c>
      <c r="B26" s="2">
        <v>2.9717169999999999</v>
      </c>
      <c r="C26" s="2">
        <v>0.1535029</v>
      </c>
      <c r="D26" s="2">
        <v>21.09</v>
      </c>
      <c r="E26" s="2">
        <v>0</v>
      </c>
      <c r="F26" s="2">
        <v>2.6855850000000001</v>
      </c>
      <c r="G26" s="2">
        <v>3.2883339999999999</v>
      </c>
    </row>
    <row r="27" spans="1:7" x14ac:dyDescent="0.25">
      <c r="A27" s="36" t="s">
        <v>33</v>
      </c>
      <c r="B27" s="2">
        <v>1.431689</v>
      </c>
      <c r="C27" s="2">
        <v>0.1422416</v>
      </c>
      <c r="D27" s="2">
        <v>3.61</v>
      </c>
      <c r="E27" s="2">
        <v>0</v>
      </c>
      <c r="F27" s="2">
        <v>1.1783650000000001</v>
      </c>
      <c r="G27" s="2">
        <v>1.739473</v>
      </c>
    </row>
    <row r="28" spans="1:7" x14ac:dyDescent="0.25">
      <c r="A28" s="36" t="s">
        <v>34</v>
      </c>
      <c r="B28" s="2">
        <v>0.27216420000000002</v>
      </c>
      <c r="C28" s="2">
        <v>2.3349000000000002E-2</v>
      </c>
      <c r="D28" s="2">
        <v>-15.17</v>
      </c>
      <c r="E28" s="2">
        <v>0</v>
      </c>
      <c r="F28" s="2">
        <v>0.23004150000000001</v>
      </c>
      <c r="G28" s="2">
        <v>0.3219998</v>
      </c>
    </row>
    <row r="29" spans="1:7" x14ac:dyDescent="0.25">
      <c r="A29" s="36" t="s">
        <v>35</v>
      </c>
      <c r="B29" s="2">
        <v>0.95380189999999998</v>
      </c>
      <c r="C29" s="2">
        <v>7.4947799999999995E-2</v>
      </c>
      <c r="D29" s="2">
        <v>-0.6</v>
      </c>
      <c r="E29" s="2">
        <v>0.54700000000000004</v>
      </c>
      <c r="F29" s="2">
        <v>0.81765949999999998</v>
      </c>
      <c r="G29" s="2">
        <v>1.1126119999999999</v>
      </c>
    </row>
    <row r="30" spans="1:7" x14ac:dyDescent="0.25">
      <c r="A30" s="36" t="s">
        <v>36</v>
      </c>
      <c r="B30" s="2">
        <v>2.4445649999999999</v>
      </c>
      <c r="C30" s="2">
        <v>0.1352179</v>
      </c>
      <c r="D30" s="2">
        <v>16.16</v>
      </c>
      <c r="E30" s="2">
        <v>0</v>
      </c>
      <c r="F30" s="2">
        <v>2.1934040000000001</v>
      </c>
      <c r="G30" s="2">
        <v>2.7244869999999999</v>
      </c>
    </row>
    <row r="31" spans="1:7" x14ac:dyDescent="0.25">
      <c r="A31" s="36" t="s">
        <v>37</v>
      </c>
      <c r="B31" s="2">
        <v>0.6442601</v>
      </c>
      <c r="C31" s="2">
        <v>9.4966999999999996E-2</v>
      </c>
      <c r="D31" s="2">
        <v>-2.98</v>
      </c>
      <c r="E31" s="2">
        <v>3.0000000000000001E-3</v>
      </c>
      <c r="F31" s="2">
        <v>0.48260310000000001</v>
      </c>
      <c r="G31" s="2">
        <v>0.86006720000000003</v>
      </c>
    </row>
    <row r="32" spans="1:7" x14ac:dyDescent="0.25">
      <c r="A32" s="36" t="s">
        <v>50</v>
      </c>
      <c r="B32" s="2">
        <v>0.62052870000000004</v>
      </c>
      <c r="C32" s="2">
        <v>4.2890699999999997E-2</v>
      </c>
      <c r="D32" s="2">
        <v>-6.9</v>
      </c>
      <c r="E32" s="2">
        <v>0</v>
      </c>
      <c r="F32" s="2">
        <v>0.54191</v>
      </c>
      <c r="G32" s="2">
        <v>0.7105532</v>
      </c>
    </row>
    <row r="33" spans="1:7" x14ac:dyDescent="0.25">
      <c r="A33" s="36" t="s">
        <v>51</v>
      </c>
      <c r="B33" s="2">
        <v>1.843734</v>
      </c>
      <c r="C33" s="2">
        <v>0.12163300000000001</v>
      </c>
      <c r="D33" s="2">
        <v>9.27</v>
      </c>
      <c r="E33" s="2">
        <v>0</v>
      </c>
      <c r="F33" s="2">
        <v>1.620106</v>
      </c>
      <c r="G33" s="2">
        <v>2.0982289999999999</v>
      </c>
    </row>
    <row r="34" spans="1:7" x14ac:dyDescent="0.25">
      <c r="A34" s="36" t="s">
        <v>52</v>
      </c>
      <c r="B34" s="2">
        <v>2.6739989999999998</v>
      </c>
      <c r="C34" s="2">
        <v>0.14617379999999999</v>
      </c>
      <c r="D34" s="2">
        <v>17.989999999999998</v>
      </c>
      <c r="E34" s="2">
        <v>0</v>
      </c>
      <c r="F34" s="2">
        <v>2.4023180000000002</v>
      </c>
      <c r="G34" s="2">
        <v>2.9764050000000002</v>
      </c>
    </row>
    <row r="35" spans="1:7" x14ac:dyDescent="0.25">
      <c r="A35" s="36" t="s">
        <v>53</v>
      </c>
      <c r="B35" s="2">
        <v>4.5336829999999999</v>
      </c>
      <c r="C35" s="2">
        <v>0.35032829999999998</v>
      </c>
      <c r="D35" s="2">
        <v>19.559999999999999</v>
      </c>
      <c r="E35" s="2">
        <v>0</v>
      </c>
      <c r="F35" s="2">
        <v>3.8965200000000002</v>
      </c>
      <c r="G35" s="2">
        <v>5.2750370000000002</v>
      </c>
    </row>
    <row r="36" spans="1:7" x14ac:dyDescent="0.25">
      <c r="A36" s="36" t="s">
        <v>54</v>
      </c>
      <c r="B36" s="2">
        <v>1.0202180000000001</v>
      </c>
      <c r="C36" s="2">
        <v>5.8999000000000003E-2</v>
      </c>
      <c r="D36" s="2">
        <v>0.35</v>
      </c>
      <c r="E36" s="2">
        <v>0.72899999999999998</v>
      </c>
      <c r="F36" s="2">
        <v>0.91089439999999999</v>
      </c>
      <c r="G36" s="2">
        <v>1.1426620000000001</v>
      </c>
    </row>
    <row r="37" spans="1:7" x14ac:dyDescent="0.25">
      <c r="A37" s="36" t="s">
        <v>55</v>
      </c>
      <c r="B37" s="2">
        <v>4.0110770000000002</v>
      </c>
      <c r="C37" s="2">
        <v>0.2266803</v>
      </c>
      <c r="D37" s="2">
        <v>24.58</v>
      </c>
      <c r="E37" s="2">
        <v>0</v>
      </c>
      <c r="F37" s="2">
        <v>3.5905130000000001</v>
      </c>
      <c r="G37" s="2">
        <v>4.4809020000000004</v>
      </c>
    </row>
    <row r="38" spans="1:7" x14ac:dyDescent="0.25">
      <c r="A38" s="36" t="s">
        <v>56</v>
      </c>
      <c r="B38" s="2">
        <v>4.520397</v>
      </c>
      <c r="C38" s="2">
        <v>0.22930990000000001</v>
      </c>
      <c r="D38" s="2">
        <v>29.74</v>
      </c>
      <c r="E38" s="2">
        <v>0</v>
      </c>
      <c r="F38" s="2">
        <v>4.0925779999999996</v>
      </c>
      <c r="G38" s="2">
        <v>4.9929379999999997</v>
      </c>
    </row>
    <row r="39" spans="1:7" x14ac:dyDescent="0.25">
      <c r="A39" s="36" t="s">
        <v>57</v>
      </c>
      <c r="B39" s="2">
        <v>8.4469689999999993</v>
      </c>
      <c r="C39" s="2">
        <v>0.54538529999999996</v>
      </c>
      <c r="D39" s="2">
        <v>33.049999999999997</v>
      </c>
      <c r="E39" s="2">
        <v>0</v>
      </c>
      <c r="F39" s="2">
        <v>7.4429030000000003</v>
      </c>
      <c r="G39" s="2">
        <v>9.5864849999999997</v>
      </c>
    </row>
    <row r="40" spans="1:7" x14ac:dyDescent="0.25">
      <c r="A40" s="36" t="s">
        <v>58</v>
      </c>
      <c r="B40" s="2">
        <v>2.2379479999999998</v>
      </c>
      <c r="C40" s="2">
        <v>0.13252030000000001</v>
      </c>
      <c r="D40" s="2">
        <v>13.6</v>
      </c>
      <c r="E40" s="2">
        <v>0</v>
      </c>
      <c r="F40" s="2">
        <v>1.992718</v>
      </c>
      <c r="G40" s="2">
        <v>2.5133549999999998</v>
      </c>
    </row>
    <row r="41" spans="1:7" x14ac:dyDescent="0.25">
      <c r="A41" s="36" t="s">
        <v>59</v>
      </c>
      <c r="B41" s="2">
        <v>6.5318399999999999</v>
      </c>
      <c r="C41" s="2">
        <v>0.39469559999999998</v>
      </c>
      <c r="D41" s="2">
        <v>31.06</v>
      </c>
      <c r="E41" s="2">
        <v>0</v>
      </c>
      <c r="F41" s="2">
        <v>5.8023049999999996</v>
      </c>
      <c r="G41" s="2">
        <v>7.3531019999999998</v>
      </c>
    </row>
    <row r="42" spans="1:7" x14ac:dyDescent="0.25">
      <c r="A42" s="36" t="s">
        <v>60</v>
      </c>
      <c r="B42" s="2">
        <v>7.4074429999999998</v>
      </c>
      <c r="C42" s="2">
        <v>0.37252750000000001</v>
      </c>
      <c r="D42" s="2">
        <v>39.82</v>
      </c>
      <c r="E42" s="2">
        <v>0</v>
      </c>
      <c r="F42" s="2">
        <v>6.7121339999999998</v>
      </c>
      <c r="G42" s="2">
        <v>8.1747800000000002</v>
      </c>
    </row>
    <row r="43" spans="1:7" x14ac:dyDescent="0.25">
      <c r="A43" s="36" t="s">
        <v>61</v>
      </c>
      <c r="B43" s="2">
        <v>6.4187419999999999</v>
      </c>
      <c r="C43" s="2">
        <v>0.4707731</v>
      </c>
      <c r="D43" s="2">
        <v>25.35</v>
      </c>
      <c r="E43" s="2">
        <v>0</v>
      </c>
      <c r="F43" s="2">
        <v>5.5592959999999998</v>
      </c>
      <c r="G43" s="2">
        <v>7.4110550000000002</v>
      </c>
    </row>
    <row r="44" spans="1:7" x14ac:dyDescent="0.25">
      <c r="A44" s="36" t="s">
        <v>68</v>
      </c>
      <c r="B44" s="2">
        <v>3.902021</v>
      </c>
      <c r="C44" s="2">
        <v>0.2104084</v>
      </c>
      <c r="D44" s="2">
        <v>25.25</v>
      </c>
      <c r="E44" s="2">
        <v>0</v>
      </c>
      <c r="F44" s="2">
        <v>3.5106730000000002</v>
      </c>
      <c r="G44" s="2">
        <v>4.3369949999999999</v>
      </c>
    </row>
    <row r="45" spans="1:7" x14ac:dyDescent="0.25">
      <c r="A45" s="36" t="s">
        <v>69</v>
      </c>
      <c r="B45" s="2">
        <v>12.028969999999999</v>
      </c>
      <c r="C45" s="2">
        <v>0.66696359999999999</v>
      </c>
      <c r="D45" s="2">
        <v>44.86</v>
      </c>
      <c r="E45" s="2">
        <v>0</v>
      </c>
      <c r="F45" s="2">
        <v>10.79027</v>
      </c>
      <c r="G45" s="2">
        <v>13.40987</v>
      </c>
    </row>
    <row r="46" spans="1:7" x14ac:dyDescent="0.25">
      <c r="A46" s="36" t="s">
        <v>70</v>
      </c>
      <c r="B46" s="2">
        <v>14.21672</v>
      </c>
      <c r="C46" s="2">
        <v>0.66963830000000002</v>
      </c>
      <c r="D46" s="2">
        <v>56.35</v>
      </c>
      <c r="E46" s="2">
        <v>0</v>
      </c>
      <c r="F46" s="2">
        <v>12.963010000000001</v>
      </c>
      <c r="G46" s="2">
        <v>15.59168</v>
      </c>
    </row>
    <row r="47" spans="1:7" x14ac:dyDescent="0.25">
      <c r="A47" s="36" t="s">
        <v>71</v>
      </c>
      <c r="B47" s="2">
        <v>17.8126</v>
      </c>
      <c r="C47" s="2">
        <v>1.018284</v>
      </c>
      <c r="D47" s="2">
        <v>50.38</v>
      </c>
      <c r="E47" s="2">
        <v>0</v>
      </c>
      <c r="F47" s="2">
        <v>15.92455</v>
      </c>
      <c r="G47" s="2">
        <v>19.924510000000001</v>
      </c>
    </row>
    <row r="48" spans="1:7" x14ac:dyDescent="0.25">
      <c r="A48" s="36"/>
      <c r="B48" s="3"/>
      <c r="C48" s="3"/>
      <c r="D48" s="3"/>
      <c r="E48" s="3"/>
      <c r="F48" s="3"/>
      <c r="G48" s="3"/>
    </row>
    <row r="49" spans="1:12" x14ac:dyDescent="0.25">
      <c r="A49" s="5" t="s">
        <v>6</v>
      </c>
      <c r="B49" s="6">
        <v>5.2689999999999996E-4</v>
      </c>
      <c r="C49" s="6">
        <v>2.1999999999999999E-5</v>
      </c>
      <c r="D49" s="6">
        <v>-180.42</v>
      </c>
      <c r="E49" s="6">
        <v>0</v>
      </c>
      <c r="F49" s="6">
        <v>4.8539999999999998E-4</v>
      </c>
      <c r="G49" s="6">
        <v>5.7189999999999997E-4</v>
      </c>
    </row>
    <row r="50" spans="1:12" x14ac:dyDescent="0.25">
      <c r="A50" s="7"/>
      <c r="B50" s="7"/>
      <c r="C50" s="7"/>
      <c r="D50" s="7"/>
      <c r="E50" s="7"/>
      <c r="F50" s="7"/>
      <c r="G50" s="7"/>
    </row>
    <row r="51" spans="1:12" ht="15.75" thickBot="1" x14ac:dyDescent="0.3"/>
    <row r="52" spans="1:12" x14ac:dyDescent="0.25">
      <c r="B52" s="10"/>
      <c r="C52" s="11" t="s">
        <v>9</v>
      </c>
      <c r="D52" s="11" t="s">
        <v>10</v>
      </c>
      <c r="E52" s="11" t="s">
        <v>40</v>
      </c>
      <c r="F52" s="11" t="s">
        <v>11</v>
      </c>
      <c r="G52" s="11" t="s">
        <v>7</v>
      </c>
      <c r="H52" s="11" t="s">
        <v>8</v>
      </c>
      <c r="I52" s="11" t="s">
        <v>62</v>
      </c>
      <c r="J52" s="11" t="s">
        <v>63</v>
      </c>
      <c r="K52" s="11" t="s">
        <v>64</v>
      </c>
      <c r="L52" s="12" t="s">
        <v>65</v>
      </c>
    </row>
    <row r="53" spans="1:12" x14ac:dyDescent="0.25">
      <c r="B53" s="13" t="s">
        <v>12</v>
      </c>
      <c r="C53" s="25">
        <f>B8</f>
        <v>1</v>
      </c>
      <c r="D53" s="9">
        <f>B12</f>
        <v>1.508554</v>
      </c>
      <c r="E53" s="9">
        <f>B16</f>
        <v>1.407465</v>
      </c>
      <c r="F53" s="9">
        <f>B20</f>
        <v>1.8538110000000001</v>
      </c>
      <c r="G53" s="9">
        <f>B24</f>
        <v>1.5972010000000001</v>
      </c>
      <c r="H53" s="7">
        <f>B28</f>
        <v>0.27216420000000002</v>
      </c>
      <c r="I53" s="4">
        <f>B32</f>
        <v>0.62052870000000004</v>
      </c>
      <c r="J53" s="25">
        <f>B36</f>
        <v>1.0202180000000001</v>
      </c>
      <c r="K53" s="25">
        <f>B40</f>
        <v>2.2379479999999998</v>
      </c>
      <c r="L53" s="18">
        <f>B44</f>
        <v>3.902021</v>
      </c>
    </row>
    <row r="54" spans="1:12" x14ac:dyDescent="0.25">
      <c r="B54" s="13" t="s">
        <v>13</v>
      </c>
      <c r="C54" s="9">
        <f>B9</f>
        <v>2.1673450000000001</v>
      </c>
      <c r="D54" s="9">
        <f>B13</f>
        <v>5.1862979999999999</v>
      </c>
      <c r="E54" s="9">
        <f>B17</f>
        <v>3.5214020000000001</v>
      </c>
      <c r="F54" s="9">
        <f>B21</f>
        <v>4.7221710000000003</v>
      </c>
      <c r="G54" s="9">
        <f>B25</f>
        <v>3.887594</v>
      </c>
      <c r="H54" s="9">
        <f>B29</f>
        <v>0.95380189999999998</v>
      </c>
      <c r="I54" s="25">
        <f>B33</f>
        <v>1.843734</v>
      </c>
      <c r="J54" s="25">
        <f>B37</f>
        <v>4.0110770000000002</v>
      </c>
      <c r="K54" s="25">
        <f>B41</f>
        <v>6.5318399999999999</v>
      </c>
      <c r="L54" s="18">
        <f>B45</f>
        <v>12.028969999999999</v>
      </c>
    </row>
    <row r="55" spans="1:12" x14ac:dyDescent="0.25">
      <c r="B55" s="13" t="s">
        <v>14</v>
      </c>
      <c r="C55" s="9">
        <f>B10</f>
        <v>2.3762819999999998</v>
      </c>
      <c r="D55" s="9">
        <f>B14</f>
        <v>4.3100820000000004</v>
      </c>
      <c r="E55" s="9">
        <f>B18</f>
        <v>3.0536569999999998</v>
      </c>
      <c r="F55" s="9">
        <f>B22</f>
        <v>4.4712329999999998</v>
      </c>
      <c r="G55" s="9">
        <f>B26</f>
        <v>2.9717169999999999</v>
      </c>
      <c r="H55" s="9">
        <f>B30</f>
        <v>2.4445649999999999</v>
      </c>
      <c r="I55" s="25">
        <f>B34</f>
        <v>2.6739989999999998</v>
      </c>
      <c r="J55" s="25">
        <f>B38</f>
        <v>4.520397</v>
      </c>
      <c r="K55" s="25">
        <f>B42</f>
        <v>7.4074429999999998</v>
      </c>
      <c r="L55" s="18">
        <f>B46</f>
        <v>14.21672</v>
      </c>
    </row>
    <row r="56" spans="1:12" ht="15.75" thickBot="1" x14ac:dyDescent="0.3">
      <c r="B56" s="19" t="s">
        <v>15</v>
      </c>
      <c r="C56" s="43">
        <f>B11</f>
        <v>3.6388769999999999</v>
      </c>
      <c r="D56" s="43">
        <f>B15</f>
        <v>7.5044399999999998</v>
      </c>
      <c r="E56" s="43">
        <f>B19</f>
        <v>3.4241229999999998</v>
      </c>
      <c r="F56" s="43">
        <f>B23</f>
        <v>6.0846809999999998</v>
      </c>
      <c r="G56" s="43">
        <f>B27</f>
        <v>1.431689</v>
      </c>
      <c r="H56" s="27">
        <f>B31</f>
        <v>0.6442601</v>
      </c>
      <c r="I56" s="28">
        <f>B35</f>
        <v>4.5336829999999999</v>
      </c>
      <c r="J56" s="28">
        <f>B39</f>
        <v>8.4469689999999993</v>
      </c>
      <c r="K56" s="28">
        <f>B43</f>
        <v>6.4187419999999999</v>
      </c>
      <c r="L56" s="22">
        <f>B47</f>
        <v>17.8126</v>
      </c>
    </row>
    <row r="74" spans="1:22" x14ac:dyDescent="0.25">
      <c r="A74" s="36"/>
      <c r="B74" s="2" t="s">
        <v>1</v>
      </c>
      <c r="C74" s="3"/>
      <c r="D74" s="3"/>
      <c r="E74" s="3"/>
      <c r="F74" s="3"/>
      <c r="G74" s="3"/>
      <c r="N74" s="7"/>
      <c r="O74" s="7"/>
      <c r="U74" s="7"/>
      <c r="V74" s="7"/>
    </row>
    <row r="75" spans="1:22" x14ac:dyDescent="0.25">
      <c r="A75" s="5" t="s">
        <v>2</v>
      </c>
      <c r="B75" s="6" t="s">
        <v>269</v>
      </c>
      <c r="C75" s="6" t="s">
        <v>270</v>
      </c>
      <c r="D75" s="6" t="s">
        <v>3</v>
      </c>
      <c r="E75" s="6" t="s">
        <v>4</v>
      </c>
      <c r="F75" s="6" t="s">
        <v>271</v>
      </c>
      <c r="G75" s="6" t="s">
        <v>272</v>
      </c>
      <c r="N75" s="7"/>
      <c r="O75" s="7"/>
      <c r="U75" s="9"/>
      <c r="V75" s="9"/>
    </row>
    <row r="76" spans="1:22" x14ac:dyDescent="0.25">
      <c r="A76" s="36"/>
      <c r="B76" s="2"/>
      <c r="C76" s="2"/>
      <c r="D76" s="3"/>
      <c r="E76" s="3"/>
      <c r="F76" s="3"/>
      <c r="G76" s="3"/>
      <c r="N76" s="7"/>
      <c r="O76" s="7"/>
      <c r="U76" s="9"/>
      <c r="V76" s="9"/>
    </row>
    <row r="77" spans="1:22" x14ac:dyDescent="0.25">
      <c r="A77" s="36" t="s">
        <v>72</v>
      </c>
      <c r="B77" s="3"/>
      <c r="C77" s="3"/>
      <c r="D77" s="3"/>
      <c r="E77" s="3"/>
      <c r="F77" s="3"/>
      <c r="G77" s="3"/>
      <c r="N77" s="9"/>
      <c r="O77" s="9"/>
      <c r="U77" s="9"/>
      <c r="V77" s="9"/>
    </row>
    <row r="78" spans="1:22" x14ac:dyDescent="0.25">
      <c r="A78" s="36" t="s">
        <v>73</v>
      </c>
      <c r="B78" s="2">
        <v>0.53993809999999998</v>
      </c>
      <c r="C78" s="2">
        <v>6.7752000000000003E-3</v>
      </c>
      <c r="D78" s="2">
        <v>-49.12</v>
      </c>
      <c r="E78" s="2">
        <v>0</v>
      </c>
      <c r="F78" s="2">
        <v>0.52682090000000004</v>
      </c>
      <c r="G78" s="2">
        <v>0.55338180000000003</v>
      </c>
      <c r="N78" s="7"/>
      <c r="O78" s="9"/>
    </row>
    <row r="79" spans="1:22" x14ac:dyDescent="0.25">
      <c r="A79" s="36"/>
      <c r="B79" s="3"/>
      <c r="C79" s="3"/>
      <c r="D79" s="3"/>
      <c r="E79" s="3"/>
      <c r="F79" s="3"/>
      <c r="G79" s="3"/>
      <c r="N79" s="9"/>
      <c r="O79" s="9"/>
    </row>
    <row r="80" spans="1:22" x14ac:dyDescent="0.25">
      <c r="A80" s="36" t="s">
        <v>74</v>
      </c>
      <c r="B80" s="3"/>
      <c r="C80" s="3"/>
      <c r="D80" s="3"/>
      <c r="E80" s="3"/>
      <c r="F80" s="3"/>
      <c r="G80" s="3"/>
      <c r="N80" s="9"/>
      <c r="O80" s="9"/>
    </row>
    <row r="81" spans="1:15" x14ac:dyDescent="0.25">
      <c r="A81" s="36" t="s">
        <v>75</v>
      </c>
      <c r="B81" s="2">
        <v>0.74356239999999996</v>
      </c>
      <c r="C81" s="2">
        <v>1.1494799999999999E-2</v>
      </c>
      <c r="D81" s="2">
        <v>-19.170000000000002</v>
      </c>
      <c r="E81" s="2">
        <v>0</v>
      </c>
      <c r="F81" s="2">
        <v>0.72137090000000004</v>
      </c>
      <c r="G81" s="2">
        <v>0.76643649999999997</v>
      </c>
      <c r="N81" s="9"/>
      <c r="O81" s="9"/>
    </row>
    <row r="82" spans="1:15" x14ac:dyDescent="0.25">
      <c r="A82" s="36" t="s">
        <v>76</v>
      </c>
      <c r="B82" s="2">
        <v>0.64367540000000001</v>
      </c>
      <c r="C82" s="2">
        <v>1.7523500000000001E-2</v>
      </c>
      <c r="D82" s="2">
        <v>-16.18</v>
      </c>
      <c r="E82" s="2">
        <v>0</v>
      </c>
      <c r="F82" s="2">
        <v>0.61023019999999994</v>
      </c>
      <c r="G82" s="2">
        <v>0.67895360000000005</v>
      </c>
      <c r="N82" s="9"/>
      <c r="O82" s="9"/>
    </row>
    <row r="83" spans="1:15" x14ac:dyDescent="0.25">
      <c r="A83" s="36" t="s">
        <v>77</v>
      </c>
      <c r="B83" s="2">
        <v>0.55415490000000001</v>
      </c>
      <c r="C83" s="2">
        <v>1.80009E-2</v>
      </c>
      <c r="D83" s="2">
        <v>-18.170000000000002</v>
      </c>
      <c r="E83" s="2">
        <v>0</v>
      </c>
      <c r="F83" s="2">
        <v>0.51997329999999997</v>
      </c>
      <c r="G83" s="2">
        <v>0.59058339999999998</v>
      </c>
      <c r="N83" s="9"/>
      <c r="O83" s="9"/>
    </row>
    <row r="84" spans="1:15" x14ac:dyDescent="0.25">
      <c r="A84" s="36" t="s">
        <v>78</v>
      </c>
      <c r="B84" s="2">
        <v>0.49185570000000001</v>
      </c>
      <c r="C84" s="2">
        <v>1.9007099999999999E-2</v>
      </c>
      <c r="D84" s="2">
        <v>-18.36</v>
      </c>
      <c r="E84" s="2">
        <v>0</v>
      </c>
      <c r="F84" s="2">
        <v>0.45597840000000001</v>
      </c>
      <c r="G84" s="2">
        <v>0.53055600000000003</v>
      </c>
      <c r="N84" s="9"/>
      <c r="O84" s="9"/>
    </row>
    <row r="85" spans="1:15" x14ac:dyDescent="0.25">
      <c r="A85" s="36" t="s">
        <v>79</v>
      </c>
      <c r="B85" s="2">
        <v>0.40526380000000001</v>
      </c>
      <c r="C85" s="2">
        <v>2.0221599999999999E-2</v>
      </c>
      <c r="D85" s="2">
        <v>-18.100000000000001</v>
      </c>
      <c r="E85" s="2">
        <v>0</v>
      </c>
      <c r="F85" s="2">
        <v>0.36750650000000001</v>
      </c>
      <c r="G85" s="2">
        <v>0.44690020000000003</v>
      </c>
      <c r="N85" s="9"/>
      <c r="O85" s="9"/>
    </row>
    <row r="86" spans="1:15" x14ac:dyDescent="0.25">
      <c r="A86" s="36" t="s">
        <v>80</v>
      </c>
      <c r="B86" s="2">
        <v>0.26751999999999998</v>
      </c>
      <c r="C86" s="2">
        <v>1.58167E-2</v>
      </c>
      <c r="D86" s="2">
        <v>-22.3</v>
      </c>
      <c r="E86" s="2">
        <v>0</v>
      </c>
      <c r="F86" s="2">
        <v>0.2382485</v>
      </c>
      <c r="G86" s="2">
        <v>0.30038779999999998</v>
      </c>
      <c r="N86" s="9"/>
      <c r="O86" s="9"/>
    </row>
    <row r="87" spans="1:15" x14ac:dyDescent="0.25">
      <c r="A87" s="36" t="s">
        <v>86</v>
      </c>
      <c r="B87" s="2">
        <v>0.16175100000000001</v>
      </c>
      <c r="C87" s="2">
        <v>1.3265000000000001E-2</v>
      </c>
      <c r="D87" s="2">
        <v>-22.21</v>
      </c>
      <c r="E87" s="2">
        <v>0</v>
      </c>
      <c r="F87" s="2">
        <v>0.137734</v>
      </c>
      <c r="G87" s="2">
        <v>0.18995600000000001</v>
      </c>
      <c r="N87" s="9"/>
      <c r="O87" s="9"/>
    </row>
    <row r="88" spans="1:15" x14ac:dyDescent="0.25">
      <c r="A88" s="36" t="s">
        <v>87</v>
      </c>
      <c r="B88" s="2">
        <v>9.3862799999999996E-2</v>
      </c>
      <c r="C88" s="2">
        <v>1.0465E-2</v>
      </c>
      <c r="D88" s="2">
        <v>-21.22</v>
      </c>
      <c r="E88" s="2">
        <v>0</v>
      </c>
      <c r="F88" s="2">
        <v>7.5438000000000005E-2</v>
      </c>
      <c r="G88" s="2">
        <v>0.1167875</v>
      </c>
      <c r="N88" s="9"/>
      <c r="O88" s="9"/>
    </row>
    <row r="89" spans="1:15" x14ac:dyDescent="0.25">
      <c r="A89" s="36" t="s">
        <v>88</v>
      </c>
      <c r="B89" s="2">
        <v>1.2102E-2</v>
      </c>
      <c r="C89" s="2">
        <v>2.8126000000000002E-3</v>
      </c>
      <c r="D89" s="2">
        <v>-18.989999999999998</v>
      </c>
      <c r="E89" s="2">
        <v>0</v>
      </c>
      <c r="F89" s="2">
        <v>7.6740999999999997E-3</v>
      </c>
      <c r="G89" s="2">
        <v>1.9084799999999999E-2</v>
      </c>
      <c r="N89" s="9"/>
      <c r="O89" s="9"/>
    </row>
    <row r="90" spans="1:15" x14ac:dyDescent="0.25">
      <c r="A90" s="36"/>
      <c r="B90" s="3"/>
      <c r="C90" s="3"/>
      <c r="D90" s="3"/>
      <c r="E90" s="3"/>
      <c r="F90" s="3"/>
      <c r="G90" s="3"/>
    </row>
    <row r="91" spans="1:15" x14ac:dyDescent="0.25">
      <c r="A91" s="36" t="s">
        <v>113</v>
      </c>
      <c r="B91" s="3"/>
      <c r="C91" s="3"/>
      <c r="D91" s="3"/>
      <c r="E91" s="3"/>
      <c r="F91" s="3"/>
      <c r="G91" s="3"/>
    </row>
    <row r="92" spans="1:15" x14ac:dyDescent="0.25">
      <c r="A92" s="36">
        <v>2</v>
      </c>
      <c r="B92" s="2">
        <v>0.92776800000000004</v>
      </c>
      <c r="C92" s="2">
        <v>1.50759E-2</v>
      </c>
      <c r="D92" s="2">
        <v>-4.6100000000000003</v>
      </c>
      <c r="E92" s="2">
        <v>0</v>
      </c>
      <c r="F92" s="2">
        <v>0.89868530000000002</v>
      </c>
      <c r="G92" s="2">
        <v>0.95779179999999997</v>
      </c>
    </row>
    <row r="93" spans="1:15" x14ac:dyDescent="0.25">
      <c r="A93" s="36">
        <v>3</v>
      </c>
      <c r="B93" s="2">
        <v>0.70523279999999999</v>
      </c>
      <c r="C93" s="2">
        <v>1.4145400000000001E-2</v>
      </c>
      <c r="D93" s="2">
        <v>-17.41</v>
      </c>
      <c r="E93" s="2">
        <v>0</v>
      </c>
      <c r="F93" s="2">
        <v>0.67804629999999999</v>
      </c>
      <c r="G93" s="2">
        <v>0.73350950000000004</v>
      </c>
    </row>
    <row r="94" spans="1:15" x14ac:dyDescent="0.25">
      <c r="A94" s="36"/>
      <c r="B94" s="3"/>
      <c r="C94" s="3"/>
      <c r="D94" s="3"/>
      <c r="E94" s="3"/>
      <c r="F94" s="3"/>
      <c r="G94" s="3"/>
    </row>
    <row r="95" spans="1:15" x14ac:dyDescent="0.25">
      <c r="A95" s="36" t="s">
        <v>108</v>
      </c>
      <c r="B95" s="3"/>
      <c r="C95" s="3"/>
      <c r="D95" s="3"/>
      <c r="E95" s="3"/>
      <c r="F95" s="3"/>
      <c r="G95" s="3"/>
    </row>
    <row r="96" spans="1:15" x14ac:dyDescent="0.25">
      <c r="A96" s="36">
        <v>2</v>
      </c>
      <c r="B96" s="2">
        <v>2.1796190000000002</v>
      </c>
      <c r="C96" s="2">
        <v>2.92153E-2</v>
      </c>
      <c r="D96" s="2">
        <v>58.13</v>
      </c>
      <c r="E96" s="2">
        <v>0</v>
      </c>
      <c r="F96" s="2">
        <v>2.123103</v>
      </c>
      <c r="G96" s="2">
        <v>2.237638</v>
      </c>
    </row>
    <row r="97" spans="1:7" x14ac:dyDescent="0.25">
      <c r="A97" s="36" t="s">
        <v>109</v>
      </c>
      <c r="B97" s="2">
        <v>3.2399830000000001</v>
      </c>
      <c r="C97" s="2">
        <v>5.0765200000000003E-2</v>
      </c>
      <c r="D97" s="2">
        <v>75.03</v>
      </c>
      <c r="E97" s="2">
        <v>0</v>
      </c>
      <c r="F97" s="2">
        <v>3.1419969999999999</v>
      </c>
      <c r="G97" s="2">
        <v>3.341024</v>
      </c>
    </row>
    <row r="98" spans="1:7" x14ac:dyDescent="0.25">
      <c r="A98" s="36"/>
      <c r="B98" s="3"/>
      <c r="C98" s="3"/>
      <c r="D98" s="3"/>
      <c r="E98" s="3"/>
      <c r="F98" s="3"/>
      <c r="G98" s="3"/>
    </row>
    <row r="99" spans="1:7" x14ac:dyDescent="0.25">
      <c r="A99" s="36" t="s">
        <v>114</v>
      </c>
      <c r="B99" s="3"/>
      <c r="C99" s="3"/>
      <c r="D99" s="3"/>
      <c r="E99" s="3"/>
      <c r="F99" s="3"/>
      <c r="G99" s="3"/>
    </row>
    <row r="100" spans="1:7" x14ac:dyDescent="0.25">
      <c r="A100" s="38" t="s">
        <v>315</v>
      </c>
      <c r="B100" s="2">
        <v>0.50647679999999995</v>
      </c>
      <c r="C100" s="2">
        <v>7.0289000000000003E-3</v>
      </c>
      <c r="D100" s="2">
        <v>-49.02</v>
      </c>
      <c r="E100" s="2">
        <v>0</v>
      </c>
      <c r="F100" s="2">
        <v>0.49288609999999999</v>
      </c>
      <c r="G100" s="2">
        <v>0.52044239999999997</v>
      </c>
    </row>
    <row r="101" spans="1:7" x14ac:dyDescent="0.25">
      <c r="A101" s="38" t="s">
        <v>316</v>
      </c>
      <c r="B101" s="2">
        <v>0.61508759999999996</v>
      </c>
      <c r="C101" s="2">
        <v>1.06055E-2</v>
      </c>
      <c r="D101" s="2">
        <v>-28.19</v>
      </c>
      <c r="E101" s="2">
        <v>0</v>
      </c>
      <c r="F101" s="2">
        <v>0.59464850000000002</v>
      </c>
      <c r="G101" s="2">
        <v>0.63622909999999999</v>
      </c>
    </row>
    <row r="102" spans="1:7" x14ac:dyDescent="0.25">
      <c r="A102" s="38" t="s">
        <v>317</v>
      </c>
      <c r="B102" s="2">
        <v>0.50714709999999996</v>
      </c>
      <c r="C102" s="2">
        <v>1.04309E-2</v>
      </c>
      <c r="D102" s="2">
        <v>-33.01</v>
      </c>
      <c r="E102" s="2">
        <v>0</v>
      </c>
      <c r="F102" s="2">
        <v>0.48710949999999997</v>
      </c>
      <c r="G102" s="2">
        <v>0.52800899999999995</v>
      </c>
    </row>
    <row r="103" spans="1:7" x14ac:dyDescent="0.25">
      <c r="A103" s="38" t="s">
        <v>82</v>
      </c>
      <c r="B103" s="2">
        <v>0.47580489999999998</v>
      </c>
      <c r="C103" s="2">
        <v>1.3774099999999999E-2</v>
      </c>
      <c r="D103" s="2">
        <v>-25.66</v>
      </c>
      <c r="E103" s="2">
        <v>0</v>
      </c>
      <c r="F103" s="2">
        <v>0.44955980000000001</v>
      </c>
      <c r="G103" s="2">
        <v>0.50358230000000004</v>
      </c>
    </row>
    <row r="104" spans="1:7" x14ac:dyDescent="0.25">
      <c r="A104" s="36"/>
      <c r="B104" s="3"/>
      <c r="C104" s="3"/>
      <c r="D104" s="3"/>
      <c r="E104" s="3"/>
      <c r="F104" s="3"/>
      <c r="G104" s="3"/>
    </row>
    <row r="105" spans="1:7" x14ac:dyDescent="0.25">
      <c r="A105" s="36" t="s">
        <v>66</v>
      </c>
      <c r="B105" s="3"/>
      <c r="C105" s="3"/>
      <c r="D105" s="3"/>
      <c r="E105" s="3"/>
      <c r="F105" s="3"/>
      <c r="G105" s="3"/>
    </row>
    <row r="106" spans="1:7" x14ac:dyDescent="0.25">
      <c r="A106" s="36" t="s">
        <v>46</v>
      </c>
      <c r="B106" s="45">
        <v>1</v>
      </c>
      <c r="C106" s="3"/>
      <c r="D106" s="3"/>
      <c r="E106" s="3"/>
      <c r="F106" s="45">
        <v>0</v>
      </c>
      <c r="G106" s="45">
        <v>0</v>
      </c>
    </row>
    <row r="107" spans="1:7" x14ac:dyDescent="0.25">
      <c r="A107" s="36" t="s">
        <v>16</v>
      </c>
      <c r="B107" s="2">
        <v>0.83505249999999998</v>
      </c>
      <c r="C107" s="2">
        <v>4.9977300000000002E-2</v>
      </c>
      <c r="D107" s="2">
        <v>-3.01</v>
      </c>
      <c r="E107" s="2">
        <v>3.0000000000000001E-3</v>
      </c>
      <c r="F107" s="2">
        <f>B107-0.7426256</f>
        <v>9.2426899999999979E-2</v>
      </c>
      <c r="G107" s="2">
        <f>0.9389828-B107</f>
        <v>0.10393030000000003</v>
      </c>
    </row>
    <row r="108" spans="1:7" x14ac:dyDescent="0.25">
      <c r="A108" s="36" t="s">
        <v>17</v>
      </c>
      <c r="B108" s="2">
        <v>0.80677310000000002</v>
      </c>
      <c r="C108" s="2">
        <v>4.2660900000000002E-2</v>
      </c>
      <c r="D108" s="2">
        <v>-4.0599999999999996</v>
      </c>
      <c r="E108" s="2">
        <v>0</v>
      </c>
      <c r="F108" s="2">
        <f>B108-0.7273464</f>
        <v>7.9426700000000072E-2</v>
      </c>
      <c r="G108" s="2">
        <f>0.8948734-B108</f>
        <v>8.810030000000002E-2</v>
      </c>
    </row>
    <row r="109" spans="1:7" x14ac:dyDescent="0.25">
      <c r="A109" s="36" t="s">
        <v>18</v>
      </c>
      <c r="B109" s="2">
        <v>0.94688589999999995</v>
      </c>
      <c r="C109" s="2">
        <v>7.1354899999999999E-2</v>
      </c>
      <c r="D109" s="2">
        <v>-0.72</v>
      </c>
      <c r="E109" s="2">
        <v>0.46899999999999997</v>
      </c>
      <c r="F109" s="2">
        <f>B109-0.8168707</f>
        <v>0.1300152</v>
      </c>
      <c r="G109" s="2">
        <f>1.097595-B109</f>
        <v>0.15070910000000015</v>
      </c>
    </row>
    <row r="110" spans="1:7" x14ac:dyDescent="0.25">
      <c r="A110" s="36" t="s">
        <v>19</v>
      </c>
      <c r="B110" s="2">
        <v>1.508554</v>
      </c>
      <c r="C110" s="2">
        <v>7.97046E-2</v>
      </c>
      <c r="D110" s="2">
        <v>7.78</v>
      </c>
      <c r="E110" s="2">
        <v>0</v>
      </c>
      <c r="F110" s="2">
        <f>B110-1.360152</f>
        <v>0.14840199999999992</v>
      </c>
      <c r="G110" s="2">
        <f>1.673147-B110</f>
        <v>0.16459299999999999</v>
      </c>
    </row>
    <row r="111" spans="1:7" x14ac:dyDescent="0.25">
      <c r="A111" s="36" t="s">
        <v>20</v>
      </c>
      <c r="B111" s="2">
        <v>1.9982200000000001</v>
      </c>
      <c r="C111" s="2">
        <v>0.1039214</v>
      </c>
      <c r="D111" s="2">
        <v>13.31</v>
      </c>
      <c r="E111" s="2">
        <v>0</v>
      </c>
      <c r="F111" s="2">
        <f>B111-1.804575</f>
        <v>0.19364500000000007</v>
      </c>
      <c r="G111" s="2">
        <f>2.212645-B111</f>
        <v>0.21442500000000009</v>
      </c>
    </row>
    <row r="112" spans="1:7" x14ac:dyDescent="0.25">
      <c r="A112" s="36" t="s">
        <v>21</v>
      </c>
      <c r="B112" s="2">
        <v>1.46332</v>
      </c>
      <c r="C112" s="2">
        <v>7.2064400000000001E-2</v>
      </c>
      <c r="D112" s="2">
        <v>7.73</v>
      </c>
      <c r="E112" s="2">
        <v>0</v>
      </c>
      <c r="F112" s="2">
        <f>B112-1.328678</f>
        <v>0.13464199999999993</v>
      </c>
      <c r="G112" s="2">
        <f>1.611604-B112</f>
        <v>0.14828400000000008</v>
      </c>
    </row>
    <row r="113" spans="1:9" x14ac:dyDescent="0.25">
      <c r="A113" s="36" t="s">
        <v>22</v>
      </c>
      <c r="B113" s="2">
        <v>1.952758</v>
      </c>
      <c r="C113" s="2">
        <v>0.11846569999999999</v>
      </c>
      <c r="D113" s="2">
        <v>11.03</v>
      </c>
      <c r="E113" s="2">
        <v>0</v>
      </c>
      <c r="F113" s="2">
        <f>B113-1.733842</f>
        <v>0.21891599999999989</v>
      </c>
      <c r="G113" s="2">
        <f>2.199314-B113</f>
        <v>0.24655600000000022</v>
      </c>
    </row>
    <row r="114" spans="1:9" x14ac:dyDescent="0.25">
      <c r="A114" s="36" t="s">
        <v>23</v>
      </c>
      <c r="B114" s="2">
        <v>1.407465</v>
      </c>
      <c r="C114" s="2">
        <v>7.6685500000000004E-2</v>
      </c>
      <c r="D114" s="2">
        <v>6.27</v>
      </c>
      <c r="E114" s="2">
        <v>0</v>
      </c>
      <c r="F114" s="2">
        <f>B114-1.264911</f>
        <v>0.14255400000000007</v>
      </c>
      <c r="G114" s="2">
        <f>1.566084-B114</f>
        <v>0.15861900000000007</v>
      </c>
    </row>
    <row r="115" spans="1:9" x14ac:dyDescent="0.25">
      <c r="A115" s="36" t="s">
        <v>24</v>
      </c>
      <c r="B115" s="2">
        <v>1.3567549999999999</v>
      </c>
      <c r="C115" s="2">
        <v>7.7955200000000002E-2</v>
      </c>
      <c r="D115" s="2">
        <v>5.31</v>
      </c>
      <c r="E115" s="2">
        <v>0</v>
      </c>
      <c r="F115" s="2">
        <f>B115-1.212255</f>
        <v>0.14449999999999985</v>
      </c>
      <c r="G115" s="2">
        <f>1.51848-B115</f>
        <v>0.16172500000000012</v>
      </c>
    </row>
    <row r="116" spans="1:9" x14ac:dyDescent="0.25">
      <c r="A116" s="36" t="s">
        <v>25</v>
      </c>
      <c r="B116" s="2">
        <v>1.0367500000000001</v>
      </c>
      <c r="C116" s="2">
        <v>5.4197200000000001E-2</v>
      </c>
      <c r="D116" s="2">
        <v>0.69</v>
      </c>
      <c r="E116" s="2">
        <v>0.49</v>
      </c>
      <c r="F116" s="2">
        <f>B116-0.9357859</f>
        <v>0.10096410000000011</v>
      </c>
      <c r="G116" s="2">
        <f>1.148607-B116</f>
        <v>0.11185699999999987</v>
      </c>
    </row>
    <row r="117" spans="1:9" x14ac:dyDescent="0.25">
      <c r="A117" s="36" t="s">
        <v>26</v>
      </c>
      <c r="B117" s="2">
        <v>0.89100409999999997</v>
      </c>
      <c r="C117" s="2">
        <v>7.2506600000000004E-2</v>
      </c>
      <c r="D117" s="2">
        <v>-1.42</v>
      </c>
      <c r="E117" s="2">
        <v>0.156</v>
      </c>
      <c r="F117" s="2">
        <f>B117-0.7596475</f>
        <v>0.13135659999999993</v>
      </c>
      <c r="G117" s="2">
        <f>1.045075-B117</f>
        <v>0.15407090000000001</v>
      </c>
    </row>
    <row r="118" spans="1:9" x14ac:dyDescent="0.25">
      <c r="A118" s="36" t="s">
        <v>27</v>
      </c>
      <c r="B118" s="2">
        <v>1.85381</v>
      </c>
      <c r="C118" s="2">
        <v>9.4976599999999994E-2</v>
      </c>
      <c r="D118" s="2">
        <v>12.05</v>
      </c>
      <c r="E118" s="2">
        <v>0</v>
      </c>
      <c r="F118" s="2">
        <f>B118-1.676701</f>
        <v>0.17710899999999996</v>
      </c>
      <c r="G118" s="2">
        <f>2.049628-B118</f>
        <v>0.19581799999999983</v>
      </c>
      <c r="I118" s="44"/>
    </row>
    <row r="119" spans="1:9" x14ac:dyDescent="0.25">
      <c r="A119" s="36" t="s">
        <v>28</v>
      </c>
      <c r="B119" s="2">
        <v>1.8193969999999999</v>
      </c>
      <c r="C119" s="2">
        <v>9.61843E-2</v>
      </c>
      <c r="D119" s="2">
        <v>11.32</v>
      </c>
      <c r="E119" s="2">
        <v>0</v>
      </c>
      <c r="F119" s="2">
        <f>B119-1.640317</f>
        <v>0.17907999999999991</v>
      </c>
      <c r="G119" s="2">
        <f>2.018028-B119</f>
        <v>0.19863100000000022</v>
      </c>
    </row>
    <row r="120" spans="1:9" x14ac:dyDescent="0.25">
      <c r="A120" s="36" t="s">
        <v>29</v>
      </c>
      <c r="B120" s="2">
        <v>1.517104</v>
      </c>
      <c r="C120" s="2">
        <v>7.4771299999999999E-2</v>
      </c>
      <c r="D120" s="2">
        <v>8.4600000000000009</v>
      </c>
      <c r="E120" s="2">
        <v>0</v>
      </c>
      <c r="F120" s="2">
        <f>B120-1.377411</f>
        <v>0.13969300000000007</v>
      </c>
      <c r="G120" s="2">
        <f>1.670965-B120</f>
        <v>0.15386100000000003</v>
      </c>
    </row>
    <row r="121" spans="1:9" x14ac:dyDescent="0.25">
      <c r="A121" s="36" t="s">
        <v>30</v>
      </c>
      <c r="B121" s="2">
        <v>1.5802130000000001</v>
      </c>
      <c r="C121" s="2">
        <v>0.1014523</v>
      </c>
      <c r="D121" s="2">
        <v>7.13</v>
      </c>
      <c r="E121" s="2">
        <v>0</v>
      </c>
      <c r="F121" s="2">
        <f>B121-1.393372</f>
        <v>0.18684100000000003</v>
      </c>
      <c r="G121" s="2">
        <f>1.792108-B121</f>
        <v>0.21189499999999994</v>
      </c>
    </row>
    <row r="122" spans="1:9" x14ac:dyDescent="0.25">
      <c r="A122" s="36" t="s">
        <v>67</v>
      </c>
      <c r="B122" s="2">
        <v>1.5972010000000001</v>
      </c>
      <c r="C122" s="2">
        <v>8.2155000000000006E-2</v>
      </c>
      <c r="D122" s="2">
        <v>9.1</v>
      </c>
      <c r="E122" s="2">
        <v>0</v>
      </c>
      <c r="F122" s="2">
        <f>B122-1.44403</f>
        <v>0.15317100000000017</v>
      </c>
      <c r="G122" s="2">
        <f>1.766618-B122</f>
        <v>0.16941699999999993</v>
      </c>
    </row>
    <row r="123" spans="1:9" x14ac:dyDescent="0.25">
      <c r="A123" s="36" t="s">
        <v>31</v>
      </c>
      <c r="B123" s="2">
        <v>1.4978450000000001</v>
      </c>
      <c r="C123" s="2">
        <v>7.8892500000000004E-2</v>
      </c>
      <c r="D123" s="2">
        <v>7.67</v>
      </c>
      <c r="E123" s="2">
        <v>0</v>
      </c>
      <c r="F123" s="2">
        <f>B123-1.350932</f>
        <v>0.14691300000000007</v>
      </c>
      <c r="G123" s="2">
        <f>1.660734-B123</f>
        <v>0.16288899999999984</v>
      </c>
    </row>
    <row r="124" spans="1:9" x14ac:dyDescent="0.25">
      <c r="A124" s="36" t="s">
        <v>32</v>
      </c>
      <c r="B124" s="2">
        <v>1.0089300000000001</v>
      </c>
      <c r="C124" s="2">
        <v>5.1636099999999997E-2</v>
      </c>
      <c r="D124" s="2">
        <v>0.17</v>
      </c>
      <c r="E124" s="2">
        <v>0.86199999999999999</v>
      </c>
      <c r="F124" s="2">
        <f>B124-0.9126355</f>
        <v>9.6294500000000061E-2</v>
      </c>
      <c r="G124" s="2">
        <f>1.115385-B124</f>
        <v>0.10645499999999997</v>
      </c>
    </row>
    <row r="125" spans="1:9" x14ac:dyDescent="0.25">
      <c r="A125" s="36" t="s">
        <v>33</v>
      </c>
      <c r="B125" s="2">
        <v>0.37254530000000002</v>
      </c>
      <c r="C125" s="2">
        <v>3.7088299999999998E-2</v>
      </c>
      <c r="D125" s="2">
        <v>-9.92</v>
      </c>
      <c r="E125" s="2">
        <v>0</v>
      </c>
      <c r="F125" s="2">
        <f>B125-0.3065057</f>
        <v>6.6039600000000032E-2</v>
      </c>
      <c r="G125" s="2">
        <f>0.4528137-B125</f>
        <v>8.0268399999999962E-2</v>
      </c>
    </row>
    <row r="126" spans="1:9" x14ac:dyDescent="0.25">
      <c r="A126" s="36" t="s">
        <v>34</v>
      </c>
      <c r="B126" s="2">
        <v>0.27216170000000001</v>
      </c>
      <c r="C126" s="2">
        <v>2.3349000000000002E-2</v>
      </c>
      <c r="D126" s="2">
        <v>-15.17</v>
      </c>
      <c r="E126" s="2">
        <v>0</v>
      </c>
      <c r="F126" s="2">
        <f>B126-0.2300392</f>
        <v>4.2122500000000007E-2</v>
      </c>
      <c r="G126" s="2">
        <f>0.3219973-B126</f>
        <v>4.983559999999998E-2</v>
      </c>
    </row>
    <row r="127" spans="1:9" x14ac:dyDescent="0.25">
      <c r="A127" s="36" t="s">
        <v>35</v>
      </c>
      <c r="B127" s="2">
        <v>0.3674887</v>
      </c>
      <c r="C127" s="2">
        <v>2.8664100000000001E-2</v>
      </c>
      <c r="D127" s="2">
        <v>-12.83</v>
      </c>
      <c r="E127" s="2">
        <v>0</v>
      </c>
      <c r="F127" s="2">
        <f>B127-0.3153918</f>
        <v>5.2096900000000002E-2</v>
      </c>
      <c r="G127" s="2">
        <f>0.4281911-B127</f>
        <v>6.070239999999999E-2</v>
      </c>
    </row>
    <row r="128" spans="1:9" x14ac:dyDescent="0.25">
      <c r="A128" s="36" t="s">
        <v>36</v>
      </c>
      <c r="B128" s="2">
        <v>0.82995629999999998</v>
      </c>
      <c r="C128" s="2">
        <v>4.5388299999999999E-2</v>
      </c>
      <c r="D128" s="2">
        <v>-3.41</v>
      </c>
      <c r="E128" s="2">
        <v>1E-3</v>
      </c>
      <c r="F128" s="2">
        <f>B128-0.7455985</f>
        <v>8.4357799999999927E-2</v>
      </c>
      <c r="G128" s="2">
        <f>0.9238584-B128</f>
        <v>9.3902099999999988E-2</v>
      </c>
    </row>
    <row r="129" spans="1:7" x14ac:dyDescent="0.25">
      <c r="A129" s="36" t="s">
        <v>37</v>
      </c>
      <c r="B129" s="2">
        <v>0.1676454</v>
      </c>
      <c r="C129" s="2">
        <v>2.4649999999999998E-2</v>
      </c>
      <c r="D129" s="2">
        <v>-12.15</v>
      </c>
      <c r="E129" s="2">
        <v>0</v>
      </c>
      <c r="F129" s="2">
        <f>B129-0.1256707</f>
        <v>4.1974700000000004E-2</v>
      </c>
      <c r="G129" s="2">
        <f>0.2236399-B129</f>
        <v>5.5994500000000003E-2</v>
      </c>
    </row>
    <row r="130" spans="1:7" x14ac:dyDescent="0.25">
      <c r="A130" s="36" t="s">
        <v>50</v>
      </c>
      <c r="B130" s="2">
        <v>0.62052879999999999</v>
      </c>
      <c r="C130" s="2">
        <v>4.2890699999999997E-2</v>
      </c>
      <c r="D130" s="2">
        <v>-6.9</v>
      </c>
      <c r="E130" s="2">
        <v>0</v>
      </c>
      <c r="F130" s="2">
        <f>B130-0.5419101</f>
        <v>7.8618700000000041E-2</v>
      </c>
      <c r="G130" s="2">
        <f>0.7105533-B130</f>
        <v>9.0024500000000063E-2</v>
      </c>
    </row>
    <row r="131" spans="1:7" x14ac:dyDescent="0.25">
      <c r="A131" s="36" t="s">
        <v>51</v>
      </c>
      <c r="B131" s="2">
        <v>0.71036880000000002</v>
      </c>
      <c r="C131" s="2">
        <v>4.65128E-2</v>
      </c>
      <c r="D131" s="2">
        <v>-5.22</v>
      </c>
      <c r="E131" s="2">
        <v>0</v>
      </c>
      <c r="F131" s="2">
        <f>B131-0.6248125</f>
        <v>8.555630000000003E-2</v>
      </c>
      <c r="G131" s="2">
        <f>0.8076404-B131</f>
        <v>9.7271600000000014E-2</v>
      </c>
    </row>
    <row r="132" spans="1:7" x14ac:dyDescent="0.25">
      <c r="A132" s="36" t="s">
        <v>52</v>
      </c>
      <c r="B132" s="2">
        <v>0.90785159999999998</v>
      </c>
      <c r="C132" s="2">
        <v>4.9032100000000002E-2</v>
      </c>
      <c r="D132" s="2">
        <v>-1.79</v>
      </c>
      <c r="E132" s="2">
        <v>7.2999999999999995E-2</v>
      </c>
      <c r="F132" s="2">
        <f>B132-0.8166621</f>
        <v>9.1189500000000034E-2</v>
      </c>
      <c r="G132" s="2">
        <f>1.009223-B132</f>
        <v>0.1013714</v>
      </c>
    </row>
    <row r="133" spans="1:7" x14ac:dyDescent="0.25">
      <c r="A133" s="36" t="s">
        <v>53</v>
      </c>
      <c r="B133" s="2">
        <v>1.179727</v>
      </c>
      <c r="C133" s="2">
        <v>8.9451600000000006E-2</v>
      </c>
      <c r="D133" s="2">
        <v>2.1800000000000002</v>
      </c>
      <c r="E133" s="2">
        <v>2.9000000000000001E-2</v>
      </c>
      <c r="F133" s="2">
        <f>B133-1.01681</f>
        <v>0.16291699999999998</v>
      </c>
      <c r="G133" s="2">
        <f>1.368746-B133</f>
        <v>0.18901900000000005</v>
      </c>
    </row>
    <row r="134" spans="1:7" x14ac:dyDescent="0.25">
      <c r="A134" s="36" t="s">
        <v>54</v>
      </c>
      <c r="B134" s="2">
        <v>1.0202180000000001</v>
      </c>
      <c r="C134" s="2">
        <v>5.8999000000000003E-2</v>
      </c>
      <c r="D134" s="2">
        <v>0.35</v>
      </c>
      <c r="E134" s="2">
        <v>0.72899999999999998</v>
      </c>
      <c r="F134" s="2">
        <f>B134-0.9108944</f>
        <v>0.10932360000000008</v>
      </c>
      <c r="G134" s="2">
        <f>1.142662-B134</f>
        <v>0.122444</v>
      </c>
    </row>
    <row r="135" spans="1:7" x14ac:dyDescent="0.25">
      <c r="A135" s="36" t="s">
        <v>55</v>
      </c>
      <c r="B135" s="2">
        <v>1.5454209999999999</v>
      </c>
      <c r="C135" s="2">
        <v>8.5563299999999995E-2</v>
      </c>
      <c r="D135" s="2">
        <v>7.86</v>
      </c>
      <c r="E135" s="2">
        <v>0</v>
      </c>
      <c r="F135" s="2">
        <f>B135-1.386499</f>
        <v>0.15892200000000001</v>
      </c>
      <c r="G135" s="2">
        <f>1.72256-B135</f>
        <v>0.17713900000000016</v>
      </c>
    </row>
    <row r="136" spans="1:7" x14ac:dyDescent="0.25">
      <c r="A136" s="36" t="s">
        <v>56</v>
      </c>
      <c r="B136" s="2">
        <v>1.534724</v>
      </c>
      <c r="C136" s="2">
        <v>7.6638100000000001E-2</v>
      </c>
      <c r="D136" s="2">
        <v>8.58</v>
      </c>
      <c r="E136" s="2">
        <v>0</v>
      </c>
      <c r="F136" s="2">
        <f>B136-1.391632</f>
        <v>0.143092</v>
      </c>
      <c r="G136" s="2">
        <f>1.692528-B136</f>
        <v>0.15780400000000006</v>
      </c>
    </row>
    <row r="137" spans="1:7" x14ac:dyDescent="0.25">
      <c r="A137" s="36" t="s">
        <v>57</v>
      </c>
      <c r="B137" s="2">
        <v>2.1980170000000001</v>
      </c>
      <c r="C137" s="2">
        <v>0.13930049999999999</v>
      </c>
      <c r="D137" s="2">
        <v>12.43</v>
      </c>
      <c r="E137" s="2">
        <v>0</v>
      </c>
      <c r="F137" s="2">
        <f>B137-1.941269</f>
        <v>0.2567480000000002</v>
      </c>
      <c r="G137" s="2">
        <f>2.488722-B137</f>
        <v>0.29070499999999999</v>
      </c>
    </row>
    <row r="138" spans="1:7" x14ac:dyDescent="0.25">
      <c r="A138" s="36" t="s">
        <v>58</v>
      </c>
      <c r="B138" s="2">
        <v>2.2379470000000001</v>
      </c>
      <c r="C138" s="2">
        <v>0.13252030000000001</v>
      </c>
      <c r="D138" s="2">
        <v>13.6</v>
      </c>
      <c r="E138" s="2">
        <v>0</v>
      </c>
      <c r="F138" s="2">
        <f>B138-1.992718</f>
        <v>0.24522900000000014</v>
      </c>
      <c r="G138" s="2">
        <f>2.513355-B138</f>
        <v>0.27540799999999965</v>
      </c>
    </row>
    <row r="139" spans="1:7" x14ac:dyDescent="0.25">
      <c r="A139" s="36" t="s">
        <v>59</v>
      </c>
      <c r="B139" s="2">
        <v>2.516642</v>
      </c>
      <c r="C139" s="2">
        <v>0.1458624</v>
      </c>
      <c r="D139" s="2">
        <v>15.92</v>
      </c>
      <c r="E139" s="2">
        <v>0</v>
      </c>
      <c r="F139" s="2">
        <f>B139-2.246397</f>
        <v>0.27024500000000007</v>
      </c>
      <c r="G139" s="2">
        <f>2.819397-B139</f>
        <v>0.30275499999999989</v>
      </c>
    </row>
    <row r="140" spans="1:7" x14ac:dyDescent="0.25">
      <c r="A140" s="36" t="s">
        <v>60</v>
      </c>
      <c r="B140" s="2">
        <v>2.5130520000000001</v>
      </c>
      <c r="C140" s="2">
        <v>0.1227422</v>
      </c>
      <c r="D140" s="2">
        <v>18.87</v>
      </c>
      <c r="E140" s="2">
        <v>0</v>
      </c>
      <c r="F140" s="2">
        <f>B140-2.283637</f>
        <v>0.22941499999999992</v>
      </c>
      <c r="G140" s="2">
        <f>2.765513-B140</f>
        <v>0.25246099999999982</v>
      </c>
    </row>
    <row r="141" spans="1:7" x14ac:dyDescent="0.25">
      <c r="A141" s="36" t="s">
        <v>61</v>
      </c>
      <c r="B141" s="2">
        <v>1.670245</v>
      </c>
      <c r="C141" s="2">
        <v>0.11956799999999999</v>
      </c>
      <c r="D141" s="2">
        <v>7.17</v>
      </c>
      <c r="E141" s="2">
        <v>0</v>
      </c>
      <c r="F141" s="2">
        <f>B141-1.451594</f>
        <v>0.21865099999999993</v>
      </c>
      <c r="G141" s="2">
        <f>1.921831-B141</f>
        <v>0.25158600000000009</v>
      </c>
    </row>
    <row r="142" spans="1:7" x14ac:dyDescent="0.25">
      <c r="A142" s="36" t="s">
        <v>68</v>
      </c>
      <c r="B142" s="2">
        <v>3.9020220000000001</v>
      </c>
      <c r="C142" s="2">
        <v>0.2104084</v>
      </c>
      <c r="D142" s="2">
        <v>25.25</v>
      </c>
      <c r="E142" s="2">
        <v>0</v>
      </c>
      <c r="F142" s="2">
        <f>B142-3.510673</f>
        <v>0.39134899999999995</v>
      </c>
      <c r="G142" s="2">
        <f>4.336995-B142</f>
        <v>0.43497299999999983</v>
      </c>
    </row>
    <row r="143" spans="1:7" x14ac:dyDescent="0.25">
      <c r="A143" s="36" t="s">
        <v>69</v>
      </c>
      <c r="B143" s="2">
        <v>4.6346230000000004</v>
      </c>
      <c r="C143" s="2">
        <v>0.24314</v>
      </c>
      <c r="D143" s="2">
        <v>29.23</v>
      </c>
      <c r="E143" s="2">
        <v>0</v>
      </c>
      <c r="F143" s="2">
        <f>B143-4.181759</f>
        <v>0.45286400000000082</v>
      </c>
      <c r="G143" s="2">
        <f>5.136531-B143</f>
        <v>0.50190799999999935</v>
      </c>
    </row>
    <row r="144" spans="1:7" x14ac:dyDescent="0.25">
      <c r="A144" s="36" t="s">
        <v>70</v>
      </c>
      <c r="B144" s="2">
        <v>4.8267290000000003</v>
      </c>
      <c r="C144" s="2">
        <v>0.2205193</v>
      </c>
      <c r="D144" s="2">
        <v>34.46</v>
      </c>
      <c r="E144" s="2">
        <v>0</v>
      </c>
      <c r="F144" s="2">
        <f>B144-4.413305</f>
        <v>0.41342400000000001</v>
      </c>
      <c r="G144" s="2">
        <f>5.278881-B144</f>
        <v>0.45215199999999989</v>
      </c>
    </row>
    <row r="145" spans="1:12" x14ac:dyDescent="0.25">
      <c r="A145" s="36" t="s">
        <v>71</v>
      </c>
      <c r="B145" s="2">
        <v>4.635084</v>
      </c>
      <c r="C145" s="2">
        <v>0.2575983</v>
      </c>
      <c r="D145" s="2">
        <v>27.6</v>
      </c>
      <c r="E145" s="2">
        <v>0</v>
      </c>
      <c r="F145" s="2">
        <f>B145-4.156727</f>
        <v>0.47835699999999992</v>
      </c>
      <c r="G145" s="2">
        <f>5.168491-B145</f>
        <v>0.53340700000000041</v>
      </c>
    </row>
    <row r="146" spans="1:12" x14ac:dyDescent="0.25">
      <c r="A146" s="36"/>
      <c r="B146" s="3"/>
      <c r="C146" s="3"/>
      <c r="D146" s="3"/>
      <c r="E146" s="3"/>
      <c r="F146" s="3"/>
      <c r="G146" s="3"/>
    </row>
    <row r="147" spans="1:12" x14ac:dyDescent="0.25">
      <c r="A147" s="5" t="s">
        <v>6</v>
      </c>
      <c r="B147" s="6">
        <v>2.5596999999999998E-3</v>
      </c>
      <c r="C147" s="6">
        <v>1.11E-4</v>
      </c>
      <c r="D147" s="6">
        <v>-137.63</v>
      </c>
      <c r="E147" s="6">
        <v>0</v>
      </c>
      <c r="F147" s="6">
        <v>2.3511999999999999E-3</v>
      </c>
      <c r="G147" s="6">
        <v>2.7867999999999999E-3</v>
      </c>
    </row>
    <row r="149" spans="1:12" ht="15.75" thickBot="1" x14ac:dyDescent="0.3"/>
    <row r="150" spans="1:12" x14ac:dyDescent="0.25">
      <c r="B150" s="10"/>
      <c r="C150" s="11" t="s">
        <v>9</v>
      </c>
      <c r="D150" s="11" t="s">
        <v>10</v>
      </c>
      <c r="E150" s="11" t="s">
        <v>40</v>
      </c>
      <c r="F150" s="11" t="s">
        <v>11</v>
      </c>
      <c r="G150" s="11" t="s">
        <v>7</v>
      </c>
      <c r="H150" s="11" t="s">
        <v>8</v>
      </c>
      <c r="I150" s="11" t="s">
        <v>62</v>
      </c>
      <c r="J150" s="11" t="s">
        <v>63</v>
      </c>
      <c r="K150" s="11" t="s">
        <v>64</v>
      </c>
      <c r="L150" s="12" t="s">
        <v>65</v>
      </c>
    </row>
    <row r="151" spans="1:12" x14ac:dyDescent="0.25">
      <c r="B151" s="13" t="s">
        <v>12</v>
      </c>
      <c r="C151" s="25">
        <f>B106</f>
        <v>1</v>
      </c>
      <c r="D151" s="9">
        <f>B110</f>
        <v>1.508554</v>
      </c>
      <c r="E151" s="9">
        <f>B114</f>
        <v>1.407465</v>
      </c>
      <c r="F151" s="9">
        <f>B118</f>
        <v>1.85381</v>
      </c>
      <c r="G151" s="9">
        <f>B122</f>
        <v>1.5972010000000001</v>
      </c>
      <c r="H151" s="7">
        <f>B126</f>
        <v>0.27216170000000001</v>
      </c>
      <c r="I151" s="4">
        <f>B130</f>
        <v>0.62052879999999999</v>
      </c>
      <c r="J151" s="25">
        <f>B134</f>
        <v>1.0202180000000001</v>
      </c>
      <c r="K151" s="25">
        <f>B138</f>
        <v>2.2379470000000001</v>
      </c>
      <c r="L151" s="18">
        <f>B142</f>
        <v>3.9020220000000001</v>
      </c>
    </row>
    <row r="152" spans="1:12" x14ac:dyDescent="0.25">
      <c r="B152" s="13" t="s">
        <v>13</v>
      </c>
      <c r="C152" s="9">
        <f>B107</f>
        <v>0.83505249999999998</v>
      </c>
      <c r="D152" s="9">
        <f>B111</f>
        <v>1.9982200000000001</v>
      </c>
      <c r="E152" s="9">
        <f>B115</f>
        <v>1.3567549999999999</v>
      </c>
      <c r="F152" s="9">
        <f>B119</f>
        <v>1.8193969999999999</v>
      </c>
      <c r="G152" s="9">
        <f>B123</f>
        <v>1.4978450000000001</v>
      </c>
      <c r="H152" s="9">
        <f>B127</f>
        <v>0.3674887</v>
      </c>
      <c r="I152" s="25">
        <f>B131</f>
        <v>0.71036880000000002</v>
      </c>
      <c r="J152" s="25">
        <f>B135</f>
        <v>1.5454209999999999</v>
      </c>
      <c r="K152" s="25">
        <f>B139</f>
        <v>2.516642</v>
      </c>
      <c r="L152" s="18">
        <f>B143</f>
        <v>4.6346230000000004</v>
      </c>
    </row>
    <row r="153" spans="1:12" x14ac:dyDescent="0.25">
      <c r="B153" s="13" t="s">
        <v>14</v>
      </c>
      <c r="C153" s="9">
        <f>B108</f>
        <v>0.80677310000000002</v>
      </c>
      <c r="D153" s="9">
        <f>B112</f>
        <v>1.46332</v>
      </c>
      <c r="E153" s="9">
        <f>B116</f>
        <v>1.0367500000000001</v>
      </c>
      <c r="F153" s="9">
        <f>B120</f>
        <v>1.517104</v>
      </c>
      <c r="G153" s="9">
        <f>B124</f>
        <v>1.0089300000000001</v>
      </c>
      <c r="H153" s="9">
        <f>B128</f>
        <v>0.82995629999999998</v>
      </c>
      <c r="I153" s="25">
        <f>B132</f>
        <v>0.90785159999999998</v>
      </c>
      <c r="J153" s="25">
        <f>B136</f>
        <v>1.534724</v>
      </c>
      <c r="K153" s="25">
        <f>B140</f>
        <v>2.5130520000000001</v>
      </c>
      <c r="L153" s="18">
        <f>B144</f>
        <v>4.8267290000000003</v>
      </c>
    </row>
    <row r="154" spans="1:12" ht="15.75" thickBot="1" x14ac:dyDescent="0.3">
      <c r="B154" s="19" t="s">
        <v>371</v>
      </c>
      <c r="C154" s="43">
        <f>B109</f>
        <v>0.94688589999999995</v>
      </c>
      <c r="D154" s="43">
        <f>B113</f>
        <v>1.952758</v>
      </c>
      <c r="E154" s="43">
        <f>B117</f>
        <v>0.89100409999999997</v>
      </c>
      <c r="F154" s="43">
        <f>B121</f>
        <v>1.5802130000000001</v>
      </c>
      <c r="G154" s="43">
        <f>B125</f>
        <v>0.37254530000000002</v>
      </c>
      <c r="H154" s="27">
        <f>B129</f>
        <v>0.1676454</v>
      </c>
      <c r="I154" s="28">
        <f>B133</f>
        <v>1.179727</v>
      </c>
      <c r="J154" s="28">
        <f>B137</f>
        <v>2.1980170000000001</v>
      </c>
      <c r="K154" s="28">
        <f>B141</f>
        <v>1.670245</v>
      </c>
      <c r="L154" s="22">
        <f>B145</f>
        <v>4.635084</v>
      </c>
    </row>
    <row r="172" spans="1:7" s="1" customFormat="1" x14ac:dyDescent="0.25">
      <c r="A172" s="1" t="s">
        <v>90</v>
      </c>
    </row>
    <row r="174" spans="1:7" x14ac:dyDescent="0.25">
      <c r="A174" s="36"/>
      <c r="B174" s="2" t="s">
        <v>1</v>
      </c>
      <c r="C174" s="3"/>
      <c r="D174" s="3"/>
      <c r="E174" s="3"/>
      <c r="F174" s="3"/>
      <c r="G174" s="3"/>
    </row>
    <row r="175" spans="1:7" x14ac:dyDescent="0.25">
      <c r="A175" s="5" t="s">
        <v>2</v>
      </c>
      <c r="B175" s="6" t="s">
        <v>269</v>
      </c>
      <c r="C175" s="6" t="s">
        <v>270</v>
      </c>
      <c r="D175" s="6" t="s">
        <v>3</v>
      </c>
      <c r="E175" s="6" t="s">
        <v>4</v>
      </c>
      <c r="F175" s="6" t="s">
        <v>271</v>
      </c>
      <c r="G175" s="6" t="s">
        <v>272</v>
      </c>
    </row>
    <row r="176" spans="1:7" x14ac:dyDescent="0.25">
      <c r="A176" s="36"/>
      <c r="B176" s="2"/>
      <c r="C176" s="2"/>
      <c r="D176" s="3"/>
      <c r="E176" s="3"/>
      <c r="F176" s="3"/>
      <c r="G176" s="3"/>
    </row>
    <row r="177" spans="1:7" x14ac:dyDescent="0.25">
      <c r="A177" s="36" t="s">
        <v>74</v>
      </c>
      <c r="B177" s="3"/>
      <c r="C177" s="3"/>
      <c r="D177" s="3"/>
      <c r="E177" s="3"/>
      <c r="F177" s="3"/>
      <c r="G177" s="3"/>
    </row>
    <row r="178" spans="1:7" x14ac:dyDescent="0.25">
      <c r="A178" s="36" t="s">
        <v>75</v>
      </c>
      <c r="B178" s="2">
        <v>0.74266270000000001</v>
      </c>
      <c r="C178" s="2">
        <v>1.14374E-2</v>
      </c>
      <c r="D178" s="2">
        <v>-19.32</v>
      </c>
      <c r="E178" s="2">
        <v>0</v>
      </c>
      <c r="F178" s="2">
        <v>0.72058080000000002</v>
      </c>
      <c r="G178" s="2">
        <v>0.76542120000000002</v>
      </c>
    </row>
    <row r="179" spans="1:7" x14ac:dyDescent="0.25">
      <c r="A179" s="36" t="s">
        <v>76</v>
      </c>
      <c r="B179" s="2">
        <v>0.64184039999999998</v>
      </c>
      <c r="C179" s="2">
        <v>1.74494E-2</v>
      </c>
      <c r="D179" s="2">
        <v>-16.309999999999999</v>
      </c>
      <c r="E179" s="2">
        <v>0</v>
      </c>
      <c r="F179" s="2">
        <v>0.60853550000000001</v>
      </c>
      <c r="G179" s="2">
        <v>0.67696809999999996</v>
      </c>
    </row>
    <row r="180" spans="1:7" x14ac:dyDescent="0.25">
      <c r="A180" s="36" t="s">
        <v>77</v>
      </c>
      <c r="B180" s="2">
        <v>0.55191539999999994</v>
      </c>
      <c r="C180" s="2">
        <v>1.79337E-2</v>
      </c>
      <c r="D180" s="2">
        <v>-18.29</v>
      </c>
      <c r="E180" s="2">
        <v>0</v>
      </c>
      <c r="F180" s="2">
        <v>0.51786189999999999</v>
      </c>
      <c r="G180" s="2">
        <v>0.58820819999999996</v>
      </c>
    </row>
    <row r="181" spans="1:7" x14ac:dyDescent="0.25">
      <c r="A181" s="36" t="s">
        <v>78</v>
      </c>
      <c r="B181" s="2">
        <v>0.49046339999999999</v>
      </c>
      <c r="C181" s="2">
        <v>1.9004299999999998E-2</v>
      </c>
      <c r="D181" s="2">
        <v>-18.39</v>
      </c>
      <c r="E181" s="2">
        <v>0</v>
      </c>
      <c r="F181" s="2">
        <v>0.45459480000000002</v>
      </c>
      <c r="G181" s="2">
        <v>0.52916209999999997</v>
      </c>
    </row>
    <row r="182" spans="1:7" x14ac:dyDescent="0.25">
      <c r="A182" s="36" t="s">
        <v>79</v>
      </c>
      <c r="B182" s="2">
        <v>0.40347070000000002</v>
      </c>
      <c r="C182" s="2">
        <v>2.0220999999999999E-2</v>
      </c>
      <c r="D182" s="2">
        <v>-18.11</v>
      </c>
      <c r="E182" s="2">
        <v>0</v>
      </c>
      <c r="F182" s="2">
        <v>0.36572260000000001</v>
      </c>
      <c r="G182" s="2">
        <v>0.44511509999999999</v>
      </c>
    </row>
    <row r="183" spans="1:7" x14ac:dyDescent="0.25">
      <c r="A183" s="36" t="s">
        <v>80</v>
      </c>
      <c r="B183" s="2">
        <v>0.2656039</v>
      </c>
      <c r="C183" s="2">
        <v>1.5745499999999999E-2</v>
      </c>
      <c r="D183" s="2">
        <v>-22.36</v>
      </c>
      <c r="E183" s="2">
        <v>0</v>
      </c>
      <c r="F183" s="2">
        <v>0.23646880000000001</v>
      </c>
      <c r="G183" s="2">
        <v>0.29832880000000001</v>
      </c>
    </row>
    <row r="184" spans="1:7" x14ac:dyDescent="0.25">
      <c r="A184" s="36" t="s">
        <v>86</v>
      </c>
      <c r="B184" s="2">
        <v>0.15975990000000001</v>
      </c>
      <c r="C184" s="2">
        <v>1.3135600000000001E-2</v>
      </c>
      <c r="D184" s="2">
        <v>-22.31</v>
      </c>
      <c r="E184" s="2">
        <v>0</v>
      </c>
      <c r="F184" s="2">
        <v>0.13598189999999999</v>
      </c>
      <c r="G184" s="2">
        <v>0.1876958</v>
      </c>
    </row>
    <row r="185" spans="1:7" x14ac:dyDescent="0.25">
      <c r="A185" s="36" t="s">
        <v>87</v>
      </c>
      <c r="B185" s="2">
        <v>9.2230300000000001E-2</v>
      </c>
      <c r="C185" s="2">
        <v>1.0295E-2</v>
      </c>
      <c r="D185" s="2">
        <v>-21.35</v>
      </c>
      <c r="E185" s="2">
        <v>0</v>
      </c>
      <c r="F185" s="2">
        <v>7.4107199999999998E-2</v>
      </c>
      <c r="G185" s="2">
        <v>0.1147854</v>
      </c>
    </row>
    <row r="186" spans="1:7" x14ac:dyDescent="0.25">
      <c r="A186" s="36" t="s">
        <v>88</v>
      </c>
      <c r="B186" s="2">
        <v>1.1771800000000001E-2</v>
      </c>
      <c r="C186" s="2">
        <v>2.7366000000000001E-3</v>
      </c>
      <c r="D186" s="2">
        <v>-19.11</v>
      </c>
      <c r="E186" s="2">
        <v>0</v>
      </c>
      <c r="F186" s="2">
        <v>7.4638999999999999E-3</v>
      </c>
      <c r="G186" s="2">
        <v>1.8566200000000001E-2</v>
      </c>
    </row>
    <row r="187" spans="1:7" x14ac:dyDescent="0.25">
      <c r="A187" s="36"/>
      <c r="B187" s="3"/>
      <c r="C187" s="3"/>
      <c r="D187" s="3"/>
      <c r="E187" s="3"/>
      <c r="F187" s="3"/>
      <c r="G187" s="3"/>
    </row>
    <row r="188" spans="1:7" x14ac:dyDescent="0.25">
      <c r="A188" s="36" t="s">
        <v>113</v>
      </c>
      <c r="B188" s="3"/>
      <c r="C188" s="3"/>
      <c r="D188" s="3"/>
      <c r="E188" s="3"/>
      <c r="F188" s="3"/>
      <c r="G188" s="3"/>
    </row>
    <row r="189" spans="1:7" x14ac:dyDescent="0.25">
      <c r="A189" s="36">
        <v>2</v>
      </c>
      <c r="B189" s="2">
        <v>0.92918429999999996</v>
      </c>
      <c r="C189" s="2">
        <v>1.51217E-2</v>
      </c>
      <c r="D189" s="2">
        <v>-4.51</v>
      </c>
      <c r="E189" s="2">
        <v>0</v>
      </c>
      <c r="F189" s="2">
        <v>0.90001399999999998</v>
      </c>
      <c r="G189" s="2">
        <v>0.95930009999999999</v>
      </c>
    </row>
    <row r="190" spans="1:7" x14ac:dyDescent="0.25">
      <c r="A190" s="36">
        <v>3</v>
      </c>
      <c r="B190" s="2">
        <v>0.70586450000000001</v>
      </c>
      <c r="C190" s="2">
        <v>1.4089000000000001E-2</v>
      </c>
      <c r="D190" s="2">
        <v>-17.45</v>
      </c>
      <c r="E190" s="2">
        <v>0</v>
      </c>
      <c r="F190" s="2">
        <v>0.67878369999999999</v>
      </c>
      <c r="G190" s="2">
        <v>0.73402579999999995</v>
      </c>
    </row>
    <row r="191" spans="1:7" x14ac:dyDescent="0.25">
      <c r="A191" s="36"/>
      <c r="B191" s="3"/>
      <c r="C191" s="3"/>
      <c r="D191" s="3"/>
      <c r="E191" s="3"/>
      <c r="F191" s="3"/>
      <c r="G191" s="3"/>
    </row>
    <row r="192" spans="1:7" x14ac:dyDescent="0.25">
      <c r="A192" s="36" t="s">
        <v>108</v>
      </c>
      <c r="B192" s="3"/>
      <c r="C192" s="3"/>
      <c r="D192" s="3"/>
      <c r="E192" s="3"/>
      <c r="F192" s="3"/>
      <c r="G192" s="3"/>
    </row>
    <row r="193" spans="1:7" x14ac:dyDescent="0.25">
      <c r="A193" s="36">
        <v>2</v>
      </c>
      <c r="B193" s="2">
        <v>2.233425</v>
      </c>
      <c r="C193" s="2">
        <v>2.8884199999999999E-2</v>
      </c>
      <c r="D193" s="2">
        <v>62.13</v>
      </c>
      <c r="E193" s="2">
        <v>0</v>
      </c>
      <c r="F193" s="2">
        <v>2.1775250000000002</v>
      </c>
      <c r="G193" s="2">
        <v>2.2907609999999998</v>
      </c>
    </row>
    <row r="194" spans="1:7" x14ac:dyDescent="0.25">
      <c r="A194" s="36" t="s">
        <v>109</v>
      </c>
      <c r="B194" s="2">
        <v>3.3183159999999998</v>
      </c>
      <c r="C194" s="2">
        <v>5.0442000000000001E-2</v>
      </c>
      <c r="D194" s="2">
        <v>78.91</v>
      </c>
      <c r="E194" s="2">
        <v>0</v>
      </c>
      <c r="F194" s="2">
        <v>3.2209099999999999</v>
      </c>
      <c r="G194" s="2">
        <v>3.4186679999999998</v>
      </c>
    </row>
    <row r="195" spans="1:7" x14ac:dyDescent="0.25">
      <c r="A195" s="36"/>
      <c r="B195" s="3"/>
      <c r="C195" s="3"/>
      <c r="D195" s="3"/>
      <c r="E195" s="3"/>
      <c r="F195" s="3"/>
      <c r="G195" s="3"/>
    </row>
    <row r="196" spans="1:7" x14ac:dyDescent="0.25">
      <c r="A196" s="36" t="s">
        <v>114</v>
      </c>
      <c r="B196" s="3"/>
      <c r="C196" s="3"/>
      <c r="D196" s="3"/>
      <c r="E196" s="3"/>
      <c r="F196" s="3"/>
      <c r="G196" s="3"/>
    </row>
    <row r="197" spans="1:7" x14ac:dyDescent="0.25">
      <c r="A197" s="38" t="s">
        <v>315</v>
      </c>
      <c r="B197" s="2">
        <v>0.50802970000000003</v>
      </c>
      <c r="C197" s="2">
        <v>7.0537000000000004E-3</v>
      </c>
      <c r="D197" s="2">
        <v>-48.78</v>
      </c>
      <c r="E197" s="2">
        <v>0</v>
      </c>
      <c r="F197" s="2">
        <v>0.49439109999999997</v>
      </c>
      <c r="G197" s="2">
        <v>0.52204459999999997</v>
      </c>
    </row>
    <row r="198" spans="1:7" x14ac:dyDescent="0.25">
      <c r="A198" s="38" t="s">
        <v>316</v>
      </c>
      <c r="B198" s="2">
        <v>0.61806369999999999</v>
      </c>
      <c r="C198" s="2">
        <v>1.0681100000000001E-2</v>
      </c>
      <c r="D198" s="2">
        <v>-27.84</v>
      </c>
      <c r="E198" s="2">
        <v>0</v>
      </c>
      <c r="F198" s="2">
        <v>0.59747969999999995</v>
      </c>
      <c r="G198" s="2">
        <v>0.63935690000000001</v>
      </c>
    </row>
    <row r="199" spans="1:7" x14ac:dyDescent="0.25">
      <c r="A199" s="38" t="s">
        <v>317</v>
      </c>
      <c r="B199" s="2">
        <v>0.51046689999999995</v>
      </c>
      <c r="C199" s="2">
        <v>1.0534099999999999E-2</v>
      </c>
      <c r="D199" s="2">
        <v>-32.58</v>
      </c>
      <c r="E199" s="2">
        <v>0</v>
      </c>
      <c r="F199" s="2">
        <v>0.49023250000000002</v>
      </c>
      <c r="G199" s="2">
        <v>0.53153660000000003</v>
      </c>
    </row>
    <row r="200" spans="1:7" x14ac:dyDescent="0.25">
      <c r="A200" s="38" t="s">
        <v>82</v>
      </c>
      <c r="B200" s="2">
        <v>0.47043679999999999</v>
      </c>
      <c r="C200" s="2">
        <v>1.3606099999999999E-2</v>
      </c>
      <c r="D200" s="2">
        <v>-26.07</v>
      </c>
      <c r="E200" s="2">
        <v>0</v>
      </c>
      <c r="F200" s="2">
        <v>0.44451099999999999</v>
      </c>
      <c r="G200" s="2">
        <v>0.4978747</v>
      </c>
    </row>
    <row r="201" spans="1:7" x14ac:dyDescent="0.25">
      <c r="A201" s="36"/>
      <c r="B201" s="3"/>
      <c r="C201" s="3"/>
      <c r="D201" s="3"/>
      <c r="E201" s="3"/>
      <c r="F201" s="3"/>
      <c r="G201" s="3"/>
    </row>
    <row r="202" spans="1:7" x14ac:dyDescent="0.25">
      <c r="A202" s="36" t="s">
        <v>115</v>
      </c>
      <c r="B202" s="3"/>
      <c r="C202" s="3"/>
      <c r="D202" s="3"/>
      <c r="E202" s="3"/>
      <c r="F202" s="3"/>
      <c r="G202" s="3"/>
    </row>
    <row r="203" spans="1:7" x14ac:dyDescent="0.25">
      <c r="A203" s="36" t="s">
        <v>368</v>
      </c>
      <c r="B203" s="45">
        <v>1</v>
      </c>
      <c r="C203" s="3"/>
      <c r="D203" s="3"/>
      <c r="E203" s="3"/>
      <c r="F203" s="45">
        <v>0</v>
      </c>
      <c r="G203" s="45">
        <v>0</v>
      </c>
    </row>
    <row r="204" spans="1:7" x14ac:dyDescent="0.25">
      <c r="A204" s="36" t="s">
        <v>190</v>
      </c>
      <c r="B204" s="2">
        <v>0.72347890000000004</v>
      </c>
      <c r="C204" s="2">
        <v>4.7569399999999998E-2</v>
      </c>
      <c r="D204" s="2">
        <v>-4.92</v>
      </c>
      <c r="E204" s="2">
        <v>0</v>
      </c>
      <c r="F204" s="2">
        <f>B204-0.6360022</f>
        <v>8.7476700000000074E-2</v>
      </c>
      <c r="G204" s="2">
        <f>0.8229872-B204</f>
        <v>9.9508299999999994E-2</v>
      </c>
    </row>
    <row r="205" spans="1:7" x14ac:dyDescent="0.25">
      <c r="A205" s="36" t="s">
        <v>191</v>
      </c>
      <c r="B205" s="2">
        <v>1.452906</v>
      </c>
      <c r="C205" s="2">
        <v>9.0681499999999998E-2</v>
      </c>
      <c r="D205" s="2">
        <v>5.99</v>
      </c>
      <c r="E205" s="2">
        <v>0</v>
      </c>
      <c r="F205" s="2">
        <f>B205-1.285614</f>
        <v>0.167292</v>
      </c>
      <c r="G205" s="2">
        <f>1.641966-B205</f>
        <v>0.18906000000000001</v>
      </c>
    </row>
    <row r="206" spans="1:7" x14ac:dyDescent="0.25">
      <c r="A206" s="36" t="s">
        <v>192</v>
      </c>
      <c r="B206" s="2">
        <v>1.205295</v>
      </c>
      <c r="C206" s="2">
        <v>7.3566999999999994E-2</v>
      </c>
      <c r="D206" s="2">
        <v>3.06</v>
      </c>
      <c r="E206" s="2">
        <v>2E-3</v>
      </c>
      <c r="F206" s="2">
        <f>B206-1.069397</f>
        <v>0.13589800000000007</v>
      </c>
      <c r="G206" s="2">
        <f>1.358462-B206</f>
        <v>0.15316700000000005</v>
      </c>
    </row>
    <row r="207" spans="1:7" x14ac:dyDescent="0.25">
      <c r="A207" s="36" t="s">
        <v>193</v>
      </c>
      <c r="B207" s="2">
        <v>2.623246</v>
      </c>
      <c r="C207" s="2">
        <v>0.15269440000000001</v>
      </c>
      <c r="D207" s="2">
        <v>16.57</v>
      </c>
      <c r="E207" s="2">
        <v>0</v>
      </c>
      <c r="F207" s="2">
        <f>B207-2.340411</f>
        <v>0.28283499999999995</v>
      </c>
      <c r="G207" s="2">
        <f>2.940262-B207</f>
        <v>0.31701600000000019</v>
      </c>
    </row>
    <row r="208" spans="1:7" x14ac:dyDescent="0.25">
      <c r="A208" s="36" t="s">
        <v>194</v>
      </c>
      <c r="B208" s="2">
        <v>1.756589</v>
      </c>
      <c r="C208" s="2">
        <v>0.1016533</v>
      </c>
      <c r="D208" s="2">
        <v>9.74</v>
      </c>
      <c r="E208" s="2">
        <v>0</v>
      </c>
      <c r="F208" s="2">
        <f>B208-1.568235</f>
        <v>0.18835399999999991</v>
      </c>
      <c r="G208" s="2">
        <f>1.967564-B208</f>
        <v>0.21097500000000013</v>
      </c>
    </row>
    <row r="209" spans="1:7" x14ac:dyDescent="0.25">
      <c r="A209" s="36" t="s">
        <v>195</v>
      </c>
      <c r="B209" s="2">
        <v>2.1663329999999998</v>
      </c>
      <c r="C209" s="2">
        <v>0.12872819999999999</v>
      </c>
      <c r="D209" s="2">
        <v>13.01</v>
      </c>
      <c r="E209" s="2">
        <v>0</v>
      </c>
      <c r="F209" s="2">
        <f>B209-1.928168</f>
        <v>0.23816499999999974</v>
      </c>
      <c r="G209" s="2">
        <f>2.433915-B209</f>
        <v>0.26758199999999999</v>
      </c>
    </row>
    <row r="210" spans="1:7" x14ac:dyDescent="0.25">
      <c r="A210" s="36" t="s">
        <v>196</v>
      </c>
      <c r="B210" s="2">
        <v>1.835129</v>
      </c>
      <c r="C210" s="2">
        <v>0.10485800000000001</v>
      </c>
      <c r="D210" s="2">
        <v>10.63</v>
      </c>
      <c r="E210" s="2">
        <v>0</v>
      </c>
      <c r="F210" s="2">
        <f>B210-1.640701</f>
        <v>0.19442800000000005</v>
      </c>
      <c r="G210" s="2">
        <f>2.052597-B210</f>
        <v>0.21746799999999999</v>
      </c>
    </row>
    <row r="211" spans="1:7" x14ac:dyDescent="0.25">
      <c r="A211" s="36" t="s">
        <v>197</v>
      </c>
      <c r="B211" s="2">
        <v>1.5010019999999999</v>
      </c>
      <c r="C211" s="2">
        <v>8.9217500000000005E-2</v>
      </c>
      <c r="D211" s="2">
        <v>6.83</v>
      </c>
      <c r="E211" s="2">
        <v>0</v>
      </c>
      <c r="F211" s="2">
        <f>B211-1.33594</f>
        <v>0.16506200000000004</v>
      </c>
      <c r="G211" s="2">
        <f>1.686458-B211</f>
        <v>0.18545600000000007</v>
      </c>
    </row>
    <row r="212" spans="1:7" x14ac:dyDescent="0.25">
      <c r="A212" s="36" t="s">
        <v>198</v>
      </c>
      <c r="B212" s="2">
        <v>0.64493840000000002</v>
      </c>
      <c r="C212" s="2">
        <v>4.3613499999999999E-2</v>
      </c>
      <c r="D212" s="2">
        <v>-6.49</v>
      </c>
      <c r="E212" s="2">
        <v>0</v>
      </c>
      <c r="F212" s="2">
        <f>B212-0.5648801</f>
        <v>8.0058300000000027E-2</v>
      </c>
      <c r="G212" s="2">
        <f>0.736343-B212</f>
        <v>9.1404599999999947E-2</v>
      </c>
    </row>
    <row r="213" spans="1:7" x14ac:dyDescent="0.25">
      <c r="A213" s="36" t="s">
        <v>199</v>
      </c>
      <c r="B213" s="2">
        <v>0.26853709999999997</v>
      </c>
      <c r="C213" s="2">
        <v>2.6461599999999998E-2</v>
      </c>
      <c r="D213" s="2">
        <v>-13.34</v>
      </c>
      <c r="E213" s="2">
        <v>0</v>
      </c>
      <c r="F213" s="2">
        <f>B213-0.2213742</f>
        <v>4.716289999999998E-2</v>
      </c>
      <c r="G213" s="2">
        <f>0.3257478-B213</f>
        <v>5.7210700000000003E-2</v>
      </c>
    </row>
    <row r="214" spans="1:7" x14ac:dyDescent="0.25">
      <c r="A214" s="36" t="s">
        <v>200</v>
      </c>
      <c r="B214" s="2">
        <v>0.37759860000000001</v>
      </c>
      <c r="C214" s="2">
        <v>3.0206500000000001E-2</v>
      </c>
      <c r="D214" s="2">
        <v>-12.17</v>
      </c>
      <c r="E214" s="2">
        <v>0</v>
      </c>
      <c r="F214" s="2">
        <f>B214-0.3228029</f>
        <v>5.4795700000000003E-2</v>
      </c>
      <c r="G214" s="2">
        <f>0.4416958-B214</f>
        <v>6.4097200000000021E-2</v>
      </c>
    </row>
    <row r="215" spans="1:7" x14ac:dyDescent="0.25">
      <c r="A215" s="36" t="s">
        <v>201</v>
      </c>
      <c r="B215" s="2">
        <v>0.80961919999999998</v>
      </c>
      <c r="C215" s="2">
        <v>6.3662999999999997E-2</v>
      </c>
      <c r="D215" s="2">
        <v>-2.69</v>
      </c>
      <c r="E215" s="2">
        <v>7.0000000000000001E-3</v>
      </c>
      <c r="F215" s="2">
        <f>B215-0.6939818</f>
        <v>0.1156374</v>
      </c>
      <c r="G215" s="2">
        <f>0.9445253-B215</f>
        <v>0.13490610000000003</v>
      </c>
    </row>
    <row r="216" spans="1:7" x14ac:dyDescent="0.25">
      <c r="A216" s="36" t="s">
        <v>202</v>
      </c>
      <c r="B216" s="2">
        <v>0.89264299999999996</v>
      </c>
      <c r="C216" s="2">
        <v>6.0340299999999999E-2</v>
      </c>
      <c r="D216" s="2">
        <v>-1.68</v>
      </c>
      <c r="E216" s="2">
        <v>9.2999999999999999E-2</v>
      </c>
      <c r="F216" s="2">
        <f>B216-0.7818778</f>
        <v>0.11076520000000001</v>
      </c>
      <c r="G216" s="2">
        <f>1.0191-B216</f>
        <v>0.12645699999999993</v>
      </c>
    </row>
    <row r="217" spans="1:7" x14ac:dyDescent="0.25">
      <c r="A217" s="36" t="s">
        <v>203</v>
      </c>
      <c r="B217" s="2">
        <v>0.87374750000000001</v>
      </c>
      <c r="C217" s="2">
        <v>6.0957900000000002E-2</v>
      </c>
      <c r="D217" s="2">
        <v>-1.93</v>
      </c>
      <c r="E217" s="2">
        <v>5.2999999999999999E-2</v>
      </c>
      <c r="F217" s="2">
        <f>B217-0.7620808</f>
        <v>0.11166670000000001</v>
      </c>
      <c r="G217" s="2">
        <f>1.001777-B217</f>
        <v>0.12802949999999991</v>
      </c>
    </row>
    <row r="218" spans="1:7" x14ac:dyDescent="0.25">
      <c r="A218" s="36" t="s">
        <v>204</v>
      </c>
      <c r="B218" s="2">
        <v>1.1554519999999999</v>
      </c>
      <c r="C218" s="2">
        <v>7.5289599999999998E-2</v>
      </c>
      <c r="D218" s="2">
        <v>2.2200000000000002</v>
      </c>
      <c r="E218" s="2">
        <v>2.7E-2</v>
      </c>
      <c r="F218" s="2">
        <f>B218-1.016921</f>
        <v>0.13853099999999996</v>
      </c>
      <c r="G218" s="2">
        <f>1.312854-B218</f>
        <v>0.15740200000000004</v>
      </c>
    </row>
    <row r="219" spans="1:7" x14ac:dyDescent="0.25">
      <c r="A219" s="36" t="s">
        <v>205</v>
      </c>
      <c r="B219" s="2">
        <v>3.88978</v>
      </c>
      <c r="C219" s="2">
        <v>0.24890909999999999</v>
      </c>
      <c r="D219" s="2">
        <v>21.23</v>
      </c>
      <c r="E219" s="2">
        <v>0</v>
      </c>
      <c r="F219" s="2">
        <f>B219-3.43128</f>
        <v>0.45849999999999991</v>
      </c>
      <c r="G219" s="2">
        <f>4.409546-B219</f>
        <v>0.51976599999999973</v>
      </c>
    </row>
    <row r="220" spans="1:7" x14ac:dyDescent="0.25">
      <c r="A220" s="36" t="s">
        <v>206</v>
      </c>
      <c r="B220" s="2">
        <v>3.71557</v>
      </c>
      <c r="C220" s="2">
        <v>0.20649310000000001</v>
      </c>
      <c r="D220" s="2">
        <v>23.62</v>
      </c>
      <c r="E220" s="2">
        <v>0</v>
      </c>
      <c r="F220" s="2">
        <f>B220-3.332114</f>
        <v>0.38345600000000024</v>
      </c>
      <c r="G220" s="2">
        <f>4.143154-B220</f>
        <v>0.42758399999999996</v>
      </c>
    </row>
    <row r="221" spans="1:7" x14ac:dyDescent="0.25">
      <c r="A221" s="36" t="s">
        <v>207</v>
      </c>
      <c r="B221" s="2">
        <v>3.7134269999999998</v>
      </c>
      <c r="C221" s="2">
        <v>0.25038529999999998</v>
      </c>
      <c r="D221" s="2">
        <v>19.46</v>
      </c>
      <c r="E221" s="2">
        <v>0</v>
      </c>
      <c r="F221" s="2">
        <f>B221-3.253725</f>
        <v>0.45970199999999961</v>
      </c>
      <c r="G221" s="2">
        <f>4.238077-B221</f>
        <v>0.52464999999999984</v>
      </c>
    </row>
    <row r="222" spans="1:7" x14ac:dyDescent="0.25">
      <c r="A222" s="36" t="s">
        <v>208</v>
      </c>
      <c r="B222" s="2">
        <v>4.7305549999999998</v>
      </c>
      <c r="C222" s="2">
        <v>0.255079</v>
      </c>
      <c r="D222" s="2">
        <v>28.82</v>
      </c>
      <c r="E222" s="2">
        <v>0</v>
      </c>
      <c r="F222" s="2">
        <f>B222-4.256121</f>
        <v>0.47443399999999958</v>
      </c>
      <c r="G222" s="2">
        <f>5.257875-B222</f>
        <v>0.52732000000000046</v>
      </c>
    </row>
    <row r="223" spans="1:7" x14ac:dyDescent="0.25">
      <c r="A223" s="36" t="s">
        <v>209</v>
      </c>
      <c r="B223" s="2">
        <v>0.53483899999999995</v>
      </c>
      <c r="C223" s="2">
        <v>3.5180200000000002E-2</v>
      </c>
      <c r="D223" s="2">
        <v>-9.51</v>
      </c>
      <c r="E223" s="2">
        <v>0</v>
      </c>
      <c r="F223" s="2">
        <f>B223-0.4701468</f>
        <v>6.4692199999999977E-2</v>
      </c>
      <c r="G223" s="2">
        <f>0.6084329-B223</f>
        <v>7.3593900000000101E-2</v>
      </c>
    </row>
    <row r="224" spans="1:7" x14ac:dyDescent="0.25">
      <c r="A224" s="36" t="s">
        <v>210</v>
      </c>
      <c r="B224" s="2">
        <v>0.58425110000000002</v>
      </c>
      <c r="C224" s="2">
        <v>3.7050199999999998E-2</v>
      </c>
      <c r="D224" s="2">
        <v>-8.4700000000000006</v>
      </c>
      <c r="E224" s="2">
        <v>0</v>
      </c>
      <c r="F224" s="2">
        <f>B224-0.5159655</f>
        <v>6.8285600000000057E-2</v>
      </c>
      <c r="G224" s="2">
        <f>0.6615739-B224</f>
        <v>7.7322800000000025E-2</v>
      </c>
    </row>
    <row r="225" spans="1:7" x14ac:dyDescent="0.25">
      <c r="A225" s="36" t="s">
        <v>211</v>
      </c>
      <c r="B225" s="2">
        <v>1.198269</v>
      </c>
      <c r="C225" s="2">
        <v>6.7749500000000004E-2</v>
      </c>
      <c r="D225" s="2">
        <v>3.2</v>
      </c>
      <c r="E225" s="2">
        <v>1E-3</v>
      </c>
      <c r="F225" s="2">
        <f>B225-1.072575</f>
        <v>0.12569399999999997</v>
      </c>
      <c r="G225" s="2">
        <f>1.338692-B225</f>
        <v>0.14042299999999996</v>
      </c>
    </row>
    <row r="226" spans="1:7" x14ac:dyDescent="0.25">
      <c r="A226" s="36" t="s">
        <v>212</v>
      </c>
      <c r="B226" s="2">
        <v>1.1827730000000001</v>
      </c>
      <c r="C226" s="2">
        <v>6.7095299999999997E-2</v>
      </c>
      <c r="D226" s="2">
        <v>2.96</v>
      </c>
      <c r="E226" s="2">
        <v>3.0000000000000001E-3</v>
      </c>
      <c r="F226" s="2">
        <f>B226-1.058315</f>
        <v>0.12445800000000018</v>
      </c>
      <c r="G226" s="2">
        <f>1.321866-B226</f>
        <v>0.13909299999999991</v>
      </c>
    </row>
    <row r="227" spans="1:7" x14ac:dyDescent="0.25">
      <c r="A227" s="36" t="s">
        <v>213</v>
      </c>
      <c r="B227" s="2">
        <v>0.34645769999999998</v>
      </c>
      <c r="C227" s="2">
        <v>2.6121100000000001E-2</v>
      </c>
      <c r="D227" s="2">
        <v>-14.06</v>
      </c>
      <c r="E227" s="2">
        <v>0</v>
      </c>
      <c r="F227" s="2">
        <f>B227-0.2988643</f>
        <v>4.7593399999999952E-2</v>
      </c>
      <c r="G227" s="2">
        <f>0.4016303-B227</f>
        <v>5.5172600000000016E-2</v>
      </c>
    </row>
    <row r="228" spans="1:7" x14ac:dyDescent="0.25">
      <c r="A228" s="36" t="s">
        <v>214</v>
      </c>
      <c r="B228" s="2">
        <v>0.20314479999999999</v>
      </c>
      <c r="C228" s="2">
        <v>1.7280899999999998E-2</v>
      </c>
      <c r="D228" s="2">
        <v>-18.739999999999998</v>
      </c>
      <c r="E228" s="2">
        <v>0</v>
      </c>
      <c r="F228" s="2">
        <f>B228-0.1719478</f>
        <v>3.1196999999999975E-2</v>
      </c>
      <c r="G228" s="2">
        <f>0.2400019-B228</f>
        <v>3.6857100000000004E-2</v>
      </c>
    </row>
    <row r="229" spans="1:7" x14ac:dyDescent="0.25">
      <c r="A229" s="36" t="s">
        <v>215</v>
      </c>
      <c r="B229" s="2">
        <v>0.99923980000000001</v>
      </c>
      <c r="C229" s="2">
        <v>5.7509499999999998E-2</v>
      </c>
      <c r="D229" s="2">
        <v>-0.01</v>
      </c>
      <c r="E229" s="2">
        <v>0.98899999999999999</v>
      </c>
      <c r="F229" s="2">
        <f>B229-0.8926482</f>
        <v>0.10659160000000001</v>
      </c>
      <c r="G229" s="2">
        <f>1.11856-B229</f>
        <v>0.11932019999999999</v>
      </c>
    </row>
    <row r="230" spans="1:7" x14ac:dyDescent="0.25">
      <c r="A230" s="36" t="s">
        <v>216</v>
      </c>
      <c r="B230" s="2">
        <v>0.78068029999999999</v>
      </c>
      <c r="C230" s="2">
        <v>4.6855800000000003E-2</v>
      </c>
      <c r="D230" s="2">
        <v>-4.13</v>
      </c>
      <c r="E230" s="2">
        <v>0</v>
      </c>
      <c r="F230" s="2">
        <f>B230-0.6940404</f>
        <v>8.6639899999999992E-2</v>
      </c>
      <c r="G230" s="2">
        <f>0.8781358-B230</f>
        <v>9.7455500000000028E-2</v>
      </c>
    </row>
    <row r="231" spans="1:7" x14ac:dyDescent="0.25">
      <c r="A231" s="36" t="s">
        <v>217</v>
      </c>
      <c r="B231" s="2">
        <v>0.9754874</v>
      </c>
      <c r="C231" s="2">
        <v>5.4167100000000003E-2</v>
      </c>
      <c r="D231" s="2">
        <v>-0.45</v>
      </c>
      <c r="E231" s="2">
        <v>0.65500000000000003</v>
      </c>
      <c r="F231" s="2">
        <f>B231-0.874895</f>
        <v>0.10059240000000003</v>
      </c>
      <c r="G231" s="2">
        <f>1.087645-B231</f>
        <v>0.11215759999999997</v>
      </c>
    </row>
    <row r="232" spans="1:7" x14ac:dyDescent="0.25">
      <c r="A232" s="36" t="s">
        <v>218</v>
      </c>
      <c r="B232" s="2">
        <v>0.65560359999999995</v>
      </c>
      <c r="C232" s="2">
        <v>3.8831999999999998E-2</v>
      </c>
      <c r="D232" s="2">
        <v>-7.13</v>
      </c>
      <c r="E232" s="2">
        <v>0</v>
      </c>
      <c r="F232" s="2">
        <f>B232-0.5837459</f>
        <v>7.1857699999999913E-2</v>
      </c>
      <c r="G232" s="2">
        <f>0.7363067-B232</f>
        <v>8.0703100000000028E-2</v>
      </c>
    </row>
    <row r="233" spans="1:7" x14ac:dyDescent="0.25">
      <c r="A233" s="36" t="s">
        <v>219</v>
      </c>
      <c r="B233" s="2">
        <v>0.21704799999999999</v>
      </c>
      <c r="C233" s="2">
        <v>1.6828099999999999E-2</v>
      </c>
      <c r="D233" s="2">
        <v>-19.7</v>
      </c>
      <c r="E233" s="2">
        <v>0</v>
      </c>
      <c r="F233" s="2">
        <f>B233-0.1864492</f>
        <v>3.0598799999999982E-2</v>
      </c>
      <c r="G233" s="2">
        <f>0.2526685-B233</f>
        <v>3.5620500000000027E-2</v>
      </c>
    </row>
    <row r="234" spans="1:7" x14ac:dyDescent="0.25">
      <c r="A234" s="36" t="s">
        <v>220</v>
      </c>
      <c r="B234" s="2">
        <v>0.5867694</v>
      </c>
      <c r="C234" s="2">
        <v>3.6243600000000001E-2</v>
      </c>
      <c r="D234" s="2">
        <v>-8.6300000000000008</v>
      </c>
      <c r="E234" s="2">
        <v>0</v>
      </c>
      <c r="F234" s="2">
        <f>B234-0.5198648</f>
        <v>6.6904599999999981E-2</v>
      </c>
      <c r="G234" s="2">
        <f>0.6622843-B234</f>
        <v>7.5514900000000051E-2</v>
      </c>
    </row>
    <row r="235" spans="1:7" x14ac:dyDescent="0.25">
      <c r="A235" s="36" t="s">
        <v>221</v>
      </c>
      <c r="B235" s="2">
        <v>0.350553</v>
      </c>
      <c r="C235" s="2">
        <v>2.4883700000000002E-2</v>
      </c>
      <c r="D235" s="2">
        <v>-14.77</v>
      </c>
      <c r="E235" s="2">
        <v>0</v>
      </c>
      <c r="F235" s="2">
        <f>B235-0.3050224</f>
        <v>4.5530599999999977E-2</v>
      </c>
      <c r="G235" s="2">
        <f>0.4028798-B235</f>
        <v>5.2326800000000007E-2</v>
      </c>
    </row>
    <row r="236" spans="1:7" x14ac:dyDescent="0.25">
      <c r="A236" s="36" t="s">
        <v>222</v>
      </c>
      <c r="B236" s="2">
        <v>0.64469080000000001</v>
      </c>
      <c r="C236" s="2">
        <v>4.2203299999999999E-2</v>
      </c>
      <c r="D236" s="2">
        <v>-6.71</v>
      </c>
      <c r="E236" s="2">
        <v>0</v>
      </c>
      <c r="F236" s="2">
        <f>B236-0.5670605</f>
        <v>7.7630300000000041E-2</v>
      </c>
      <c r="G236" s="2">
        <f>0.7329487-B236</f>
        <v>8.82579E-2</v>
      </c>
    </row>
    <row r="237" spans="1:7" x14ac:dyDescent="0.25">
      <c r="A237" s="36" t="s">
        <v>223</v>
      </c>
      <c r="B237" s="2">
        <v>0.95173490000000005</v>
      </c>
      <c r="C237" s="2">
        <v>5.5759299999999998E-2</v>
      </c>
      <c r="D237" s="2">
        <v>-0.84</v>
      </c>
      <c r="E237" s="2">
        <v>0.39800000000000002</v>
      </c>
      <c r="F237" s="2">
        <f>B237-0.8484898</f>
        <v>0.10324510000000009</v>
      </c>
      <c r="G237" s="2">
        <f>1.067543-B237</f>
        <v>0.11580809999999986</v>
      </c>
    </row>
    <row r="238" spans="1:7" x14ac:dyDescent="0.25">
      <c r="A238" s="36" t="s">
        <v>224</v>
      </c>
      <c r="B238" s="2">
        <v>1.3414269999999999</v>
      </c>
      <c r="C238" s="2">
        <v>7.6346800000000006E-2</v>
      </c>
      <c r="D238" s="2">
        <v>5.16</v>
      </c>
      <c r="E238" s="2">
        <v>0</v>
      </c>
      <c r="F238" s="2">
        <f>B238-1.199834</f>
        <v>0.14159299999999986</v>
      </c>
      <c r="G238" s="2">
        <f>1.499729-B238</f>
        <v>0.15830200000000016</v>
      </c>
    </row>
    <row r="239" spans="1:7" x14ac:dyDescent="0.25">
      <c r="A239" s="36" t="s">
        <v>225</v>
      </c>
      <c r="B239" s="2">
        <v>0.84525859999999997</v>
      </c>
      <c r="C239" s="2">
        <v>6.6779000000000005E-2</v>
      </c>
      <c r="D239" s="2">
        <v>-2.13</v>
      </c>
      <c r="E239" s="2">
        <v>3.3000000000000002E-2</v>
      </c>
      <c r="F239" s="2">
        <f>B239-0.7240041</f>
        <v>0.12125449999999993</v>
      </c>
      <c r="G239" s="2">
        <f>0.9868205-B239</f>
        <v>0.14156190000000002</v>
      </c>
    </row>
    <row r="240" spans="1:7" x14ac:dyDescent="0.25">
      <c r="A240" s="36" t="s">
        <v>226</v>
      </c>
      <c r="B240" s="2">
        <v>0.66147959999999995</v>
      </c>
      <c r="C240" s="2">
        <v>4.5012799999999999E-2</v>
      </c>
      <c r="D240" s="2">
        <v>-6.07</v>
      </c>
      <c r="E240" s="2">
        <v>0</v>
      </c>
      <c r="F240" s="2">
        <f>B240-0.5788863</f>
        <v>8.2593299999999981E-2</v>
      </c>
      <c r="G240" s="2">
        <f>0.755857-B240</f>
        <v>9.4377400000000056E-2</v>
      </c>
    </row>
    <row r="241" spans="1:24" x14ac:dyDescent="0.25">
      <c r="A241" s="36" t="s">
        <v>227</v>
      </c>
      <c r="B241" s="2">
        <v>2.8511099999999998</v>
      </c>
      <c r="C241" s="2">
        <v>0.16958790000000001</v>
      </c>
      <c r="D241" s="2">
        <v>17.61</v>
      </c>
      <c r="E241" s="2">
        <v>0</v>
      </c>
      <c r="F241" s="2">
        <f>B241-2.537367</f>
        <v>0.31374299999999966</v>
      </c>
      <c r="G241" s="2">
        <f>3.203646-B241</f>
        <v>0.35253600000000018</v>
      </c>
    </row>
    <row r="242" spans="1:24" x14ac:dyDescent="0.25">
      <c r="A242" s="36" t="s">
        <v>228</v>
      </c>
      <c r="B242" s="2">
        <v>2.9934470000000002</v>
      </c>
      <c r="C242" s="2">
        <v>0.16075619999999999</v>
      </c>
      <c r="D242" s="2">
        <v>20.420000000000002</v>
      </c>
      <c r="E242" s="2">
        <v>0</v>
      </c>
      <c r="F242" s="2">
        <f>B242-2.694386</f>
        <v>0.29906100000000002</v>
      </c>
      <c r="G242" s="2">
        <f>3.325703-B242</f>
        <v>0.33225599999999966</v>
      </c>
    </row>
    <row r="243" spans="1:24" x14ac:dyDescent="0.25">
      <c r="A243" s="36"/>
      <c r="B243" s="3"/>
      <c r="C243" s="3"/>
      <c r="D243" s="3"/>
      <c r="E243" s="3"/>
      <c r="F243" s="3"/>
      <c r="G243" s="3"/>
    </row>
    <row r="244" spans="1:24" x14ac:dyDescent="0.25">
      <c r="A244" s="5" t="s">
        <v>6</v>
      </c>
      <c r="B244" s="6">
        <v>2.3413000000000002E-3</v>
      </c>
      <c r="C244" s="6">
        <v>1.155E-4</v>
      </c>
      <c r="D244" s="6">
        <v>-122.78</v>
      </c>
      <c r="E244" s="6">
        <v>0</v>
      </c>
      <c r="F244" s="6">
        <v>2.1256000000000001E-3</v>
      </c>
      <c r="G244" s="6">
        <v>2.5790000000000001E-3</v>
      </c>
    </row>
    <row r="245" spans="1:24" x14ac:dyDescent="0.25">
      <c r="W245" s="2"/>
      <c r="X245" s="2"/>
    </row>
    <row r="246" spans="1:24" ht="15.75" thickBot="1" x14ac:dyDescent="0.3">
      <c r="N246" s="45"/>
      <c r="O246" s="45"/>
      <c r="P246" s="2"/>
      <c r="Q246" s="2"/>
      <c r="R246" s="2"/>
      <c r="S246" s="2"/>
      <c r="T246" s="2"/>
      <c r="U246" s="2"/>
      <c r="W246" s="2"/>
      <c r="X246" s="2"/>
    </row>
    <row r="247" spans="1:24" x14ac:dyDescent="0.25">
      <c r="A247" s="10"/>
      <c r="B247" s="11"/>
      <c r="C247" s="11" t="s">
        <v>9</v>
      </c>
      <c r="D247" s="11" t="s">
        <v>10</v>
      </c>
      <c r="E247" s="11" t="s">
        <v>40</v>
      </c>
      <c r="F247" s="11" t="s">
        <v>11</v>
      </c>
      <c r="G247" s="11" t="s">
        <v>7</v>
      </c>
      <c r="H247" s="11" t="s">
        <v>8</v>
      </c>
      <c r="I247" s="11" t="s">
        <v>62</v>
      </c>
      <c r="J247" s="11" t="s">
        <v>63</v>
      </c>
      <c r="K247" s="11" t="s">
        <v>64</v>
      </c>
      <c r="L247" s="12" t="s">
        <v>65</v>
      </c>
      <c r="N247" s="45">
        <v>0</v>
      </c>
      <c r="O247" s="45">
        <v>0</v>
      </c>
      <c r="P247" s="2">
        <v>0.23816499999999974</v>
      </c>
      <c r="Q247" s="2">
        <v>0.26758199999999999</v>
      </c>
      <c r="R247" s="2">
        <v>0.1156374</v>
      </c>
      <c r="S247" s="2">
        <v>0.13490610000000003</v>
      </c>
      <c r="T247" s="2">
        <v>0.45970199999999961</v>
      </c>
      <c r="U247" s="2">
        <v>0.52464999999999984</v>
      </c>
      <c r="W247" s="2"/>
      <c r="X247" s="2"/>
    </row>
    <row r="248" spans="1:24" x14ac:dyDescent="0.25">
      <c r="A248" s="24" t="s">
        <v>91</v>
      </c>
      <c r="B248" s="7" t="s">
        <v>152</v>
      </c>
      <c r="C248" s="25">
        <f>B203</f>
        <v>1</v>
      </c>
      <c r="D248" s="9">
        <f>B205</f>
        <v>1.452906</v>
      </c>
      <c r="E248" s="9">
        <f>B207</f>
        <v>2.623246</v>
      </c>
      <c r="F248" s="9">
        <f>B209</f>
        <v>2.1663329999999998</v>
      </c>
      <c r="G248" s="9">
        <f>B211</f>
        <v>1.5010019999999999</v>
      </c>
      <c r="H248" s="7">
        <f>B213</f>
        <v>0.26853709999999997</v>
      </c>
      <c r="I248" s="4">
        <f>B215</f>
        <v>0.80961919999999998</v>
      </c>
      <c r="J248" s="25">
        <f>B217</f>
        <v>0.87374750000000001</v>
      </c>
      <c r="K248" s="25">
        <f>B219</f>
        <v>3.88978</v>
      </c>
      <c r="L248" s="18">
        <f>B221</f>
        <v>3.7134269999999998</v>
      </c>
      <c r="N248" s="2">
        <v>8.7476700000000074E-2</v>
      </c>
      <c r="O248" s="2">
        <v>9.9508299999999994E-2</v>
      </c>
      <c r="P248" s="2">
        <v>0.19442800000000005</v>
      </c>
      <c r="Q248" s="2">
        <v>0.21746799999999999</v>
      </c>
      <c r="R248" s="2">
        <v>0.11076520000000001</v>
      </c>
      <c r="S248" s="2">
        <v>0.12645699999999993</v>
      </c>
      <c r="T248" s="2">
        <v>0.47443399999999958</v>
      </c>
      <c r="U248" s="2">
        <v>0.52732000000000046</v>
      </c>
      <c r="W248" s="2"/>
      <c r="X248" s="2"/>
    </row>
    <row r="249" spans="1:24" x14ac:dyDescent="0.25">
      <c r="A249" s="24"/>
      <c r="B249" s="7" t="s">
        <v>372</v>
      </c>
      <c r="C249" s="9">
        <f>B204</f>
        <v>0.72347890000000004</v>
      </c>
      <c r="D249" s="9">
        <f>B206</f>
        <v>1.205295</v>
      </c>
      <c r="E249" s="9">
        <f>B208</f>
        <v>1.756589</v>
      </c>
      <c r="F249" s="9">
        <f>B210</f>
        <v>1.835129</v>
      </c>
      <c r="G249" s="9">
        <f>B212</f>
        <v>0.64493840000000002</v>
      </c>
      <c r="H249" s="7">
        <f>B214</f>
        <v>0.37759860000000001</v>
      </c>
      <c r="I249" s="25">
        <f>B216</f>
        <v>0.89264299999999996</v>
      </c>
      <c r="J249" s="25">
        <f>B218</f>
        <v>1.1554519999999999</v>
      </c>
      <c r="K249" s="25">
        <f>B220</f>
        <v>3.71557</v>
      </c>
      <c r="L249" s="18">
        <f>B222</f>
        <v>4.7305549999999998</v>
      </c>
      <c r="N249" s="2">
        <v>6.4692199999999977E-2</v>
      </c>
      <c r="O249" s="2">
        <v>7.3593900000000101E-2</v>
      </c>
      <c r="P249" s="2">
        <v>0.10659160000000001</v>
      </c>
      <c r="Q249" s="2">
        <v>0.11932019999999999</v>
      </c>
      <c r="R249" s="2">
        <v>4.5530599999999977E-2</v>
      </c>
      <c r="S249" s="2">
        <v>5.2326800000000007E-2</v>
      </c>
      <c r="T249" s="2">
        <v>0.31374299999999966</v>
      </c>
      <c r="U249" s="2">
        <v>0.35253600000000018</v>
      </c>
      <c r="W249" s="2"/>
      <c r="X249" s="2"/>
    </row>
    <row r="250" spans="1:24" x14ac:dyDescent="0.25">
      <c r="A250" s="24" t="s">
        <v>73</v>
      </c>
      <c r="B250" s="7" t="s">
        <v>152</v>
      </c>
      <c r="C250" s="9">
        <f>B223</f>
        <v>0.53483899999999995</v>
      </c>
      <c r="D250" s="9">
        <f>B225</f>
        <v>1.198269</v>
      </c>
      <c r="E250" s="9">
        <f>B227</f>
        <v>0.34645769999999998</v>
      </c>
      <c r="F250" s="9">
        <f>B229</f>
        <v>0.99923980000000001</v>
      </c>
      <c r="G250" s="9">
        <f>B231</f>
        <v>0.9754874</v>
      </c>
      <c r="H250" s="4">
        <f>B233</f>
        <v>0.21704799999999999</v>
      </c>
      <c r="I250" s="25">
        <f>B235</f>
        <v>0.350553</v>
      </c>
      <c r="J250" s="25">
        <f>B237</f>
        <v>0.95173490000000005</v>
      </c>
      <c r="K250" s="25">
        <f>B239</f>
        <v>0.84525859999999997</v>
      </c>
      <c r="L250" s="18">
        <f>B241</f>
        <v>2.8511099999999998</v>
      </c>
      <c r="N250" s="2">
        <v>6.8285600000000057E-2</v>
      </c>
      <c r="O250" s="2">
        <v>7.7322800000000025E-2</v>
      </c>
      <c r="P250" s="2">
        <v>8.6639899999999992E-2</v>
      </c>
      <c r="Q250" s="2">
        <v>9.7455500000000028E-2</v>
      </c>
      <c r="R250" s="2">
        <v>7.7630300000000041E-2</v>
      </c>
      <c r="S250" s="2">
        <v>8.82579E-2</v>
      </c>
      <c r="T250" s="2">
        <v>0.29906100000000002</v>
      </c>
      <c r="U250" s="2">
        <v>0.33225599999999966</v>
      </c>
      <c r="W250" s="2"/>
      <c r="X250" s="2"/>
    </row>
    <row r="251" spans="1:24" ht="15.75" thickBot="1" x14ac:dyDescent="0.3">
      <c r="A251" s="26"/>
      <c r="B251" s="27" t="s">
        <v>372</v>
      </c>
      <c r="C251" s="29">
        <f>B224</f>
        <v>0.58425110000000002</v>
      </c>
      <c r="D251" s="28">
        <f>B226</f>
        <v>1.1827730000000001</v>
      </c>
      <c r="E251" s="29">
        <f>B228</f>
        <v>0.20314479999999999</v>
      </c>
      <c r="F251" s="29">
        <f>B230</f>
        <v>0.78068029999999999</v>
      </c>
      <c r="G251" s="29">
        <f>B232</f>
        <v>0.65560359999999995</v>
      </c>
      <c r="H251" s="29">
        <f>B234</f>
        <v>0.5867694</v>
      </c>
      <c r="I251" s="29">
        <f>B236</f>
        <v>0.64469080000000001</v>
      </c>
      <c r="J251" s="28">
        <f>B238</f>
        <v>1.3414269999999999</v>
      </c>
      <c r="K251" s="29">
        <f>B240</f>
        <v>0.66147959999999995</v>
      </c>
      <c r="L251" s="22">
        <f>B242</f>
        <v>2.9934470000000002</v>
      </c>
      <c r="N251" s="2">
        <v>0.167292</v>
      </c>
      <c r="O251" s="2">
        <v>0.18906000000000001</v>
      </c>
      <c r="P251" s="2">
        <v>0.16506200000000004</v>
      </c>
      <c r="Q251" s="2">
        <v>0.18545600000000007</v>
      </c>
      <c r="R251" s="2">
        <v>0.11166670000000001</v>
      </c>
      <c r="S251" s="2">
        <v>0.12802949999999991</v>
      </c>
      <c r="T251" s="9"/>
      <c r="U251" s="9"/>
      <c r="W251" s="2"/>
      <c r="X251" s="2"/>
    </row>
    <row r="252" spans="1:24" x14ac:dyDescent="0.25">
      <c r="N252" s="2">
        <v>0.13589800000000007</v>
      </c>
      <c r="O252" s="2">
        <v>0.15316700000000005</v>
      </c>
      <c r="P252" s="2">
        <v>8.0058300000000027E-2</v>
      </c>
      <c r="Q252" s="2">
        <v>9.1404599999999947E-2</v>
      </c>
      <c r="R252" s="2">
        <v>0.13853099999999996</v>
      </c>
      <c r="S252" s="2">
        <v>0.15740200000000004</v>
      </c>
      <c r="W252" s="2"/>
      <c r="X252" s="2"/>
    </row>
    <row r="253" spans="1:24" x14ac:dyDescent="0.25">
      <c r="N253" s="2">
        <v>0.12569399999999997</v>
      </c>
      <c r="O253" s="2">
        <v>0.14042299999999996</v>
      </c>
      <c r="P253" s="2">
        <v>0.10059240000000003</v>
      </c>
      <c r="Q253" s="2">
        <v>0.11215759999999997</v>
      </c>
      <c r="R253" s="2">
        <v>0.10324510000000009</v>
      </c>
      <c r="S253" s="2">
        <v>0.11580809999999986</v>
      </c>
      <c r="W253" s="2"/>
      <c r="X253" s="2"/>
    </row>
    <row r="254" spans="1:24" x14ac:dyDescent="0.25">
      <c r="N254" s="2">
        <v>0.12445800000000018</v>
      </c>
      <c r="O254" s="2">
        <v>0.13909299999999991</v>
      </c>
      <c r="P254" s="2">
        <v>7.1857699999999913E-2</v>
      </c>
      <c r="Q254" s="2">
        <v>8.0703100000000028E-2</v>
      </c>
      <c r="R254" s="2">
        <v>0.14159299999999986</v>
      </c>
      <c r="S254" s="2">
        <v>0.15830200000000016</v>
      </c>
      <c r="W254" s="2"/>
      <c r="X254" s="2"/>
    </row>
    <row r="255" spans="1:24" x14ac:dyDescent="0.25">
      <c r="N255" s="2">
        <v>0.28283499999999995</v>
      </c>
      <c r="O255" s="2">
        <v>0.31701600000000019</v>
      </c>
      <c r="P255" s="2">
        <v>4.716289999999998E-2</v>
      </c>
      <c r="Q255" s="2">
        <v>5.7210700000000003E-2</v>
      </c>
      <c r="R255" s="2">
        <v>0.45849999999999991</v>
      </c>
      <c r="S255" s="2">
        <v>0.51976599999999973</v>
      </c>
      <c r="W255" s="2"/>
      <c r="X255" s="2"/>
    </row>
    <row r="256" spans="1:24" x14ac:dyDescent="0.25">
      <c r="N256" s="2">
        <v>0.18835399999999991</v>
      </c>
      <c r="O256" s="2">
        <v>0.21097500000000013</v>
      </c>
      <c r="P256" s="2">
        <v>5.4795700000000003E-2</v>
      </c>
      <c r="Q256" s="2">
        <v>6.4097200000000021E-2</v>
      </c>
      <c r="R256" s="2">
        <v>0.38345600000000024</v>
      </c>
      <c r="S256" s="2">
        <v>0.42758399999999996</v>
      </c>
      <c r="W256" s="2"/>
      <c r="X256" s="2"/>
    </row>
    <row r="257" spans="1:24" x14ac:dyDescent="0.25">
      <c r="N257" s="2">
        <v>4.7593399999999952E-2</v>
      </c>
      <c r="O257" s="2">
        <v>5.5172600000000016E-2</v>
      </c>
      <c r="P257" s="2">
        <v>3.0598799999999982E-2</v>
      </c>
      <c r="Q257" s="2">
        <v>3.5620500000000027E-2</v>
      </c>
      <c r="R257" s="2">
        <v>0.12125449999999993</v>
      </c>
      <c r="S257" s="2">
        <v>0.14156190000000002</v>
      </c>
      <c r="W257" s="2"/>
      <c r="X257" s="2"/>
    </row>
    <row r="258" spans="1:24" x14ac:dyDescent="0.25">
      <c r="N258" s="2">
        <v>3.1196999999999975E-2</v>
      </c>
      <c r="O258" s="2">
        <v>3.6857100000000004E-2</v>
      </c>
      <c r="P258" s="2">
        <v>6.6904599999999981E-2</v>
      </c>
      <c r="Q258" s="2">
        <v>7.5514900000000051E-2</v>
      </c>
      <c r="R258" s="2">
        <v>8.2593299999999981E-2</v>
      </c>
      <c r="S258" s="2">
        <v>9.4377400000000056E-2</v>
      </c>
      <c r="W258" s="2"/>
      <c r="X258" s="2"/>
    </row>
    <row r="259" spans="1:24" x14ac:dyDescent="0.25">
      <c r="N259" s="2"/>
      <c r="O259" s="2"/>
      <c r="P259" s="2"/>
      <c r="Q259" s="2"/>
      <c r="R259" s="7"/>
      <c r="S259" s="7"/>
      <c r="W259" s="2"/>
      <c r="X259" s="2"/>
    </row>
    <row r="260" spans="1:24" x14ac:dyDescent="0.25">
      <c r="N260" s="2"/>
      <c r="O260" s="2"/>
      <c r="P260" s="2"/>
      <c r="Q260" s="2"/>
      <c r="R260" s="7"/>
      <c r="S260" s="7"/>
      <c r="W260" s="2"/>
      <c r="X260" s="2"/>
    </row>
    <row r="261" spans="1:24" x14ac:dyDescent="0.25">
      <c r="N261" s="2"/>
      <c r="O261" s="2"/>
      <c r="P261" s="2"/>
      <c r="Q261" s="2"/>
      <c r="R261" s="7"/>
      <c r="S261" s="7"/>
      <c r="W261" s="2"/>
      <c r="X261" s="2"/>
    </row>
    <row r="262" spans="1:24" x14ac:dyDescent="0.25">
      <c r="N262" s="2"/>
      <c r="O262" s="2"/>
      <c r="P262" s="2"/>
      <c r="Q262" s="2"/>
      <c r="R262" s="7"/>
      <c r="S262" s="7"/>
      <c r="W262" s="2"/>
      <c r="X262" s="2"/>
    </row>
    <row r="263" spans="1:24" x14ac:dyDescent="0.25">
      <c r="N263" s="2"/>
      <c r="O263" s="2"/>
      <c r="P263" s="2"/>
      <c r="Q263" s="2"/>
      <c r="R263" s="7"/>
      <c r="S263" s="7"/>
      <c r="W263" s="2"/>
      <c r="X263" s="2"/>
    </row>
    <row r="264" spans="1:24" x14ac:dyDescent="0.25">
      <c r="N264" s="2"/>
      <c r="O264" s="2"/>
      <c r="P264" s="9"/>
      <c r="Q264" s="9"/>
      <c r="R264" s="7"/>
      <c r="S264" s="7"/>
      <c r="W264" s="2"/>
      <c r="X264" s="2"/>
    </row>
    <row r="265" spans="1:24" x14ac:dyDescent="0.25">
      <c r="N265" s="2"/>
      <c r="O265" s="2"/>
      <c r="P265" s="7"/>
      <c r="Q265" s="7"/>
      <c r="R265" s="7"/>
      <c r="S265" s="7"/>
      <c r="W265" s="2"/>
      <c r="X265" s="2"/>
    </row>
    <row r="266" spans="1:24" x14ac:dyDescent="0.25">
      <c r="N266" s="2"/>
      <c r="O266" s="2"/>
      <c r="P266" s="7"/>
      <c r="Q266" s="7"/>
      <c r="R266" s="7"/>
      <c r="S266" s="7"/>
      <c r="W266" s="9"/>
      <c r="X266" s="9"/>
    </row>
    <row r="267" spans="1:24" x14ac:dyDescent="0.25">
      <c r="N267" s="2"/>
      <c r="O267" s="2"/>
      <c r="P267" s="7"/>
      <c r="Q267" s="7"/>
      <c r="W267" s="7"/>
      <c r="X267" s="7"/>
    </row>
    <row r="268" spans="1:24" x14ac:dyDescent="0.25">
      <c r="N268" s="2"/>
      <c r="O268" s="2"/>
      <c r="P268" s="7"/>
      <c r="Q268" s="7"/>
      <c r="W268" s="7"/>
      <c r="X268" s="7"/>
    </row>
    <row r="269" spans="1:24" x14ac:dyDescent="0.25">
      <c r="N269" s="2"/>
      <c r="O269" s="2"/>
      <c r="P269" s="7"/>
      <c r="Q269" s="7"/>
      <c r="W269" s="7"/>
      <c r="X269" s="7"/>
    </row>
    <row r="270" spans="1:24" s="1" customFormat="1" x14ac:dyDescent="0.25">
      <c r="A270" s="1" t="s">
        <v>99</v>
      </c>
      <c r="N270" s="33"/>
      <c r="O270" s="33"/>
      <c r="P270" s="33"/>
      <c r="Q270" s="33"/>
      <c r="W270" s="33"/>
      <c r="X270" s="33"/>
    </row>
    <row r="271" spans="1:24" x14ac:dyDescent="0.25">
      <c r="N271" s="7"/>
      <c r="O271" s="7"/>
      <c r="P271" s="7"/>
      <c r="Q271" s="7"/>
      <c r="W271" s="7"/>
      <c r="X271" s="7"/>
    </row>
    <row r="272" spans="1:24" x14ac:dyDescent="0.25">
      <c r="A272" s="36"/>
      <c r="B272" s="2" t="s">
        <v>1</v>
      </c>
      <c r="C272" s="3"/>
      <c r="D272" s="3"/>
      <c r="E272" s="3"/>
      <c r="F272" s="3"/>
      <c r="G272" s="3"/>
      <c r="J272" s="46"/>
      <c r="K272" s="47"/>
      <c r="L272" s="47"/>
      <c r="M272" s="47"/>
      <c r="N272" s="47"/>
      <c r="O272" s="47"/>
      <c r="P272" s="7"/>
      <c r="Q272" s="7"/>
      <c r="W272" s="7"/>
      <c r="X272" s="7"/>
    </row>
    <row r="273" spans="1:24" x14ac:dyDescent="0.25">
      <c r="A273" s="5" t="s">
        <v>2</v>
      </c>
      <c r="B273" s="6" t="s">
        <v>269</v>
      </c>
      <c r="C273" s="6" t="s">
        <v>270</v>
      </c>
      <c r="D273" s="6" t="s">
        <v>3</v>
      </c>
      <c r="E273" s="6" t="s">
        <v>4</v>
      </c>
      <c r="F273" s="6" t="s">
        <v>271</v>
      </c>
      <c r="G273" s="6" t="s">
        <v>272</v>
      </c>
      <c r="J273" s="46"/>
      <c r="K273" s="46"/>
      <c r="L273" s="46"/>
      <c r="M273" s="46"/>
      <c r="N273" s="46"/>
      <c r="O273" s="46"/>
      <c r="P273" s="7"/>
      <c r="Q273" s="7"/>
      <c r="W273" s="7"/>
      <c r="X273" s="7"/>
    </row>
    <row r="274" spans="1:24" x14ac:dyDescent="0.25">
      <c r="A274" s="58"/>
      <c r="B274" s="3"/>
      <c r="C274" s="3"/>
      <c r="D274" s="3"/>
      <c r="E274" s="3"/>
      <c r="F274" s="3"/>
      <c r="G274" s="3"/>
      <c r="J274" s="46"/>
      <c r="K274" s="46"/>
      <c r="L274" s="46"/>
      <c r="M274" s="47"/>
      <c r="N274" s="47"/>
      <c r="O274" s="47"/>
      <c r="P274" s="7"/>
      <c r="Q274" s="7"/>
      <c r="W274" s="7"/>
      <c r="X274" s="7"/>
    </row>
    <row r="275" spans="1:24" x14ac:dyDescent="0.25">
      <c r="A275" s="58" t="s">
        <v>324</v>
      </c>
      <c r="B275" s="3"/>
      <c r="C275" s="3"/>
      <c r="D275" s="3"/>
      <c r="E275" s="3"/>
      <c r="F275" s="3"/>
      <c r="G275" s="3"/>
      <c r="J275" s="46"/>
      <c r="K275" s="47"/>
      <c r="L275" s="47"/>
      <c r="M275" s="47"/>
      <c r="N275" s="47"/>
      <c r="O275" s="47"/>
      <c r="P275" s="7"/>
      <c r="Q275" s="7"/>
      <c r="W275" s="7"/>
      <c r="X275" s="7"/>
    </row>
    <row r="276" spans="1:24" x14ac:dyDescent="0.25">
      <c r="A276" s="58" t="s">
        <v>73</v>
      </c>
      <c r="B276" s="3">
        <v>0.53407309999999997</v>
      </c>
      <c r="C276" s="3">
        <v>6.7602000000000001E-3</v>
      </c>
      <c r="D276" s="3">
        <v>-49.55</v>
      </c>
      <c r="E276" s="3">
        <v>0</v>
      </c>
      <c r="F276" s="3">
        <v>0.52098639999999996</v>
      </c>
      <c r="G276" s="3">
        <v>0.54748859999999999</v>
      </c>
      <c r="J276" s="46"/>
      <c r="K276" s="46"/>
      <c r="L276" s="46"/>
      <c r="M276" s="46"/>
      <c r="N276" s="46"/>
      <c r="O276" s="46"/>
      <c r="P276" s="7"/>
      <c r="Q276" s="7"/>
      <c r="W276" s="7"/>
      <c r="X276" s="7"/>
    </row>
    <row r="277" spans="1:24" x14ac:dyDescent="0.25">
      <c r="A277" s="58"/>
      <c r="B277" s="3"/>
      <c r="C277" s="3"/>
      <c r="D277" s="3"/>
      <c r="E277" s="3"/>
      <c r="F277" s="3"/>
      <c r="G277" s="3"/>
      <c r="J277" s="46"/>
      <c r="K277" s="47"/>
      <c r="L277" s="47"/>
      <c r="M277" s="47"/>
      <c r="N277" s="47"/>
      <c r="O277" s="47"/>
      <c r="P277" s="7"/>
      <c r="Q277" s="7"/>
      <c r="W277" s="7"/>
      <c r="X277" s="7"/>
    </row>
    <row r="278" spans="1:24" x14ac:dyDescent="0.25">
      <c r="A278" s="58" t="s">
        <v>325</v>
      </c>
      <c r="B278" s="3"/>
      <c r="C278" s="3"/>
      <c r="D278" s="3"/>
      <c r="E278" s="3"/>
      <c r="F278" s="3"/>
      <c r="G278" s="3"/>
      <c r="J278" s="46"/>
      <c r="K278" s="46"/>
      <c r="L278" s="46"/>
      <c r="M278" s="46"/>
      <c r="N278" s="46"/>
      <c r="O278" s="46"/>
      <c r="P278" s="7"/>
      <c r="Q278" s="7"/>
      <c r="W278" s="7"/>
      <c r="X278" s="7"/>
    </row>
    <row r="279" spans="1:24" x14ac:dyDescent="0.25">
      <c r="A279" s="58">
        <v>2</v>
      </c>
      <c r="B279" s="3">
        <v>1.0057</v>
      </c>
      <c r="C279" s="3">
        <v>1.63582E-2</v>
      </c>
      <c r="D279" s="3">
        <v>0.35</v>
      </c>
      <c r="E279" s="3">
        <v>0.72699999999999998</v>
      </c>
      <c r="F279" s="3">
        <v>0.9741438</v>
      </c>
      <c r="G279" s="3">
        <v>1.038278</v>
      </c>
      <c r="J279" s="46"/>
      <c r="K279" s="46"/>
      <c r="L279" s="46"/>
      <c r="M279" s="46"/>
      <c r="N279" s="46"/>
      <c r="O279" s="46"/>
      <c r="P279" s="7"/>
      <c r="Q279" s="7"/>
      <c r="W279" s="7"/>
      <c r="X279" s="7"/>
    </row>
    <row r="280" spans="1:24" x14ac:dyDescent="0.25">
      <c r="A280" s="58">
        <v>3</v>
      </c>
      <c r="B280" s="3">
        <v>0.76798219999999995</v>
      </c>
      <c r="C280" s="3">
        <v>1.5211300000000001E-2</v>
      </c>
      <c r="D280" s="3">
        <v>-13.33</v>
      </c>
      <c r="E280" s="3">
        <v>0</v>
      </c>
      <c r="F280" s="3">
        <v>0.7387399</v>
      </c>
      <c r="G280" s="3">
        <v>0.79838189999999998</v>
      </c>
      <c r="J280" s="46"/>
      <c r="K280" s="47"/>
      <c r="L280" s="47"/>
      <c r="M280" s="47"/>
      <c r="N280" s="47"/>
      <c r="O280" s="47"/>
      <c r="P280" s="7"/>
      <c r="Q280" s="7"/>
      <c r="W280" s="7"/>
      <c r="X280" s="7"/>
    </row>
    <row r="281" spans="1:24" x14ac:dyDescent="0.25">
      <c r="A281" s="58"/>
      <c r="B281" s="3"/>
      <c r="C281" s="3"/>
      <c r="D281" s="3"/>
      <c r="E281" s="3"/>
      <c r="F281" s="3"/>
      <c r="G281" s="3"/>
      <c r="J281" s="46"/>
      <c r="K281" s="46"/>
      <c r="L281" s="46"/>
      <c r="M281" s="46"/>
      <c r="N281" s="46"/>
      <c r="O281" s="46"/>
      <c r="P281" s="7"/>
      <c r="Q281" s="7"/>
      <c r="W281" s="7"/>
      <c r="X281" s="7"/>
    </row>
    <row r="282" spans="1:24" x14ac:dyDescent="0.25">
      <c r="A282" s="36" t="s">
        <v>326</v>
      </c>
      <c r="B282" s="2"/>
      <c r="C282" s="2"/>
      <c r="D282" s="3"/>
      <c r="E282" s="3"/>
      <c r="F282" s="3"/>
      <c r="G282" s="3"/>
      <c r="J282" s="46"/>
      <c r="K282" s="46"/>
      <c r="L282" s="46"/>
      <c r="M282" s="46"/>
      <c r="N282" s="46"/>
      <c r="O282" s="46"/>
      <c r="P282" s="7"/>
      <c r="Q282" s="7"/>
      <c r="W282" s="7"/>
      <c r="X282" s="7"/>
    </row>
    <row r="283" spans="1:24" x14ac:dyDescent="0.25">
      <c r="A283" s="36">
        <v>2</v>
      </c>
      <c r="B283" s="2">
        <v>2.233908</v>
      </c>
      <c r="C283" s="2">
        <v>2.9173899999999999E-2</v>
      </c>
      <c r="D283" s="2">
        <v>61.54</v>
      </c>
      <c r="E283" s="2">
        <v>0</v>
      </c>
      <c r="F283" s="2">
        <v>2.1774529999999999</v>
      </c>
      <c r="G283" s="2">
        <v>2.2918259999999999</v>
      </c>
      <c r="J283" s="46"/>
      <c r="K283" s="47"/>
      <c r="L283" s="47"/>
      <c r="M283" s="47"/>
      <c r="N283" s="47"/>
      <c r="O283" s="47"/>
      <c r="P283" s="7"/>
      <c r="Q283" s="7"/>
      <c r="W283" s="7"/>
      <c r="X283" s="7"/>
    </row>
    <row r="284" spans="1:24" x14ac:dyDescent="0.25">
      <c r="A284" s="36" t="s">
        <v>327</v>
      </c>
      <c r="B284" s="2">
        <v>3.3779170000000001</v>
      </c>
      <c r="C284" s="2">
        <v>5.26048E-2</v>
      </c>
      <c r="D284" s="2">
        <v>78.16</v>
      </c>
      <c r="E284" s="3">
        <v>0</v>
      </c>
      <c r="F284" s="3">
        <v>3.2763710000000001</v>
      </c>
      <c r="G284" s="3">
        <v>3.4826100000000002</v>
      </c>
      <c r="J284" s="46"/>
      <c r="K284" s="46"/>
      <c r="L284" s="46"/>
      <c r="M284" s="46"/>
      <c r="N284" s="46"/>
      <c r="O284" s="46"/>
      <c r="P284" s="7"/>
      <c r="Q284" s="7"/>
      <c r="W284" s="7"/>
      <c r="X284" s="7"/>
    </row>
    <row r="285" spans="1:24" x14ac:dyDescent="0.25">
      <c r="A285" s="36"/>
      <c r="B285" s="3"/>
      <c r="C285" s="3"/>
      <c r="D285" s="3"/>
      <c r="E285" s="3"/>
      <c r="F285" s="3"/>
      <c r="G285" s="3"/>
      <c r="J285" s="46"/>
      <c r="K285" s="46"/>
      <c r="L285" s="46"/>
      <c r="M285" s="46"/>
      <c r="N285" s="46"/>
      <c r="O285" s="46"/>
      <c r="P285" s="7"/>
      <c r="Q285" s="7"/>
      <c r="W285" s="7"/>
      <c r="X285" s="7"/>
    </row>
    <row r="286" spans="1:24" x14ac:dyDescent="0.25">
      <c r="A286" s="36" t="s">
        <v>292</v>
      </c>
      <c r="B286" s="3"/>
      <c r="C286" s="3"/>
      <c r="D286" s="3"/>
      <c r="E286" s="3"/>
      <c r="F286" s="3"/>
      <c r="G286" s="3"/>
      <c r="J286" s="46"/>
      <c r="K286" s="46"/>
      <c r="L286" s="46"/>
      <c r="M286" s="46"/>
      <c r="N286" s="46"/>
      <c r="O286" s="46"/>
      <c r="P286" s="7"/>
      <c r="Q286" s="7"/>
      <c r="W286" s="7"/>
      <c r="X286" s="7"/>
    </row>
    <row r="287" spans="1:24" x14ac:dyDescent="0.25">
      <c r="A287" s="38" t="s">
        <v>315</v>
      </c>
      <c r="B287" s="3">
        <v>0.4970078</v>
      </c>
      <c r="C287" s="3">
        <v>6.8675999999999997E-3</v>
      </c>
      <c r="D287" s="3">
        <v>-50.6</v>
      </c>
      <c r="E287" s="3">
        <v>0</v>
      </c>
      <c r="F287" s="3">
        <v>0.4837282</v>
      </c>
      <c r="G287" s="3">
        <v>0.51065190000000005</v>
      </c>
      <c r="J287" s="46"/>
      <c r="K287" s="46"/>
      <c r="L287" s="46"/>
      <c r="M287" s="46"/>
      <c r="N287" s="46"/>
      <c r="O287" s="46"/>
      <c r="P287" s="7"/>
      <c r="Q287" s="7"/>
      <c r="W287" s="7"/>
      <c r="X287" s="7"/>
    </row>
    <row r="288" spans="1:24" x14ac:dyDescent="0.25">
      <c r="A288" s="38" t="s">
        <v>316</v>
      </c>
      <c r="B288" s="3">
        <v>0.5792062</v>
      </c>
      <c r="C288" s="3">
        <v>9.7280999999999999E-3</v>
      </c>
      <c r="D288" s="3">
        <v>-32.51</v>
      </c>
      <c r="E288" s="3">
        <v>0</v>
      </c>
      <c r="F288" s="3">
        <v>0.56044989999999995</v>
      </c>
      <c r="G288" s="3">
        <v>0.59859010000000001</v>
      </c>
      <c r="J288" s="46"/>
      <c r="K288" s="47"/>
      <c r="L288" s="47"/>
      <c r="M288" s="47"/>
      <c r="N288" s="47"/>
      <c r="O288" s="47"/>
      <c r="W288" s="7"/>
      <c r="X288" s="7"/>
    </row>
    <row r="289" spans="1:24" x14ac:dyDescent="0.25">
      <c r="A289" s="38" t="s">
        <v>317</v>
      </c>
      <c r="B289" s="3">
        <v>0.44962089999999999</v>
      </c>
      <c r="C289" s="3">
        <v>8.8091999999999997E-3</v>
      </c>
      <c r="D289" s="3">
        <v>-40.799999999999997</v>
      </c>
      <c r="E289" s="3">
        <v>0</v>
      </c>
      <c r="F289" s="3">
        <v>0.43268250000000003</v>
      </c>
      <c r="G289" s="3">
        <v>0.46722229999999998</v>
      </c>
      <c r="J289" s="46"/>
      <c r="K289" s="47"/>
      <c r="L289" s="47"/>
      <c r="M289" s="47"/>
      <c r="N289" s="47"/>
      <c r="O289" s="47"/>
      <c r="W289" s="7"/>
      <c r="X289" s="7"/>
    </row>
    <row r="290" spans="1:24" x14ac:dyDescent="0.25">
      <c r="A290" s="38" t="s">
        <v>82</v>
      </c>
      <c r="B290" s="3">
        <v>0.38574720000000001</v>
      </c>
      <c r="C290" s="3">
        <v>1.1628299999999999E-2</v>
      </c>
      <c r="D290" s="3">
        <v>-31.6</v>
      </c>
      <c r="E290" s="3">
        <v>0</v>
      </c>
      <c r="F290" s="3">
        <v>0.3636163</v>
      </c>
      <c r="G290" s="3">
        <v>0.40922500000000001</v>
      </c>
      <c r="J290" s="46"/>
      <c r="K290" s="46"/>
      <c r="L290" s="46"/>
      <c r="M290" s="46"/>
      <c r="N290" s="46"/>
      <c r="O290" s="46"/>
      <c r="W290" s="7"/>
      <c r="X290" s="7"/>
    </row>
    <row r="291" spans="1:24" x14ac:dyDescent="0.25">
      <c r="A291" s="37"/>
      <c r="B291" s="3"/>
      <c r="C291" s="3"/>
      <c r="D291" s="3"/>
      <c r="E291" s="3"/>
      <c r="F291" s="3"/>
      <c r="G291" s="3"/>
      <c r="J291" s="46"/>
      <c r="K291" s="46"/>
      <c r="L291" s="46"/>
      <c r="M291" s="46"/>
      <c r="N291" s="46"/>
      <c r="O291" s="46"/>
      <c r="W291" s="7"/>
      <c r="X291" s="7"/>
    </row>
    <row r="292" spans="1:24" x14ac:dyDescent="0.25">
      <c r="A292" s="36" t="s">
        <v>291</v>
      </c>
      <c r="B292" s="3"/>
      <c r="C292" s="3"/>
      <c r="D292" s="3"/>
      <c r="E292" s="3"/>
      <c r="F292" s="3"/>
      <c r="G292" s="3"/>
      <c r="J292" s="46"/>
      <c r="K292" s="46"/>
      <c r="L292" s="46"/>
      <c r="M292" s="46"/>
      <c r="N292" s="46"/>
      <c r="O292" s="46"/>
    </row>
    <row r="293" spans="1:24" x14ac:dyDescent="0.25">
      <c r="A293" s="36" t="s">
        <v>293</v>
      </c>
      <c r="B293" s="3"/>
      <c r="C293" s="3"/>
      <c r="D293" s="3"/>
      <c r="E293" s="3"/>
      <c r="F293" s="3"/>
      <c r="G293" s="3"/>
      <c r="J293" s="46"/>
      <c r="K293" s="46"/>
      <c r="L293" s="46"/>
      <c r="M293" s="46"/>
      <c r="N293" s="46"/>
      <c r="O293" s="46"/>
    </row>
    <row r="294" spans="1:24" x14ac:dyDescent="0.25">
      <c r="A294" s="36" t="s">
        <v>369</v>
      </c>
      <c r="B294" s="3">
        <v>1</v>
      </c>
      <c r="C294" s="3"/>
      <c r="D294" s="3"/>
      <c r="E294" s="3"/>
      <c r="F294" s="3">
        <v>0</v>
      </c>
      <c r="G294" s="3">
        <v>0</v>
      </c>
      <c r="J294" s="46"/>
      <c r="K294" s="46"/>
      <c r="L294" s="46"/>
      <c r="M294" s="46"/>
      <c r="N294" s="46"/>
      <c r="O294" s="46"/>
    </row>
    <row r="295" spans="1:24" x14ac:dyDescent="0.25">
      <c r="A295" s="36" t="s">
        <v>328</v>
      </c>
      <c r="B295" s="3">
        <v>0.87326950000000003</v>
      </c>
      <c r="C295" s="3">
        <v>4.0083800000000003E-2</v>
      </c>
      <c r="D295" s="3">
        <v>-2.95</v>
      </c>
      <c r="E295" s="3">
        <v>3.0000000000000001E-3</v>
      </c>
      <c r="F295" s="3">
        <v>0.79813690000000004</v>
      </c>
      <c r="G295" s="3">
        <v>0.95547459999999995</v>
      </c>
      <c r="J295" s="46"/>
      <c r="K295" s="46"/>
      <c r="L295" s="46"/>
      <c r="M295" s="46"/>
      <c r="N295" s="46"/>
      <c r="O295" s="46"/>
    </row>
    <row r="296" spans="1:24" x14ac:dyDescent="0.25">
      <c r="A296" s="36" t="s">
        <v>329</v>
      </c>
      <c r="B296" s="3">
        <v>1.953079</v>
      </c>
      <c r="C296" s="3">
        <v>8.3284700000000003E-2</v>
      </c>
      <c r="D296" s="3">
        <v>15.7</v>
      </c>
      <c r="E296" s="3">
        <v>0</v>
      </c>
      <c r="F296" s="3">
        <v>1.7964789999999999</v>
      </c>
      <c r="G296" s="3">
        <v>2.1233300000000002</v>
      </c>
      <c r="J296" s="46"/>
      <c r="K296" s="46"/>
      <c r="L296" s="46"/>
      <c r="M296" s="46"/>
      <c r="N296" s="46"/>
      <c r="O296" s="46"/>
    </row>
    <row r="297" spans="1:24" x14ac:dyDescent="0.25">
      <c r="A297" s="36" t="s">
        <v>330</v>
      </c>
      <c r="B297" s="3">
        <v>1.6549430000000001</v>
      </c>
      <c r="C297" s="3">
        <v>7.0333199999999998E-2</v>
      </c>
      <c r="D297" s="3">
        <v>11.85</v>
      </c>
      <c r="E297" s="3">
        <v>0</v>
      </c>
      <c r="F297" s="3">
        <v>1.5226770000000001</v>
      </c>
      <c r="G297" s="3">
        <v>1.798697</v>
      </c>
      <c r="J297" s="46"/>
      <c r="K297" s="46"/>
      <c r="L297" s="46"/>
      <c r="M297" s="46"/>
      <c r="N297" s="46"/>
      <c r="O297" s="46"/>
    </row>
    <row r="298" spans="1:24" x14ac:dyDescent="0.25">
      <c r="A298" s="36" t="s">
        <v>331</v>
      </c>
      <c r="B298" s="3">
        <v>1.4086019999999999</v>
      </c>
      <c r="C298" s="3">
        <v>6.6325700000000001E-2</v>
      </c>
      <c r="D298" s="3">
        <v>7.28</v>
      </c>
      <c r="E298" s="3">
        <v>0</v>
      </c>
      <c r="F298" s="3">
        <v>1.284424</v>
      </c>
      <c r="G298" s="3">
        <v>1.5447850000000001</v>
      </c>
      <c r="J298" s="46"/>
      <c r="K298" s="46"/>
      <c r="L298" s="46"/>
      <c r="M298" s="46"/>
      <c r="N298" s="46"/>
      <c r="O298" s="46"/>
    </row>
    <row r="299" spans="1:24" x14ac:dyDescent="0.25">
      <c r="A299" s="36" t="s">
        <v>332</v>
      </c>
      <c r="B299" s="3">
        <v>0.99281039999999998</v>
      </c>
      <c r="C299" s="3">
        <v>4.6976999999999998E-2</v>
      </c>
      <c r="D299" s="3">
        <v>-0.15</v>
      </c>
      <c r="E299" s="3">
        <v>0.879</v>
      </c>
      <c r="F299" s="3">
        <v>0.90487759999999995</v>
      </c>
      <c r="G299" s="3">
        <v>1.089288</v>
      </c>
      <c r="J299" s="46"/>
      <c r="K299" s="46"/>
      <c r="L299" s="46"/>
      <c r="M299" s="46"/>
      <c r="N299" s="46"/>
      <c r="O299" s="46"/>
    </row>
    <row r="300" spans="1:24" x14ac:dyDescent="0.25">
      <c r="A300" s="36" t="s">
        <v>333</v>
      </c>
      <c r="B300" s="3">
        <v>1.7956989999999999</v>
      </c>
      <c r="C300" s="3">
        <v>7.9250299999999996E-2</v>
      </c>
      <c r="D300" s="3">
        <v>13.26</v>
      </c>
      <c r="E300" s="3">
        <v>0</v>
      </c>
      <c r="F300" s="3">
        <v>1.6468989999999999</v>
      </c>
      <c r="G300" s="3">
        <v>1.957943</v>
      </c>
      <c r="J300" s="46"/>
      <c r="K300" s="46"/>
      <c r="L300" s="46"/>
      <c r="M300" s="46"/>
      <c r="N300" s="46"/>
      <c r="O300" s="46"/>
    </row>
    <row r="301" spans="1:24" x14ac:dyDescent="0.25">
      <c r="A301" s="36" t="s">
        <v>334</v>
      </c>
      <c r="B301" s="3">
        <v>1.5066809999999999</v>
      </c>
      <c r="C301" s="3">
        <v>6.5214999999999995E-2</v>
      </c>
      <c r="D301" s="3">
        <v>9.4700000000000006</v>
      </c>
      <c r="E301" s="3">
        <v>0</v>
      </c>
      <c r="F301" s="3">
        <v>1.384134</v>
      </c>
      <c r="G301" s="3">
        <v>1.6400779999999999</v>
      </c>
      <c r="J301" s="46"/>
      <c r="K301" s="46"/>
      <c r="L301" s="46"/>
      <c r="M301" s="46"/>
      <c r="N301" s="46"/>
      <c r="O301" s="46"/>
    </row>
    <row r="302" spans="1:24" x14ac:dyDescent="0.25">
      <c r="A302" s="36" t="s">
        <v>335</v>
      </c>
      <c r="B302" s="3">
        <v>1.5337240000000001</v>
      </c>
      <c r="C302" s="3">
        <v>6.5522300000000006E-2</v>
      </c>
      <c r="D302" s="3">
        <v>10.01</v>
      </c>
      <c r="E302" s="3">
        <v>0</v>
      </c>
      <c r="F302" s="3">
        <v>1.4105319999999999</v>
      </c>
      <c r="G302" s="3">
        <v>1.667675</v>
      </c>
      <c r="J302" s="46"/>
      <c r="K302" s="46"/>
      <c r="L302" s="46"/>
      <c r="M302" s="46"/>
      <c r="N302" s="46"/>
      <c r="O302" s="46"/>
    </row>
    <row r="303" spans="1:24" x14ac:dyDescent="0.25">
      <c r="A303" s="36" t="s">
        <v>336</v>
      </c>
      <c r="B303" s="3">
        <v>0.81505150000000004</v>
      </c>
      <c r="C303" s="3">
        <v>3.7831700000000003E-2</v>
      </c>
      <c r="D303" s="3">
        <v>-4.41</v>
      </c>
      <c r="E303" s="3">
        <v>0</v>
      </c>
      <c r="F303" s="3">
        <v>0.74417549999999999</v>
      </c>
      <c r="G303" s="3">
        <v>0.89267779999999997</v>
      </c>
      <c r="J303" s="46"/>
      <c r="K303" s="46"/>
      <c r="L303" s="46"/>
      <c r="M303" s="46"/>
      <c r="N303" s="46"/>
      <c r="O303" s="46"/>
    </row>
    <row r="304" spans="1:24" x14ac:dyDescent="0.25">
      <c r="A304" s="36" t="s">
        <v>337</v>
      </c>
      <c r="B304" s="3">
        <v>0.2561098</v>
      </c>
      <c r="C304" s="3">
        <v>1.8293E-2</v>
      </c>
      <c r="D304" s="3">
        <v>-19.07</v>
      </c>
      <c r="E304" s="3">
        <v>0</v>
      </c>
      <c r="F304" s="3">
        <v>0.22265260000000001</v>
      </c>
      <c r="G304" s="3">
        <v>0.29459429999999998</v>
      </c>
      <c r="J304" s="46"/>
      <c r="K304" s="46"/>
      <c r="L304" s="46"/>
      <c r="M304" s="46"/>
      <c r="N304" s="46"/>
      <c r="O304" s="46"/>
    </row>
    <row r="305" spans="1:15" x14ac:dyDescent="0.25">
      <c r="A305" s="36" t="s">
        <v>338</v>
      </c>
      <c r="B305" s="3">
        <v>0.54492019999999997</v>
      </c>
      <c r="C305" s="3">
        <v>2.8828400000000001E-2</v>
      </c>
      <c r="D305" s="3">
        <v>-11.48</v>
      </c>
      <c r="E305" s="3">
        <v>0</v>
      </c>
      <c r="F305" s="3">
        <v>0.49124820000000002</v>
      </c>
      <c r="G305" s="3">
        <v>0.60445599999999999</v>
      </c>
      <c r="J305" s="46"/>
      <c r="K305" s="46"/>
      <c r="L305" s="46"/>
      <c r="M305" s="46"/>
      <c r="N305" s="46"/>
      <c r="O305" s="46"/>
    </row>
    <row r="306" spans="1:15" x14ac:dyDescent="0.25">
      <c r="A306" s="36" t="s">
        <v>339</v>
      </c>
      <c r="B306" s="3">
        <v>0.66862169999999999</v>
      </c>
      <c r="C306" s="3">
        <v>3.4515200000000003E-2</v>
      </c>
      <c r="D306" s="3">
        <v>-7.8</v>
      </c>
      <c r="E306" s="3">
        <v>0</v>
      </c>
      <c r="F306" s="3">
        <v>0.60428280000000001</v>
      </c>
      <c r="G306" s="3">
        <v>0.73981079999999999</v>
      </c>
      <c r="J306" s="46"/>
      <c r="K306" s="46"/>
      <c r="L306" s="46"/>
      <c r="M306" s="46"/>
      <c r="N306" s="46"/>
      <c r="O306" s="46"/>
    </row>
    <row r="307" spans="1:15" x14ac:dyDescent="0.25">
      <c r="A307" s="36" t="s">
        <v>340</v>
      </c>
      <c r="B307" s="3">
        <v>0.97806179999999998</v>
      </c>
      <c r="C307" s="3">
        <v>4.6972E-2</v>
      </c>
      <c r="D307" s="3">
        <v>-0.46</v>
      </c>
      <c r="E307" s="3">
        <v>0.64400000000000002</v>
      </c>
      <c r="F307" s="3">
        <v>0.89019839999999995</v>
      </c>
      <c r="G307" s="3">
        <v>1.074597</v>
      </c>
      <c r="J307" s="46"/>
      <c r="K307" s="46"/>
      <c r="L307" s="46"/>
      <c r="M307" s="46"/>
      <c r="N307" s="46"/>
      <c r="O307" s="46"/>
    </row>
    <row r="308" spans="1:15" x14ac:dyDescent="0.25">
      <c r="A308" s="36" t="s">
        <v>341</v>
      </c>
      <c r="B308" s="3">
        <v>1.3626590000000001</v>
      </c>
      <c r="C308" s="3">
        <v>6.30521E-2</v>
      </c>
      <c r="D308" s="3">
        <v>6.69</v>
      </c>
      <c r="E308" s="3">
        <v>0</v>
      </c>
      <c r="F308" s="3">
        <v>1.2445170000000001</v>
      </c>
      <c r="G308" s="3">
        <v>1.492016</v>
      </c>
      <c r="J308" s="46"/>
      <c r="K308" s="46"/>
      <c r="L308" s="46"/>
      <c r="M308" s="46"/>
      <c r="N308" s="46"/>
      <c r="O308" s="46"/>
    </row>
    <row r="309" spans="1:15" x14ac:dyDescent="0.25">
      <c r="A309" s="36" t="s">
        <v>342</v>
      </c>
      <c r="B309" s="3">
        <v>1.7263569999999999</v>
      </c>
      <c r="C309" s="3">
        <v>7.5171199999999994E-2</v>
      </c>
      <c r="D309" s="3">
        <v>12.54</v>
      </c>
      <c r="E309" s="3">
        <v>0</v>
      </c>
      <c r="F309" s="3">
        <v>1.5851360000000001</v>
      </c>
      <c r="G309" s="3">
        <v>1.8801589999999999</v>
      </c>
      <c r="J309" s="46"/>
      <c r="K309" s="46"/>
      <c r="L309" s="46"/>
      <c r="M309" s="46"/>
      <c r="N309" s="46"/>
      <c r="O309" s="46"/>
    </row>
    <row r="310" spans="1:15" x14ac:dyDescent="0.25">
      <c r="A310" s="36" t="s">
        <v>343</v>
      </c>
      <c r="B310" s="3">
        <v>2.240469</v>
      </c>
      <c r="C310" s="3">
        <v>0.1179716</v>
      </c>
      <c r="D310" s="3">
        <v>15.32</v>
      </c>
      <c r="E310" s="3">
        <v>0</v>
      </c>
      <c r="F310" s="3">
        <v>2.0207799999999998</v>
      </c>
      <c r="G310" s="3">
        <v>2.4840420000000001</v>
      </c>
      <c r="J310" s="46"/>
      <c r="K310" s="46"/>
      <c r="L310" s="46"/>
      <c r="M310" s="46"/>
      <c r="N310" s="46"/>
      <c r="O310" s="46"/>
    </row>
    <row r="311" spans="1:15" x14ac:dyDescent="0.25">
      <c r="A311" s="36" t="s">
        <v>344</v>
      </c>
      <c r="B311" s="3">
        <v>2.0973989999999998</v>
      </c>
      <c r="C311" s="3">
        <v>9.3649399999999994E-2</v>
      </c>
      <c r="D311" s="3">
        <v>16.59</v>
      </c>
      <c r="E311" s="3">
        <v>0</v>
      </c>
      <c r="F311" s="3">
        <v>1.9216519999999999</v>
      </c>
      <c r="G311" s="3">
        <v>2.2892199999999998</v>
      </c>
      <c r="J311" s="46"/>
      <c r="K311" s="46"/>
      <c r="L311" s="46"/>
      <c r="M311" s="46"/>
      <c r="N311" s="46"/>
      <c r="O311" s="46"/>
    </row>
    <row r="312" spans="1:15" x14ac:dyDescent="0.25">
      <c r="A312" s="36" t="s">
        <v>345</v>
      </c>
      <c r="B312" s="3">
        <v>4.1270769999999999</v>
      </c>
      <c r="C312" s="3">
        <v>0.20192930000000001</v>
      </c>
      <c r="D312" s="3">
        <v>28.97</v>
      </c>
      <c r="E312" s="3">
        <v>0</v>
      </c>
      <c r="F312" s="3">
        <v>3.7496870000000002</v>
      </c>
      <c r="G312" s="3">
        <v>4.5424499999999997</v>
      </c>
      <c r="J312" s="46"/>
      <c r="K312" s="46"/>
      <c r="L312" s="46"/>
      <c r="M312" s="46"/>
      <c r="N312" s="46"/>
      <c r="O312" s="46"/>
    </row>
    <row r="313" spans="1:15" x14ac:dyDescent="0.25">
      <c r="A313" s="36" t="s">
        <v>346</v>
      </c>
      <c r="B313" s="3">
        <v>4.4540620000000004</v>
      </c>
      <c r="C313" s="3">
        <v>0.17979729999999999</v>
      </c>
      <c r="D313" s="3">
        <v>37.01</v>
      </c>
      <c r="E313" s="3">
        <v>0</v>
      </c>
      <c r="F313" s="3">
        <v>4.115246</v>
      </c>
      <c r="G313" s="3">
        <v>4.8207740000000001</v>
      </c>
      <c r="J313" s="46"/>
      <c r="K313" s="46"/>
      <c r="L313" s="46"/>
      <c r="M313" s="46"/>
      <c r="N313" s="46"/>
      <c r="O313" s="46"/>
    </row>
    <row r="314" spans="1:15" x14ac:dyDescent="0.25">
      <c r="A314" s="36" t="s">
        <v>347</v>
      </c>
      <c r="B314" s="3">
        <v>0.2081479</v>
      </c>
      <c r="C314" s="3">
        <v>2.1066100000000001E-2</v>
      </c>
      <c r="D314" s="3">
        <v>-15.51</v>
      </c>
      <c r="E314" s="3">
        <v>0</v>
      </c>
      <c r="F314" s="3">
        <v>0.1706963</v>
      </c>
      <c r="G314" s="3">
        <v>0.2538166</v>
      </c>
      <c r="J314" s="46"/>
      <c r="K314" s="46"/>
      <c r="L314" s="46"/>
      <c r="M314" s="46"/>
      <c r="N314" s="46"/>
      <c r="O314" s="46"/>
    </row>
    <row r="315" spans="1:15" x14ac:dyDescent="0.25">
      <c r="A315" s="36" t="s">
        <v>348</v>
      </c>
      <c r="B315" s="3">
        <v>0.1917161</v>
      </c>
      <c r="C315" s="3">
        <v>3.0321600000000001E-2</v>
      </c>
      <c r="D315" s="3">
        <v>-10.44</v>
      </c>
      <c r="E315" s="3">
        <v>0</v>
      </c>
      <c r="F315" s="3">
        <v>0.14061560000000001</v>
      </c>
      <c r="G315" s="3">
        <v>0.26138670000000003</v>
      </c>
      <c r="J315" s="46"/>
      <c r="K315" s="46"/>
      <c r="L315" s="46"/>
      <c r="M315" s="46"/>
      <c r="N315" s="46"/>
      <c r="O315" s="46"/>
    </row>
    <row r="316" spans="1:15" x14ac:dyDescent="0.25">
      <c r="A316" s="36" t="s">
        <v>349</v>
      </c>
      <c r="B316" s="3">
        <v>0.27699629999999997</v>
      </c>
      <c r="C316" s="3">
        <v>2.54408E-2</v>
      </c>
      <c r="D316" s="3">
        <v>-13.98</v>
      </c>
      <c r="E316" s="3">
        <v>0</v>
      </c>
      <c r="F316" s="3">
        <v>0.2313636</v>
      </c>
      <c r="G316" s="3">
        <v>0.33162920000000001</v>
      </c>
      <c r="J316" s="46"/>
      <c r="K316" s="46"/>
      <c r="L316" s="46"/>
      <c r="M316" s="46"/>
      <c r="N316" s="46"/>
      <c r="O316" s="46"/>
    </row>
    <row r="317" spans="1:15" x14ac:dyDescent="0.25">
      <c r="A317" s="36" t="s">
        <v>350</v>
      </c>
      <c r="B317" s="3">
        <v>0.26545269999999999</v>
      </c>
      <c r="C317" s="3">
        <v>3.4073800000000001E-2</v>
      </c>
      <c r="D317" s="3">
        <v>-10.33</v>
      </c>
      <c r="E317" s="3">
        <v>0</v>
      </c>
      <c r="F317" s="3">
        <v>0.2064077</v>
      </c>
      <c r="G317" s="3">
        <v>0.34138819999999998</v>
      </c>
      <c r="J317" s="46"/>
      <c r="K317" s="46"/>
      <c r="L317" s="46"/>
      <c r="M317" s="46"/>
      <c r="N317" s="46"/>
      <c r="O317" s="46"/>
    </row>
    <row r="318" spans="1:15" x14ac:dyDescent="0.25">
      <c r="A318" s="36" t="s">
        <v>351</v>
      </c>
      <c r="B318" s="3">
        <v>0.47073409999999999</v>
      </c>
      <c r="C318" s="3">
        <v>4.0237000000000002E-2</v>
      </c>
      <c r="D318" s="3">
        <v>-8.81</v>
      </c>
      <c r="E318" s="3">
        <v>0</v>
      </c>
      <c r="F318" s="3">
        <v>0.39812310000000001</v>
      </c>
      <c r="G318" s="3">
        <v>0.55658819999999998</v>
      </c>
      <c r="J318" s="46"/>
      <c r="K318" s="46"/>
      <c r="L318" s="46"/>
      <c r="M318" s="46"/>
      <c r="N318" s="46"/>
      <c r="O318" s="46"/>
    </row>
    <row r="319" spans="1:15" x14ac:dyDescent="0.25">
      <c r="A319" s="36" t="s">
        <v>352</v>
      </c>
      <c r="B319" s="3">
        <v>0.46822900000000001</v>
      </c>
      <c r="C319" s="3">
        <v>4.6409699999999998E-2</v>
      </c>
      <c r="D319" s="3">
        <v>-7.66</v>
      </c>
      <c r="E319" s="3">
        <v>0</v>
      </c>
      <c r="F319" s="3">
        <v>0.3855577</v>
      </c>
      <c r="G319" s="3">
        <v>0.56862670000000004</v>
      </c>
      <c r="J319" s="46"/>
      <c r="K319" s="46"/>
      <c r="L319" s="46"/>
      <c r="M319" s="46"/>
      <c r="N319" s="46"/>
      <c r="O319" s="46"/>
    </row>
    <row r="320" spans="1:15" x14ac:dyDescent="0.25">
      <c r="A320" s="36" t="s">
        <v>353</v>
      </c>
      <c r="B320" s="3">
        <v>0.75093209999999999</v>
      </c>
      <c r="C320" s="3">
        <v>4.8677699999999997E-2</v>
      </c>
      <c r="D320" s="3">
        <v>-4.42</v>
      </c>
      <c r="E320" s="3">
        <v>0</v>
      </c>
      <c r="F320" s="3">
        <v>0.66133759999999997</v>
      </c>
      <c r="G320" s="3">
        <v>0.85266450000000005</v>
      </c>
      <c r="J320" s="46"/>
      <c r="K320" s="46"/>
      <c r="L320" s="46"/>
      <c r="M320" s="46"/>
      <c r="N320" s="46"/>
      <c r="O320" s="46"/>
    </row>
    <row r="321" spans="1:24" x14ac:dyDescent="0.25">
      <c r="A321" s="36" t="s">
        <v>354</v>
      </c>
      <c r="B321" s="3">
        <v>0.75211589999999995</v>
      </c>
      <c r="C321" s="3">
        <v>6.34995E-2</v>
      </c>
      <c r="D321" s="3">
        <v>-3.37</v>
      </c>
      <c r="E321" s="3">
        <v>1E-3</v>
      </c>
      <c r="F321" s="3">
        <v>0.63741119999999996</v>
      </c>
      <c r="G321" s="3">
        <v>0.88746210000000003</v>
      </c>
      <c r="J321" s="46"/>
      <c r="K321" s="46"/>
      <c r="L321" s="46"/>
      <c r="M321" s="46"/>
      <c r="N321" s="46"/>
      <c r="O321" s="46"/>
    </row>
    <row r="322" spans="1:24" x14ac:dyDescent="0.25">
      <c r="A322" s="36" t="s">
        <v>355</v>
      </c>
      <c r="B322" s="3">
        <v>0.58921780000000001</v>
      </c>
      <c r="C322" s="3">
        <v>3.6795799999999997E-2</v>
      </c>
      <c r="D322" s="3">
        <v>-8.4700000000000006</v>
      </c>
      <c r="E322" s="3">
        <v>0</v>
      </c>
      <c r="F322" s="3">
        <v>0.52133830000000003</v>
      </c>
      <c r="G322" s="3">
        <v>0.66593550000000001</v>
      </c>
      <c r="J322" s="46"/>
      <c r="K322" s="46"/>
      <c r="L322" s="46"/>
      <c r="M322" s="46"/>
      <c r="N322" s="46"/>
      <c r="O322" s="46"/>
    </row>
    <row r="323" spans="1:24" x14ac:dyDescent="0.25">
      <c r="A323" s="36" t="s">
        <v>356</v>
      </c>
      <c r="B323" s="3">
        <v>0.58989480000000005</v>
      </c>
      <c r="C323" s="3">
        <v>5.0297399999999999E-2</v>
      </c>
      <c r="D323" s="3">
        <v>-6.19</v>
      </c>
      <c r="E323" s="3">
        <v>0</v>
      </c>
      <c r="F323" s="3">
        <v>0.49911070000000002</v>
      </c>
      <c r="G323" s="3">
        <v>0.69719180000000003</v>
      </c>
      <c r="J323" s="46"/>
      <c r="K323" s="46"/>
      <c r="L323" s="46"/>
      <c r="M323" s="46"/>
      <c r="N323" s="46"/>
      <c r="O323" s="46"/>
    </row>
    <row r="324" spans="1:24" x14ac:dyDescent="0.25">
      <c r="A324" s="36" t="s">
        <v>357</v>
      </c>
      <c r="B324" s="3">
        <v>0.2321645</v>
      </c>
      <c r="C324" s="3">
        <v>2.08506E-2</v>
      </c>
      <c r="D324" s="3">
        <v>-16.260000000000002</v>
      </c>
      <c r="E324" s="3">
        <v>0</v>
      </c>
      <c r="F324" s="3">
        <v>0.1946928</v>
      </c>
      <c r="G324" s="3">
        <v>0.27684829999999999</v>
      </c>
      <c r="J324" s="46"/>
      <c r="K324" s="46"/>
      <c r="L324" s="46"/>
      <c r="M324" s="46"/>
      <c r="N324" s="46"/>
      <c r="O324" s="46"/>
    </row>
    <row r="325" spans="1:24" x14ac:dyDescent="0.25">
      <c r="A325" s="36" t="s">
        <v>358</v>
      </c>
      <c r="B325" s="3">
        <v>0.89590270000000005</v>
      </c>
      <c r="C325" s="3">
        <v>6.8352800000000005E-2</v>
      </c>
      <c r="D325" s="3">
        <v>-1.44</v>
      </c>
      <c r="E325" s="3">
        <v>0.15</v>
      </c>
      <c r="F325" s="3">
        <v>0.77146919999999997</v>
      </c>
      <c r="G325" s="3">
        <v>1.0404070000000001</v>
      </c>
      <c r="J325" s="46"/>
      <c r="K325" s="46"/>
      <c r="L325" s="46"/>
      <c r="M325" s="46"/>
      <c r="N325" s="46"/>
      <c r="O325" s="46"/>
    </row>
    <row r="326" spans="1:24" x14ac:dyDescent="0.25">
      <c r="A326" s="36" t="s">
        <v>359</v>
      </c>
      <c r="B326" s="3">
        <v>0.23696790000000001</v>
      </c>
      <c r="C326" s="3">
        <v>3.3194599999999998E-2</v>
      </c>
      <c r="D326" s="3">
        <v>-10.28</v>
      </c>
      <c r="E326" s="3">
        <v>0</v>
      </c>
      <c r="F326" s="3">
        <v>0.1800747</v>
      </c>
      <c r="G326" s="3">
        <v>0.311836</v>
      </c>
      <c r="J326" s="46"/>
      <c r="K326" s="46"/>
      <c r="L326" s="46"/>
      <c r="M326" s="46"/>
      <c r="N326" s="46"/>
      <c r="O326" s="46"/>
    </row>
    <row r="327" spans="1:24" x14ac:dyDescent="0.25">
      <c r="A327" s="36" t="s">
        <v>360</v>
      </c>
      <c r="B327" s="3">
        <v>0.34656320000000002</v>
      </c>
      <c r="C327" s="3">
        <v>4.5557500000000001E-2</v>
      </c>
      <c r="D327" s="3">
        <v>-8.06</v>
      </c>
      <c r="E327" s="3">
        <v>0</v>
      </c>
      <c r="F327" s="3">
        <v>0.26784750000000002</v>
      </c>
      <c r="G327" s="3">
        <v>0.44841209999999998</v>
      </c>
      <c r="J327" s="46"/>
      <c r="K327" s="46"/>
      <c r="L327" s="46"/>
      <c r="M327" s="46"/>
      <c r="N327" s="46"/>
      <c r="O327" s="46"/>
    </row>
    <row r="328" spans="1:24" x14ac:dyDescent="0.25">
      <c r="A328" s="36" t="s">
        <v>361</v>
      </c>
      <c r="B328" s="3">
        <v>0.32022699999999998</v>
      </c>
      <c r="C328" s="3">
        <v>2.6005199999999999E-2</v>
      </c>
      <c r="D328" s="3">
        <v>-14.02</v>
      </c>
      <c r="E328" s="3">
        <v>0</v>
      </c>
      <c r="F328" s="3">
        <v>0.27310699999999999</v>
      </c>
      <c r="G328" s="3">
        <v>0.3754767</v>
      </c>
      <c r="J328" s="46"/>
      <c r="K328" s="46"/>
      <c r="L328" s="46"/>
      <c r="M328" s="46"/>
      <c r="N328" s="46"/>
      <c r="O328" s="46"/>
    </row>
    <row r="329" spans="1:24" x14ac:dyDescent="0.25">
      <c r="A329" s="36" t="s">
        <v>362</v>
      </c>
      <c r="B329" s="3">
        <v>0.46085530000000002</v>
      </c>
      <c r="C329" s="3">
        <v>5.5335299999999997E-2</v>
      </c>
      <c r="D329" s="3">
        <v>-6.45</v>
      </c>
      <c r="E329" s="3">
        <v>0</v>
      </c>
      <c r="F329" s="3">
        <v>0.36421690000000001</v>
      </c>
      <c r="G329" s="3">
        <v>0.58313499999999996</v>
      </c>
      <c r="J329" s="46"/>
      <c r="K329" s="46"/>
      <c r="L329" s="46"/>
      <c r="M329" s="46"/>
      <c r="N329" s="46"/>
      <c r="O329" s="46"/>
    </row>
    <row r="330" spans="1:24" x14ac:dyDescent="0.25">
      <c r="A330" s="36" t="s">
        <v>363</v>
      </c>
      <c r="B330" s="3">
        <v>1.0807659999999999</v>
      </c>
      <c r="C330" s="3">
        <v>9.9660600000000002E-2</v>
      </c>
      <c r="D330" s="3">
        <v>0.84</v>
      </c>
      <c r="E330" s="3">
        <v>0.4</v>
      </c>
      <c r="F330" s="3">
        <v>0.90206900000000001</v>
      </c>
      <c r="G330" s="3">
        <v>1.294862</v>
      </c>
      <c r="J330" s="46"/>
      <c r="K330" s="46"/>
      <c r="L330" s="46"/>
      <c r="M330" s="46"/>
      <c r="N330" s="46"/>
      <c r="O330" s="46"/>
    </row>
    <row r="331" spans="1:24" x14ac:dyDescent="0.25">
      <c r="A331" s="36" t="s">
        <v>364</v>
      </c>
      <c r="B331" s="3">
        <v>1.9872080000000001</v>
      </c>
      <c r="C331" s="3">
        <v>0.13245309999999999</v>
      </c>
      <c r="D331" s="3">
        <v>10.3</v>
      </c>
      <c r="E331" s="3">
        <v>0</v>
      </c>
      <c r="F331" s="3">
        <v>1.7438469999999999</v>
      </c>
      <c r="G331" s="3">
        <v>2.264532</v>
      </c>
    </row>
    <row r="332" spans="1:24" x14ac:dyDescent="0.25">
      <c r="A332" s="36" t="s">
        <v>365</v>
      </c>
      <c r="B332" s="3">
        <v>1.790068</v>
      </c>
      <c r="C332" s="3">
        <v>0.1296022</v>
      </c>
      <c r="D332" s="3">
        <v>8.0399999999999991</v>
      </c>
      <c r="E332" s="3">
        <v>0</v>
      </c>
      <c r="F332" s="3">
        <v>1.5532520000000001</v>
      </c>
      <c r="G332" s="3">
        <v>2.0629900000000001</v>
      </c>
    </row>
    <row r="333" spans="1:24" x14ac:dyDescent="0.25">
      <c r="A333" s="36" t="s">
        <v>366</v>
      </c>
      <c r="B333" s="3">
        <v>3.528308</v>
      </c>
      <c r="C333" s="3">
        <v>0.2116034</v>
      </c>
      <c r="D333" s="3">
        <v>21.02</v>
      </c>
      <c r="E333" s="3">
        <v>0</v>
      </c>
      <c r="F333" s="3">
        <v>3.1370209999999998</v>
      </c>
      <c r="G333" s="3">
        <v>3.9684020000000002</v>
      </c>
    </row>
    <row r="334" spans="1:24" x14ac:dyDescent="0.25">
      <c r="A334" s="36"/>
      <c r="B334" s="3"/>
      <c r="C334" s="3"/>
      <c r="D334" s="3"/>
      <c r="E334" s="3"/>
      <c r="F334" s="3"/>
      <c r="G334" s="3"/>
    </row>
    <row r="335" spans="1:24" x14ac:dyDescent="0.25">
      <c r="A335" s="5" t="s">
        <v>367</v>
      </c>
      <c r="B335" s="57">
        <v>2.2025999999999999E-3</v>
      </c>
      <c r="C335" s="57">
        <v>8.2100000000000003E-5</v>
      </c>
      <c r="D335" s="57">
        <v>-164.15</v>
      </c>
      <c r="E335" s="57">
        <v>0</v>
      </c>
      <c r="F335" s="57">
        <v>2.0474E-3</v>
      </c>
      <c r="G335" s="57">
        <v>2.3695000000000001E-3</v>
      </c>
    </row>
    <row r="336" spans="1:24" x14ac:dyDescent="0.25">
      <c r="N336" s="45"/>
      <c r="O336" s="45"/>
      <c r="P336" s="2"/>
      <c r="Q336" s="2"/>
      <c r="R336" s="2"/>
      <c r="S336" s="2"/>
      <c r="T336" s="2"/>
      <c r="U336" s="2"/>
      <c r="W336" s="2"/>
      <c r="X336" s="2"/>
    </row>
    <row r="337" spans="1:24" ht="15.75" thickBot="1" x14ac:dyDescent="0.3">
      <c r="N337" s="2"/>
      <c r="O337" s="2"/>
      <c r="P337" s="2"/>
      <c r="Q337" s="2"/>
      <c r="R337" s="2"/>
      <c r="S337" s="2"/>
      <c r="T337" s="2"/>
      <c r="U337" s="2"/>
      <c r="W337" s="2"/>
      <c r="X337" s="2"/>
    </row>
    <row r="338" spans="1:24" x14ac:dyDescent="0.25">
      <c r="A338" s="10"/>
      <c r="B338" s="11"/>
      <c r="C338" s="11" t="s">
        <v>9</v>
      </c>
      <c r="D338" s="11" t="s">
        <v>10</v>
      </c>
      <c r="E338" s="11" t="s">
        <v>40</v>
      </c>
      <c r="F338" s="11" t="s">
        <v>11</v>
      </c>
      <c r="G338" s="11" t="s">
        <v>7</v>
      </c>
      <c r="H338" s="11" t="s">
        <v>8</v>
      </c>
      <c r="I338" s="11" t="s">
        <v>62</v>
      </c>
      <c r="J338" s="11" t="s">
        <v>63</v>
      </c>
      <c r="K338" s="11" t="s">
        <v>64</v>
      </c>
      <c r="L338" s="12" t="s">
        <v>65</v>
      </c>
      <c r="N338" s="45">
        <v>0</v>
      </c>
      <c r="O338" s="45">
        <v>0</v>
      </c>
      <c r="P338" s="2">
        <v>0.10065450000000009</v>
      </c>
      <c r="Q338" s="2">
        <v>0.11104800000000004</v>
      </c>
      <c r="R338" s="2">
        <v>6.5302199999999977E-2</v>
      </c>
      <c r="S338" s="2">
        <v>7.2235200000000055E-2</v>
      </c>
      <c r="T338" s="2">
        <v>0.33778500000000022</v>
      </c>
      <c r="U338" s="2">
        <v>0.37526199999999976</v>
      </c>
      <c r="W338" s="2"/>
      <c r="X338" s="2"/>
    </row>
    <row r="339" spans="1:24" x14ac:dyDescent="0.25">
      <c r="A339" s="24" t="s">
        <v>94</v>
      </c>
      <c r="B339" s="7" t="s">
        <v>152</v>
      </c>
      <c r="C339" s="25">
        <f>B294</f>
        <v>1</v>
      </c>
      <c r="D339" s="9">
        <f>B296</f>
        <v>1.953079</v>
      </c>
      <c r="E339" s="9">
        <f>B298</f>
        <v>1.4086019999999999</v>
      </c>
      <c r="F339" s="9">
        <f>B300</f>
        <v>1.7956989999999999</v>
      </c>
      <c r="G339" s="9">
        <f>B302</f>
        <v>1.5337240000000001</v>
      </c>
      <c r="H339" s="7">
        <f>B304</f>
        <v>0.2561098</v>
      </c>
      <c r="I339" s="4">
        <f>B306</f>
        <v>0.66862169999999999</v>
      </c>
      <c r="J339" s="25">
        <f>B308</f>
        <v>1.3626590000000001</v>
      </c>
      <c r="K339" s="25">
        <f>B310</f>
        <v>2.240469</v>
      </c>
      <c r="L339" s="18">
        <f>B312</f>
        <v>4.1270769999999999</v>
      </c>
      <c r="N339" s="2">
        <v>9.0855800000000042E-2</v>
      </c>
      <c r="O339" s="2">
        <v>9.9283999999999928E-2</v>
      </c>
      <c r="P339" s="2">
        <v>9.4673900000000089E-2</v>
      </c>
      <c r="Q339" s="2">
        <v>0.10403799999999985</v>
      </c>
      <c r="R339" s="2">
        <v>0.10800900000000002</v>
      </c>
      <c r="S339" s="2">
        <v>0.11859400000000009</v>
      </c>
      <c r="T339" s="2">
        <v>0.32464600000000043</v>
      </c>
      <c r="U339" s="2">
        <v>0.35252599999999923</v>
      </c>
      <c r="W339" s="2"/>
      <c r="X339" s="2"/>
    </row>
    <row r="340" spans="1:24" x14ac:dyDescent="0.25">
      <c r="A340" s="24"/>
      <c r="B340" s="7" t="s">
        <v>372</v>
      </c>
      <c r="C340" s="9">
        <f>B295</f>
        <v>0.87326950000000003</v>
      </c>
      <c r="D340" s="9">
        <f>B297</f>
        <v>1.6549430000000001</v>
      </c>
      <c r="E340" s="9">
        <f>B299</f>
        <v>0.99281039999999998</v>
      </c>
      <c r="F340" s="9">
        <f>B301</f>
        <v>1.5066809999999999</v>
      </c>
      <c r="G340" s="9">
        <f>B303</f>
        <v>0.81505150000000004</v>
      </c>
      <c r="H340" s="7">
        <f>B305</f>
        <v>0.54492019999999997</v>
      </c>
      <c r="I340" s="25">
        <f>B307</f>
        <v>0.97806179999999998</v>
      </c>
      <c r="J340" s="25">
        <f>B309</f>
        <v>1.7263569999999999</v>
      </c>
      <c r="K340" s="25">
        <f>B311</f>
        <v>2.0973989999999998</v>
      </c>
      <c r="L340" s="18">
        <f>B313</f>
        <v>4.4540620000000004</v>
      </c>
      <c r="N340" s="2">
        <v>3.4892000000000006E-2</v>
      </c>
      <c r="O340" s="2">
        <v>4.2517799999999994E-2</v>
      </c>
      <c r="P340" s="2">
        <v>6.63609E-2</v>
      </c>
      <c r="Q340" s="2">
        <v>7.6546700000000023E-2</v>
      </c>
      <c r="R340" s="2">
        <v>5.2991800000000006E-2</v>
      </c>
      <c r="S340" s="2">
        <v>7.1422900000000011E-2</v>
      </c>
      <c r="T340" s="2">
        <v>0.19076899999999997</v>
      </c>
      <c r="U340" s="2">
        <v>0.22413499999999997</v>
      </c>
      <c r="W340" s="2"/>
      <c r="X340" s="2"/>
    </row>
    <row r="341" spans="1:24" x14ac:dyDescent="0.25">
      <c r="A341" s="24" t="s">
        <v>95</v>
      </c>
      <c r="B341" s="7" t="s">
        <v>152</v>
      </c>
      <c r="C341" s="9">
        <f>B314</f>
        <v>0.2081479</v>
      </c>
      <c r="D341" s="9">
        <f>B316</f>
        <v>0.27699629999999997</v>
      </c>
      <c r="E341" s="9">
        <f>B318</f>
        <v>0.47073409999999999</v>
      </c>
      <c r="F341" s="9">
        <f>B320</f>
        <v>0.75093209999999999</v>
      </c>
      <c r="G341" s="9">
        <f>B322</f>
        <v>0.58921780000000001</v>
      </c>
      <c r="H341" s="4">
        <f>B324</f>
        <v>0.2321645</v>
      </c>
      <c r="I341" s="25">
        <f>B326</f>
        <v>0.23696790000000001</v>
      </c>
      <c r="J341" s="25">
        <f>B328</f>
        <v>0.32022699999999998</v>
      </c>
      <c r="K341" s="25">
        <f>B330</f>
        <v>1.0807659999999999</v>
      </c>
      <c r="L341" s="18">
        <f>B332</f>
        <v>1.790068</v>
      </c>
      <c r="N341" s="2">
        <v>7.212579999999999E-2</v>
      </c>
      <c r="O341" s="2">
        <v>9.9414500000000017E-2</v>
      </c>
      <c r="P341" s="2">
        <v>0.13861489999999999</v>
      </c>
      <c r="Q341" s="2">
        <v>0.16720610000000002</v>
      </c>
      <c r="R341" s="2">
        <v>0.1033172</v>
      </c>
      <c r="S341" s="2">
        <v>0.13291049999999999</v>
      </c>
      <c r="T341" s="2">
        <v>0.50637599999999994</v>
      </c>
      <c r="U341" s="2">
        <v>0.58126699999999953</v>
      </c>
      <c r="W341" s="2"/>
      <c r="X341" s="2"/>
    </row>
    <row r="342" spans="1:24" ht="15.75" thickBot="1" x14ac:dyDescent="0.3">
      <c r="A342" s="26"/>
      <c r="B342" s="27" t="s">
        <v>372</v>
      </c>
      <c r="C342" s="29">
        <f>B315</f>
        <v>0.1917161</v>
      </c>
      <c r="D342" s="29">
        <f>B317</f>
        <v>0.26545269999999999</v>
      </c>
      <c r="E342" s="29">
        <f>B319</f>
        <v>0.46822900000000001</v>
      </c>
      <c r="F342" s="29">
        <f>B321</f>
        <v>0.75211589999999995</v>
      </c>
      <c r="G342" s="30">
        <f>B323</f>
        <v>0.58989480000000005</v>
      </c>
      <c r="H342" s="28">
        <f>B325</f>
        <v>0.89590270000000005</v>
      </c>
      <c r="I342" s="29">
        <f>B327</f>
        <v>0.34656320000000002</v>
      </c>
      <c r="J342" s="28">
        <f>B329</f>
        <v>0.46085530000000002</v>
      </c>
      <c r="K342" s="28">
        <f>B331</f>
        <v>1.9872080000000001</v>
      </c>
      <c r="L342" s="22">
        <f>B333</f>
        <v>3.528308</v>
      </c>
      <c r="N342" s="2">
        <v>0.19446999999999992</v>
      </c>
      <c r="O342" s="2">
        <v>0.21069499999999985</v>
      </c>
      <c r="P342" s="2">
        <v>0.12417999999999996</v>
      </c>
      <c r="Q342" s="2">
        <v>0.13501000000000007</v>
      </c>
      <c r="R342" s="2">
        <v>0.16259000000000001</v>
      </c>
      <c r="S342" s="2">
        <v>0.17751899999999998</v>
      </c>
      <c r="T342" s="9"/>
      <c r="U342" s="9"/>
      <c r="W342" s="2"/>
      <c r="X342" s="2"/>
    </row>
    <row r="343" spans="1:24" x14ac:dyDescent="0.25">
      <c r="N343" s="2">
        <v>0.19621300000000019</v>
      </c>
      <c r="O343" s="2">
        <v>0.21229599999999982</v>
      </c>
      <c r="P343" s="2">
        <v>8.7104300000000023E-2</v>
      </c>
      <c r="Q343" s="2">
        <v>9.5309000000000088E-2</v>
      </c>
      <c r="R343" s="2">
        <v>0.23221400000000036</v>
      </c>
      <c r="S343" s="2">
        <v>0.25145099999999987</v>
      </c>
      <c r="T343" s="9"/>
      <c r="U343" s="9"/>
      <c r="W343" s="2"/>
      <c r="X343" s="2"/>
    </row>
    <row r="344" spans="1:24" x14ac:dyDescent="0.25">
      <c r="N344" s="2">
        <v>5.6672400000000012E-2</v>
      </c>
      <c r="O344" s="2">
        <v>6.6072499999999978E-2</v>
      </c>
      <c r="P344" s="2">
        <v>6.2105500000000036E-2</v>
      </c>
      <c r="Q344" s="2">
        <v>7.0302399999999987E-2</v>
      </c>
      <c r="R344" s="2">
        <v>7.9047100000000037E-2</v>
      </c>
      <c r="S344" s="2">
        <v>9.2774999999999941E-2</v>
      </c>
      <c r="W344" s="2"/>
      <c r="X344" s="2"/>
    </row>
    <row r="345" spans="1:24" x14ac:dyDescent="0.25">
      <c r="N345" s="2">
        <v>9.7222299999999984E-2</v>
      </c>
      <c r="O345" s="2">
        <v>0.12186499999999995</v>
      </c>
      <c r="P345" s="2">
        <v>0.12974889999999994</v>
      </c>
      <c r="Q345" s="2">
        <v>0.15368730000000008</v>
      </c>
      <c r="R345" s="2">
        <v>0.20367000000000002</v>
      </c>
      <c r="S345" s="2">
        <v>0.24387099999999995</v>
      </c>
      <c r="W345" s="2"/>
      <c r="X345" s="2"/>
    </row>
    <row r="346" spans="1:24" x14ac:dyDescent="0.25">
      <c r="N346" s="2">
        <v>0.13647900000000002</v>
      </c>
      <c r="O346" s="2">
        <v>0.14930099999999991</v>
      </c>
      <c r="P346" s="2">
        <v>3.4263299999999997E-2</v>
      </c>
      <c r="Q346" s="2">
        <v>3.9336099999999985E-2</v>
      </c>
      <c r="R346" s="2">
        <v>0.22982300000000011</v>
      </c>
      <c r="S346" s="2">
        <v>0.25379499999999977</v>
      </c>
      <c r="W346" s="2"/>
      <c r="X346" s="2"/>
    </row>
    <row r="347" spans="1:24" x14ac:dyDescent="0.25">
      <c r="N347" s="2">
        <v>0.127197</v>
      </c>
      <c r="O347" s="2">
        <v>0.13884099999999999</v>
      </c>
      <c r="P347" s="2">
        <v>6.6840299999999964E-2</v>
      </c>
      <c r="Q347" s="2">
        <v>7.411790000000007E-2</v>
      </c>
      <c r="R347" s="2">
        <v>0.24925599999999992</v>
      </c>
      <c r="S347" s="2">
        <v>0.27105800000000002</v>
      </c>
      <c r="W347" s="2"/>
      <c r="X347" s="2"/>
    </row>
    <row r="348" spans="1:24" x14ac:dyDescent="0.25">
      <c r="N348" s="2">
        <v>7.4385400000000046E-2</v>
      </c>
      <c r="O348" s="2">
        <v>8.7101800000000007E-2</v>
      </c>
      <c r="P348" s="2">
        <v>3.3959500000000004E-2</v>
      </c>
      <c r="Q348" s="2">
        <v>4.0811700000000006E-2</v>
      </c>
      <c r="R348" s="2">
        <v>0.18327749999999987</v>
      </c>
      <c r="S348" s="2">
        <v>0.21857800000000016</v>
      </c>
      <c r="W348" s="2"/>
      <c r="X348" s="2"/>
    </row>
    <row r="349" spans="1:24" x14ac:dyDescent="0.25">
      <c r="N349" s="2">
        <v>0.14919749999999998</v>
      </c>
      <c r="O349" s="2">
        <v>0.17697999999999992</v>
      </c>
      <c r="P349" s="2">
        <v>0.18706800000000001</v>
      </c>
      <c r="Q349" s="2">
        <v>0.21624399999999988</v>
      </c>
      <c r="R349" s="2">
        <v>0.44181400000000037</v>
      </c>
      <c r="S349" s="2">
        <v>0.50099600000000022</v>
      </c>
      <c r="W349" s="2"/>
      <c r="X349" s="2"/>
    </row>
    <row r="350" spans="1:24" x14ac:dyDescent="0.25">
      <c r="N350" s="2"/>
      <c r="O350" s="2"/>
      <c r="P350" s="2"/>
      <c r="Q350" s="2"/>
      <c r="R350" s="7"/>
      <c r="S350" s="7"/>
      <c r="W350" s="2"/>
      <c r="X350" s="2"/>
    </row>
    <row r="351" spans="1:24" x14ac:dyDescent="0.25">
      <c r="N351" s="2"/>
      <c r="O351" s="2"/>
      <c r="P351" s="2"/>
      <c r="Q351" s="2"/>
      <c r="R351" s="7"/>
      <c r="S351" s="7"/>
      <c r="W351" s="2"/>
      <c r="X351" s="2"/>
    </row>
    <row r="352" spans="1:24" x14ac:dyDescent="0.25">
      <c r="N352" s="2"/>
      <c r="O352" s="2"/>
      <c r="P352" s="2"/>
      <c r="Q352" s="2"/>
      <c r="R352" s="7"/>
      <c r="S352" s="7"/>
      <c r="W352" s="2"/>
      <c r="X352" s="2"/>
    </row>
    <row r="353" spans="1:24" x14ac:dyDescent="0.25">
      <c r="N353" s="2"/>
      <c r="O353" s="2"/>
      <c r="P353" s="2"/>
      <c r="Q353" s="2"/>
      <c r="R353" s="7"/>
      <c r="S353" s="7"/>
      <c r="W353" s="2"/>
      <c r="X353" s="2"/>
    </row>
    <row r="354" spans="1:24" x14ac:dyDescent="0.25">
      <c r="N354" s="2"/>
      <c r="O354" s="2"/>
      <c r="P354" s="9"/>
      <c r="Q354" s="9"/>
      <c r="R354" s="7"/>
      <c r="S354" s="7"/>
      <c r="W354" s="2"/>
      <c r="X354" s="2"/>
    </row>
    <row r="355" spans="1:24" x14ac:dyDescent="0.25">
      <c r="N355" s="2"/>
      <c r="O355" s="2"/>
      <c r="P355" s="9"/>
      <c r="Q355" s="9"/>
      <c r="R355" s="7"/>
      <c r="S355" s="7"/>
      <c r="W355" s="2"/>
      <c r="X355" s="2"/>
    </row>
    <row r="356" spans="1:24" x14ac:dyDescent="0.25">
      <c r="N356" s="2"/>
      <c r="O356" s="2"/>
      <c r="P356" s="7"/>
      <c r="Q356" s="7"/>
      <c r="R356" s="7"/>
      <c r="S356" s="7"/>
      <c r="W356" s="9"/>
      <c r="X356" s="9"/>
    </row>
    <row r="357" spans="1:24" x14ac:dyDescent="0.25">
      <c r="N357" s="2"/>
      <c r="O357" s="2"/>
      <c r="P357" s="7"/>
      <c r="Q357" s="7"/>
      <c r="W357" s="9"/>
      <c r="X357" s="9"/>
    </row>
    <row r="358" spans="1:24" x14ac:dyDescent="0.25">
      <c r="N358" s="2"/>
      <c r="O358" s="2"/>
      <c r="P358" s="7"/>
      <c r="Q358" s="7"/>
      <c r="W358" s="7"/>
      <c r="X358" s="7"/>
    </row>
    <row r="359" spans="1:24" x14ac:dyDescent="0.25">
      <c r="N359" s="2"/>
      <c r="O359" s="2"/>
      <c r="P359" s="7"/>
      <c r="Q359" s="7"/>
      <c r="W359" s="7"/>
      <c r="X359" s="7"/>
    </row>
    <row r="360" spans="1:24" s="1" customFormat="1" x14ac:dyDescent="0.25">
      <c r="A360" s="1" t="s">
        <v>107</v>
      </c>
      <c r="N360" s="32"/>
      <c r="O360" s="32"/>
      <c r="P360" s="33"/>
      <c r="Q360" s="33"/>
      <c r="W360" s="33"/>
      <c r="X360" s="33"/>
    </row>
    <row r="361" spans="1:24" x14ac:dyDescent="0.25">
      <c r="N361" s="9"/>
      <c r="O361" s="9"/>
      <c r="P361" s="7"/>
      <c r="Q361" s="7"/>
      <c r="W361" s="7"/>
      <c r="X361" s="7"/>
    </row>
    <row r="362" spans="1:24" x14ac:dyDescent="0.25">
      <c r="A362" s="2"/>
      <c r="B362" s="2" t="s">
        <v>1</v>
      </c>
      <c r="C362" s="3"/>
      <c r="D362" s="3"/>
      <c r="E362" s="3"/>
      <c r="F362" s="3"/>
      <c r="G362" s="3"/>
      <c r="N362" s="7"/>
      <c r="O362" s="7"/>
      <c r="P362" s="7"/>
      <c r="Q362" s="7"/>
      <c r="W362" s="7"/>
      <c r="X362" s="7"/>
    </row>
    <row r="363" spans="1:24" x14ac:dyDescent="0.25">
      <c r="A363" s="6" t="s">
        <v>2</v>
      </c>
      <c r="B363" s="6" t="s">
        <v>269</v>
      </c>
      <c r="C363" s="6" t="s">
        <v>270</v>
      </c>
      <c r="D363" s="6" t="s">
        <v>3</v>
      </c>
      <c r="E363" s="6" t="s">
        <v>4</v>
      </c>
      <c r="F363" s="6" t="s">
        <v>271</v>
      </c>
      <c r="G363" s="6" t="s">
        <v>272</v>
      </c>
      <c r="N363" s="7"/>
      <c r="O363" s="7"/>
      <c r="P363" s="7"/>
      <c r="Q363" s="7"/>
      <c r="W363" s="7"/>
      <c r="X363" s="7"/>
    </row>
    <row r="364" spans="1:24" x14ac:dyDescent="0.25">
      <c r="A364" s="2"/>
      <c r="B364" s="2"/>
      <c r="C364" s="2"/>
      <c r="D364" s="3"/>
      <c r="E364" s="3"/>
      <c r="F364" s="3"/>
      <c r="G364" s="3"/>
      <c r="N364" s="7"/>
      <c r="O364" s="7"/>
      <c r="P364" s="7"/>
      <c r="Q364" s="7"/>
      <c r="W364" s="7"/>
      <c r="X364" s="7"/>
    </row>
    <row r="365" spans="1:24" x14ac:dyDescent="0.25">
      <c r="A365" s="2" t="s">
        <v>72</v>
      </c>
      <c r="B365" s="3"/>
      <c r="C365" s="3"/>
      <c r="D365" s="3"/>
      <c r="E365" s="3"/>
      <c r="F365" s="3"/>
      <c r="G365" s="3"/>
      <c r="N365" s="7"/>
      <c r="O365" s="7"/>
      <c r="P365" s="7"/>
      <c r="Q365" s="7"/>
      <c r="W365" s="7"/>
      <c r="X365" s="7"/>
    </row>
    <row r="366" spans="1:24" x14ac:dyDescent="0.25">
      <c r="A366" s="2" t="s">
        <v>73</v>
      </c>
      <c r="B366" s="2">
        <v>0.53892759999999995</v>
      </c>
      <c r="C366" s="2">
        <v>6.7565000000000004E-3</v>
      </c>
      <c r="D366" s="2">
        <v>-49.31</v>
      </c>
      <c r="E366" s="2">
        <v>0</v>
      </c>
      <c r="F366" s="2">
        <v>0.52584640000000005</v>
      </c>
      <c r="G366" s="2">
        <v>0.5523342</v>
      </c>
      <c r="N366" s="7"/>
      <c r="O366" s="7"/>
      <c r="P366" s="7"/>
      <c r="Q366" s="7"/>
      <c r="W366" s="7"/>
      <c r="X366" s="7"/>
    </row>
    <row r="367" spans="1:24" x14ac:dyDescent="0.25">
      <c r="A367" s="2"/>
      <c r="B367" s="3"/>
      <c r="C367" s="3"/>
      <c r="D367" s="3"/>
      <c r="E367" s="3"/>
      <c r="F367" s="3"/>
      <c r="G367" s="3"/>
      <c r="N367" s="7"/>
      <c r="O367" s="7"/>
      <c r="P367" s="7"/>
      <c r="Q367" s="7"/>
      <c r="W367" s="7"/>
      <c r="X367" s="7"/>
    </row>
    <row r="368" spans="1:24" x14ac:dyDescent="0.25">
      <c r="A368" s="2" t="s">
        <v>74</v>
      </c>
      <c r="B368" s="3"/>
      <c r="C368" s="3"/>
      <c r="D368" s="3"/>
      <c r="E368" s="3"/>
      <c r="F368" s="3"/>
      <c r="G368" s="3"/>
      <c r="N368" s="7"/>
      <c r="O368" s="7"/>
      <c r="P368" s="7"/>
      <c r="Q368" s="7"/>
      <c r="W368" s="7"/>
      <c r="X368" s="7"/>
    </row>
    <row r="369" spans="1:24" x14ac:dyDescent="0.25">
      <c r="A369" s="2" t="s">
        <v>75</v>
      </c>
      <c r="B369" s="2">
        <v>0.74009930000000002</v>
      </c>
      <c r="C369" s="2">
        <v>1.14237E-2</v>
      </c>
      <c r="D369" s="2">
        <v>-19.5</v>
      </c>
      <c r="E369" s="2">
        <v>0</v>
      </c>
      <c r="F369" s="2">
        <v>0.71804460000000003</v>
      </c>
      <c r="G369" s="2">
        <v>0.7628315</v>
      </c>
      <c r="N369" s="7"/>
      <c r="O369" s="7"/>
      <c r="W369" s="7"/>
      <c r="X369" s="7"/>
    </row>
    <row r="370" spans="1:24" x14ac:dyDescent="0.25">
      <c r="A370" s="2" t="s">
        <v>76</v>
      </c>
      <c r="B370" s="2">
        <v>0.63784099999999999</v>
      </c>
      <c r="C370" s="2">
        <v>1.7335799999999998E-2</v>
      </c>
      <c r="D370" s="2">
        <v>-16.54</v>
      </c>
      <c r="E370" s="2">
        <v>0</v>
      </c>
      <c r="F370" s="2">
        <v>0.60475259999999997</v>
      </c>
      <c r="G370" s="2">
        <v>0.6727398</v>
      </c>
      <c r="N370" s="7"/>
      <c r="O370" s="7"/>
      <c r="W370" s="7"/>
      <c r="X370" s="7"/>
    </row>
    <row r="371" spans="1:24" x14ac:dyDescent="0.25">
      <c r="A371" s="2" t="s">
        <v>77</v>
      </c>
      <c r="B371" s="2">
        <v>0.54818920000000004</v>
      </c>
      <c r="C371" s="2">
        <v>1.7804E-2</v>
      </c>
      <c r="D371" s="2">
        <v>-18.510000000000002</v>
      </c>
      <c r="E371" s="2">
        <v>0</v>
      </c>
      <c r="F371" s="2">
        <v>0.51438139999999999</v>
      </c>
      <c r="G371" s="2">
        <v>0.58421889999999999</v>
      </c>
      <c r="N371" s="7"/>
      <c r="O371" s="7"/>
      <c r="W371" s="7"/>
      <c r="X371" s="7"/>
    </row>
    <row r="372" spans="1:24" x14ac:dyDescent="0.25">
      <c r="A372" s="2" t="s">
        <v>78</v>
      </c>
      <c r="B372" s="2">
        <v>0.4878982</v>
      </c>
      <c r="C372" s="2">
        <v>1.8885099999999998E-2</v>
      </c>
      <c r="D372" s="2">
        <v>-18.54</v>
      </c>
      <c r="E372" s="2">
        <v>0</v>
      </c>
      <c r="F372" s="2">
        <v>0.45225330000000002</v>
      </c>
      <c r="G372" s="2">
        <v>0.52635259999999995</v>
      </c>
      <c r="N372" s="7"/>
      <c r="O372" s="7"/>
      <c r="W372" s="7"/>
      <c r="X372" s="7"/>
    </row>
    <row r="373" spans="1:24" x14ac:dyDescent="0.25">
      <c r="A373" s="2" t="s">
        <v>79</v>
      </c>
      <c r="B373" s="2">
        <v>0.40240239999999999</v>
      </c>
      <c r="C373" s="2">
        <v>2.01415E-2</v>
      </c>
      <c r="D373" s="2">
        <v>-18.190000000000001</v>
      </c>
      <c r="E373" s="2">
        <v>0</v>
      </c>
      <c r="F373" s="2">
        <v>0.36480050000000003</v>
      </c>
      <c r="G373" s="2">
        <v>0.4438802</v>
      </c>
      <c r="N373" s="7"/>
      <c r="O373" s="7"/>
    </row>
    <row r="374" spans="1:24" x14ac:dyDescent="0.25">
      <c r="A374" s="2" t="s">
        <v>80</v>
      </c>
      <c r="B374" s="2">
        <v>0.26506010000000002</v>
      </c>
      <c r="C374" s="2">
        <v>1.5699999999999999E-2</v>
      </c>
      <c r="D374" s="2">
        <v>-22.42</v>
      </c>
      <c r="E374" s="2">
        <v>0</v>
      </c>
      <c r="F374" s="2">
        <v>0.23600760000000001</v>
      </c>
      <c r="G374" s="2">
        <v>0.29768889999999998</v>
      </c>
      <c r="N374" s="7"/>
      <c r="O374" s="7"/>
    </row>
    <row r="375" spans="1:24" x14ac:dyDescent="0.25">
      <c r="A375" s="2" t="s">
        <v>86</v>
      </c>
      <c r="B375" s="2">
        <v>0.16002169999999999</v>
      </c>
      <c r="C375" s="2">
        <v>1.31529E-2</v>
      </c>
      <c r="D375" s="2">
        <v>-22.29</v>
      </c>
      <c r="E375" s="2">
        <v>0</v>
      </c>
      <c r="F375" s="2">
        <v>0.13621179999999999</v>
      </c>
      <c r="G375" s="2">
        <v>0.18799360000000001</v>
      </c>
      <c r="N375" s="7"/>
      <c r="O375" s="7"/>
    </row>
    <row r="376" spans="1:24" x14ac:dyDescent="0.25">
      <c r="A376" s="2" t="s">
        <v>87</v>
      </c>
      <c r="B376" s="2">
        <v>9.2571899999999999E-2</v>
      </c>
      <c r="C376" s="2">
        <v>1.03397E-2</v>
      </c>
      <c r="D376" s="2">
        <v>-21.31</v>
      </c>
      <c r="E376" s="2">
        <v>0</v>
      </c>
      <c r="F376" s="2">
        <v>7.4371300000000001E-2</v>
      </c>
      <c r="G376" s="2">
        <v>0.1152265</v>
      </c>
      <c r="N376" s="7"/>
      <c r="O376" s="7"/>
    </row>
    <row r="377" spans="1:24" x14ac:dyDescent="0.25">
      <c r="A377" s="2" t="s">
        <v>88</v>
      </c>
      <c r="B377" s="2">
        <v>1.1840699999999999E-2</v>
      </c>
      <c r="C377" s="2">
        <v>2.7518999999999998E-3</v>
      </c>
      <c r="D377" s="2">
        <v>-19.09</v>
      </c>
      <c r="E377" s="2">
        <v>0</v>
      </c>
      <c r="F377" s="2">
        <v>7.5085000000000004E-3</v>
      </c>
      <c r="G377" s="2">
        <v>1.8672600000000001E-2</v>
      </c>
      <c r="N377" s="7"/>
      <c r="O377" s="7"/>
    </row>
    <row r="378" spans="1:24" x14ac:dyDescent="0.25">
      <c r="A378" s="2"/>
      <c r="B378" s="3"/>
      <c r="C378" s="3"/>
      <c r="D378" s="3"/>
      <c r="E378" s="3"/>
      <c r="F378" s="3"/>
      <c r="G378" s="3"/>
      <c r="N378" s="7"/>
      <c r="O378" s="7"/>
    </row>
    <row r="379" spans="1:24" x14ac:dyDescent="0.25">
      <c r="A379" s="2" t="s">
        <v>108</v>
      </c>
      <c r="B379" s="3"/>
      <c r="C379" s="3"/>
      <c r="D379" s="3"/>
      <c r="E379" s="3"/>
      <c r="F379" s="3"/>
      <c r="G379" s="3"/>
      <c r="N379" s="7"/>
      <c r="O379" s="7"/>
    </row>
    <row r="380" spans="1:24" x14ac:dyDescent="0.25">
      <c r="A380" s="2">
        <v>2</v>
      </c>
      <c r="B380" s="2">
        <v>2.2300499999999999</v>
      </c>
      <c r="C380" s="2">
        <v>2.8846500000000001E-2</v>
      </c>
      <c r="D380" s="2">
        <v>62</v>
      </c>
      <c r="E380" s="2">
        <v>0</v>
      </c>
      <c r="F380" s="2">
        <v>2.1742219999999999</v>
      </c>
      <c r="G380" s="2">
        <v>2.2873109999999999</v>
      </c>
      <c r="N380" s="7"/>
      <c r="O380" s="7"/>
    </row>
    <row r="381" spans="1:24" x14ac:dyDescent="0.25">
      <c r="A381" s="2" t="s">
        <v>109</v>
      </c>
      <c r="B381" s="2">
        <v>3.314924</v>
      </c>
      <c r="C381" s="2">
        <v>5.08177E-2</v>
      </c>
      <c r="D381" s="2">
        <v>78.180000000000007</v>
      </c>
      <c r="E381" s="2">
        <v>0</v>
      </c>
      <c r="F381" s="2">
        <v>3.2168049999999999</v>
      </c>
      <c r="G381" s="2">
        <v>3.4160370000000002</v>
      </c>
    </row>
    <row r="382" spans="1:24" x14ac:dyDescent="0.25">
      <c r="A382" s="2"/>
      <c r="B382" s="3"/>
      <c r="C382" s="3"/>
      <c r="D382" s="3"/>
      <c r="E382" s="3"/>
      <c r="F382" s="3"/>
      <c r="G382" s="3"/>
    </row>
    <row r="383" spans="1:24" x14ac:dyDescent="0.25">
      <c r="A383" s="2" t="s">
        <v>114</v>
      </c>
      <c r="B383" s="3"/>
      <c r="C383" s="3"/>
      <c r="D383" s="3"/>
      <c r="E383" s="3"/>
      <c r="F383" s="3"/>
      <c r="G383" s="3"/>
    </row>
    <row r="384" spans="1:24" x14ac:dyDescent="0.25">
      <c r="A384" s="38" t="s">
        <v>315</v>
      </c>
      <c r="B384" s="2">
        <v>0.50810239999999995</v>
      </c>
      <c r="C384" s="2">
        <v>7.0406000000000002E-3</v>
      </c>
      <c r="D384" s="2">
        <v>-48.86</v>
      </c>
      <c r="E384" s="2">
        <v>0</v>
      </c>
      <c r="F384" s="2">
        <v>0.4944887</v>
      </c>
      <c r="G384" s="2">
        <v>0.52209090000000002</v>
      </c>
    </row>
    <row r="385" spans="1:7" x14ac:dyDescent="0.25">
      <c r="A385" s="38" t="s">
        <v>316</v>
      </c>
      <c r="B385" s="2">
        <v>0.61760950000000003</v>
      </c>
      <c r="C385" s="2">
        <v>1.0659500000000001E-2</v>
      </c>
      <c r="D385" s="2">
        <v>-27.92</v>
      </c>
      <c r="E385" s="2">
        <v>0</v>
      </c>
      <c r="F385" s="2">
        <v>0.59706669999999995</v>
      </c>
      <c r="G385" s="2">
        <v>0.63885910000000001</v>
      </c>
    </row>
    <row r="386" spans="1:7" x14ac:dyDescent="0.25">
      <c r="A386" s="38" t="s">
        <v>317</v>
      </c>
      <c r="B386" s="2">
        <v>0.50871270000000002</v>
      </c>
      <c r="C386" s="2">
        <v>1.0476600000000001E-2</v>
      </c>
      <c r="D386" s="2">
        <v>-32.82</v>
      </c>
      <c r="E386" s="2">
        <v>0</v>
      </c>
      <c r="F386" s="2">
        <v>0.48858780000000002</v>
      </c>
      <c r="G386" s="2">
        <v>0.52966650000000004</v>
      </c>
    </row>
    <row r="387" spans="1:7" x14ac:dyDescent="0.25">
      <c r="A387" s="38" t="s">
        <v>82</v>
      </c>
      <c r="B387" s="2">
        <v>0.4673525</v>
      </c>
      <c r="C387" s="2">
        <v>1.35186E-2</v>
      </c>
      <c r="D387" s="2">
        <v>-26.3</v>
      </c>
      <c r="E387" s="2">
        <v>0</v>
      </c>
      <c r="F387" s="2">
        <v>0.44159359999999998</v>
      </c>
      <c r="G387" s="2">
        <v>0.49461379999999999</v>
      </c>
    </row>
    <row r="388" spans="1:7" x14ac:dyDescent="0.25">
      <c r="A388" s="2"/>
      <c r="B388" s="3"/>
      <c r="C388" s="3"/>
      <c r="D388" s="3"/>
      <c r="E388" s="3"/>
      <c r="F388" s="3"/>
      <c r="G388" s="3"/>
    </row>
    <row r="389" spans="1:7" x14ac:dyDescent="0.25">
      <c r="A389" s="2" t="s">
        <v>116</v>
      </c>
      <c r="B389" s="3"/>
      <c r="C389" s="3"/>
      <c r="D389" s="3"/>
      <c r="E389" s="3"/>
      <c r="F389" s="3"/>
      <c r="G389" s="3"/>
    </row>
    <row r="390" spans="1:7" x14ac:dyDescent="0.25">
      <c r="A390" s="2" t="s">
        <v>268</v>
      </c>
      <c r="B390" s="45">
        <v>1</v>
      </c>
      <c r="C390" s="3"/>
      <c r="D390" s="3"/>
      <c r="E390" s="3"/>
      <c r="F390" s="45">
        <v>0</v>
      </c>
      <c r="G390" s="45">
        <v>0</v>
      </c>
    </row>
    <row r="391" spans="1:7" x14ac:dyDescent="0.25">
      <c r="A391" s="2" t="s">
        <v>229</v>
      </c>
      <c r="B391" s="2">
        <v>1.1545730000000001</v>
      </c>
      <c r="C391" s="2">
        <v>0.38988859999999997</v>
      </c>
      <c r="D391" s="2">
        <v>0.43</v>
      </c>
      <c r="E391" s="2">
        <v>0.67</v>
      </c>
      <c r="F391" s="2">
        <f>B391-0.5956328</f>
        <v>0.55894020000000011</v>
      </c>
      <c r="G391" s="2">
        <f>2.238022-B391</f>
        <v>1.0834489999999999</v>
      </c>
    </row>
    <row r="392" spans="1:7" x14ac:dyDescent="0.25">
      <c r="A392" s="2" t="s">
        <v>230</v>
      </c>
      <c r="B392" s="2">
        <v>5.5882350000000001</v>
      </c>
      <c r="C392" s="2">
        <v>1.494988</v>
      </c>
      <c r="D392" s="2">
        <v>6.43</v>
      </c>
      <c r="E392" s="2">
        <v>0</v>
      </c>
      <c r="F392" s="2">
        <f>B392-3.307941</f>
        <v>2.280294</v>
      </c>
      <c r="G392" s="2">
        <f>9.440426-B392</f>
        <v>3.8521910000000004</v>
      </c>
    </row>
    <row r="393" spans="1:7" x14ac:dyDescent="0.25">
      <c r="A393" s="2" t="s">
        <v>231</v>
      </c>
      <c r="B393" s="2">
        <v>5.4120619999999997</v>
      </c>
      <c r="C393" s="2">
        <v>1.4632339999999999</v>
      </c>
      <c r="D393" s="2">
        <v>6.25</v>
      </c>
      <c r="E393" s="2">
        <v>0</v>
      </c>
      <c r="F393" s="2">
        <f>B393-3.185865</f>
        <v>2.2261969999999995</v>
      </c>
      <c r="G393" s="2">
        <f>9.193865-B393</f>
        <v>3.7818030000000009</v>
      </c>
    </row>
    <row r="394" spans="1:7" x14ac:dyDescent="0.25">
      <c r="A394" s="2" t="s">
        <v>232</v>
      </c>
      <c r="B394" s="2">
        <v>32</v>
      </c>
      <c r="C394" s="2">
        <v>7.9066380000000001</v>
      </c>
      <c r="D394" s="2">
        <v>14.03</v>
      </c>
      <c r="E394" s="2">
        <v>0</v>
      </c>
      <c r="F394" s="2">
        <f>B394-19.71664</f>
        <v>12.283359999999998</v>
      </c>
      <c r="G394" s="2">
        <f>51.93581-B394</f>
        <v>19.935809999999996</v>
      </c>
    </row>
    <row r="395" spans="1:7" x14ac:dyDescent="0.25">
      <c r="A395" s="2" t="s">
        <v>233</v>
      </c>
      <c r="B395" s="2">
        <v>21.792570000000001</v>
      </c>
      <c r="C395" s="2">
        <v>5.4575139999999998</v>
      </c>
      <c r="D395" s="2">
        <v>12.31</v>
      </c>
      <c r="E395" s="2">
        <v>0</v>
      </c>
      <c r="F395" s="2">
        <f>B395-13.33958</f>
        <v>8.4529900000000016</v>
      </c>
      <c r="G395" s="2">
        <f>35.60204-B395</f>
        <v>13.809470000000001</v>
      </c>
    </row>
    <row r="396" spans="1:7" x14ac:dyDescent="0.25">
      <c r="A396" s="2" t="s">
        <v>234</v>
      </c>
      <c r="B396" s="2">
        <v>49.235289999999999</v>
      </c>
      <c r="C396" s="2">
        <v>12.102779999999999</v>
      </c>
      <c r="D396" s="2">
        <v>15.85</v>
      </c>
      <c r="E396" s="2">
        <v>0</v>
      </c>
      <c r="F396" s="2">
        <f>B396-30.41154</f>
        <v>18.82375</v>
      </c>
      <c r="G396" s="2">
        <f>79.71034-B396</f>
        <v>30.475050000000003</v>
      </c>
    </row>
    <row r="397" spans="1:7" x14ac:dyDescent="0.25">
      <c r="A397" s="2" t="s">
        <v>235</v>
      </c>
      <c r="B397" s="2">
        <v>38.966839999999998</v>
      </c>
      <c r="C397" s="2">
        <v>9.6045210000000001</v>
      </c>
      <c r="D397" s="2">
        <v>14.86</v>
      </c>
      <c r="E397" s="2">
        <v>0</v>
      </c>
      <c r="F397" s="2">
        <f>B397-24.03763</f>
        <v>14.929209999999998</v>
      </c>
      <c r="G397" s="2">
        <f>63.16825-B397</f>
        <v>24.201410000000003</v>
      </c>
    </row>
    <row r="398" spans="1:7" x14ac:dyDescent="0.25">
      <c r="A398" s="2" t="s">
        <v>236</v>
      </c>
      <c r="B398" s="2">
        <v>26.058820000000001</v>
      </c>
      <c r="C398" s="2">
        <v>6.4474450000000001</v>
      </c>
      <c r="D398" s="2">
        <v>13.18</v>
      </c>
      <c r="E398" s="2">
        <v>0</v>
      </c>
      <c r="F398" s="2">
        <f>B398-16.04543</f>
        <v>10.013390000000001</v>
      </c>
      <c r="G398" s="2">
        <f>42.32122-B398</f>
        <v>16.262399999999996</v>
      </c>
    </row>
    <row r="399" spans="1:7" x14ac:dyDescent="0.25">
      <c r="A399" s="2" t="s">
        <v>237</v>
      </c>
      <c r="B399" s="2">
        <v>17.751560000000001</v>
      </c>
      <c r="C399" s="2">
        <v>4.4065310000000002</v>
      </c>
      <c r="D399" s="2">
        <v>11.59</v>
      </c>
      <c r="E399" s="2">
        <v>0</v>
      </c>
      <c r="F399" s="2">
        <f>B399-10.91289</f>
        <v>6.8386700000000005</v>
      </c>
      <c r="G399" s="2">
        <f>28.87575-B399</f>
        <v>11.124189999999999</v>
      </c>
    </row>
    <row r="400" spans="1:7" x14ac:dyDescent="0.25">
      <c r="A400" s="2" t="s">
        <v>238</v>
      </c>
      <c r="B400" s="2">
        <v>9.5882349999999992</v>
      </c>
      <c r="C400" s="2">
        <v>2.4301900000000001</v>
      </c>
      <c r="D400" s="2">
        <v>8.92</v>
      </c>
      <c r="E400" s="2">
        <v>0</v>
      </c>
      <c r="F400" s="2">
        <f>B400-5.834412</f>
        <v>3.7538229999999988</v>
      </c>
      <c r="G400" s="2">
        <f>15.75725-B400</f>
        <v>6.1690150000000017</v>
      </c>
    </row>
    <row r="401" spans="1:7" x14ac:dyDescent="0.25">
      <c r="A401" s="2" t="s">
        <v>239</v>
      </c>
      <c r="B401" s="2">
        <v>24.390360000000001</v>
      </c>
      <c r="C401" s="2">
        <v>6.090357</v>
      </c>
      <c r="D401" s="2">
        <v>12.79</v>
      </c>
      <c r="E401" s="2">
        <v>0</v>
      </c>
      <c r="F401" s="2">
        <f>B401-14.951</f>
        <v>9.4393600000000006</v>
      </c>
      <c r="G401" s="2">
        <f>39.78929-B401</f>
        <v>15.39893</v>
      </c>
    </row>
    <row r="402" spans="1:7" x14ac:dyDescent="0.25">
      <c r="A402" s="2" t="s">
        <v>240</v>
      </c>
      <c r="B402" s="2">
        <v>2.941176</v>
      </c>
      <c r="C402" s="2">
        <v>1.2325999999999999</v>
      </c>
      <c r="D402" s="2">
        <v>2.57</v>
      </c>
      <c r="E402" s="2">
        <v>0.01</v>
      </c>
      <c r="F402" s="2">
        <f>B402-1.293588</f>
        <v>1.6475880000000001</v>
      </c>
      <c r="G402" s="2">
        <f>6.687227-B402</f>
        <v>3.746051</v>
      </c>
    </row>
    <row r="403" spans="1:7" x14ac:dyDescent="0.25">
      <c r="A403" s="2" t="s">
        <v>241</v>
      </c>
      <c r="B403" s="2">
        <v>2.8864329999999998</v>
      </c>
      <c r="C403" s="2">
        <v>0.84292089999999997</v>
      </c>
      <c r="D403" s="2">
        <v>3.63</v>
      </c>
      <c r="E403" s="2">
        <v>0</v>
      </c>
      <c r="F403" s="2">
        <f>B403-1.628495</f>
        <v>1.2579379999999998</v>
      </c>
      <c r="G403" s="2">
        <f>5.116072-B403</f>
        <v>2.2296390000000001</v>
      </c>
    </row>
    <row r="404" spans="1:7" x14ac:dyDescent="0.25">
      <c r="A404" s="2" t="s">
        <v>242</v>
      </c>
      <c r="B404" s="2">
        <v>10.058820000000001</v>
      </c>
      <c r="C404" s="2">
        <v>2.5849890000000002</v>
      </c>
      <c r="D404" s="2">
        <v>8.98</v>
      </c>
      <c r="E404" s="2">
        <v>0</v>
      </c>
      <c r="F404" s="2">
        <f>B404-6.078541</f>
        <v>3.9802790000000003</v>
      </c>
      <c r="G404" s="2">
        <f>16.64543-B404</f>
        <v>6.5866100000000003</v>
      </c>
    </row>
    <row r="405" spans="1:7" x14ac:dyDescent="0.25">
      <c r="A405" s="2" t="s">
        <v>243</v>
      </c>
      <c r="B405" s="2">
        <v>11.040609999999999</v>
      </c>
      <c r="C405" s="2">
        <v>2.8608340000000001</v>
      </c>
      <c r="D405" s="2">
        <v>9.27</v>
      </c>
      <c r="E405" s="2">
        <v>0</v>
      </c>
      <c r="F405" s="2">
        <f>B405-6.644009</f>
        <v>4.3966009999999995</v>
      </c>
      <c r="G405" s="2">
        <f>18.3466-B405</f>
        <v>7.3059899999999995</v>
      </c>
    </row>
    <row r="406" spans="1:7" x14ac:dyDescent="0.25">
      <c r="A406" s="2" t="s">
        <v>244</v>
      </c>
      <c r="B406" s="2">
        <v>85.117649999999998</v>
      </c>
      <c r="C406" s="2">
        <v>21.26061</v>
      </c>
      <c r="D406" s="2">
        <v>17.79</v>
      </c>
      <c r="E406" s="2">
        <v>0</v>
      </c>
      <c r="F406" s="2">
        <f>B406-52.16837</f>
        <v>32.949279999999995</v>
      </c>
      <c r="G406" s="2">
        <f>138.8775-B406</f>
        <v>53.75985</v>
      </c>
    </row>
    <row r="407" spans="1:7" x14ac:dyDescent="0.25">
      <c r="A407" s="2" t="s">
        <v>245</v>
      </c>
      <c r="B407" s="2">
        <v>88.90213</v>
      </c>
      <c r="C407" s="2">
        <v>21.834479999999999</v>
      </c>
      <c r="D407" s="2">
        <v>18.27</v>
      </c>
      <c r="E407" s="2">
        <v>0</v>
      </c>
      <c r="F407" s="2">
        <f>B407-54.93587</f>
        <v>33.966259999999998</v>
      </c>
      <c r="G407" s="2">
        <f>143.8694-B407</f>
        <v>54.967270000000013</v>
      </c>
    </row>
    <row r="408" spans="1:7" x14ac:dyDescent="0.25">
      <c r="A408" s="2" t="s">
        <v>246</v>
      </c>
      <c r="B408" s="2">
        <v>170.4118</v>
      </c>
      <c r="C408" s="2">
        <v>42.024920000000002</v>
      </c>
      <c r="D408" s="2">
        <v>20.84</v>
      </c>
      <c r="E408" s="2">
        <v>0</v>
      </c>
      <c r="F408" s="2">
        <f>B408-105.096</f>
        <v>65.315799999999996</v>
      </c>
      <c r="G408" s="2">
        <f>276.3203-B408</f>
        <v>105.90849999999998</v>
      </c>
    </row>
    <row r="409" spans="1:7" x14ac:dyDescent="0.25">
      <c r="A409" s="2" t="s">
        <v>247</v>
      </c>
      <c r="B409" s="2">
        <v>185.74199999999999</v>
      </c>
      <c r="C409" s="2">
        <v>45.434539999999998</v>
      </c>
      <c r="D409" s="2">
        <v>21.36</v>
      </c>
      <c r="E409" s="2">
        <v>0</v>
      </c>
      <c r="F409" s="2">
        <f>B409-114.9997</f>
        <v>70.742299999999986</v>
      </c>
      <c r="G409" s="2">
        <f>300.0015-B409</f>
        <v>114.25950000000003</v>
      </c>
    </row>
    <row r="410" spans="1:7" x14ac:dyDescent="0.25">
      <c r="A410" s="2" t="s">
        <v>248</v>
      </c>
      <c r="B410" s="2">
        <v>16.331720000000001</v>
      </c>
      <c r="C410" s="2">
        <v>4.0348309999999996</v>
      </c>
      <c r="D410" s="2">
        <v>11.31</v>
      </c>
      <c r="E410" s="2">
        <v>0</v>
      </c>
      <c r="F410" s="2">
        <f>B410-10.06325</f>
        <v>6.2684700000000007</v>
      </c>
      <c r="G410" s="2">
        <f>26.50485-B410</f>
        <v>10.17313</v>
      </c>
    </row>
    <row r="411" spans="1:7" x14ac:dyDescent="0.25">
      <c r="A411" s="2" t="s">
        <v>249</v>
      </c>
      <c r="B411" s="2">
        <v>16.378969999999999</v>
      </c>
      <c r="C411" s="2">
        <v>4.0326209999999998</v>
      </c>
      <c r="D411" s="2">
        <v>11.36</v>
      </c>
      <c r="E411" s="2">
        <v>0</v>
      </c>
      <c r="F411" s="2">
        <f>B411-10.10915</f>
        <v>6.2698199999999993</v>
      </c>
      <c r="G411" s="2">
        <f>26.53741-B411</f>
        <v>10.158440000000002</v>
      </c>
    </row>
    <row r="412" spans="1:7" x14ac:dyDescent="0.25">
      <c r="A412" s="2" t="s">
        <v>250</v>
      </c>
      <c r="B412" s="2">
        <v>57.960360000000001</v>
      </c>
      <c r="C412" s="2">
        <v>14.131130000000001</v>
      </c>
      <c r="D412" s="2">
        <v>16.649999999999999</v>
      </c>
      <c r="E412" s="2">
        <v>0</v>
      </c>
      <c r="F412" s="2">
        <f>B412-35.94201</f>
        <v>22.018349999999998</v>
      </c>
      <c r="G412" s="2">
        <f>93.46733-B412</f>
        <v>35.506970000000003</v>
      </c>
    </row>
    <row r="413" spans="1:7" x14ac:dyDescent="0.25">
      <c r="A413" s="2" t="s">
        <v>251</v>
      </c>
      <c r="B413" s="2">
        <v>47.446170000000002</v>
      </c>
      <c r="C413" s="2">
        <v>11.56649</v>
      </c>
      <c r="D413" s="2">
        <v>15.83</v>
      </c>
      <c r="E413" s="2">
        <v>0</v>
      </c>
      <c r="F413" s="2">
        <f>B413-29.42349</f>
        <v>18.022680000000001</v>
      </c>
      <c r="G413" s="2">
        <f>76.50824-B413</f>
        <v>29.062069999999999</v>
      </c>
    </row>
    <row r="414" spans="1:7" x14ac:dyDescent="0.25">
      <c r="A414" s="2" t="s">
        <v>252</v>
      </c>
      <c r="B414" s="2">
        <v>35.672739999999997</v>
      </c>
      <c r="C414" s="2">
        <v>8.741403</v>
      </c>
      <c r="D414" s="2">
        <v>14.59</v>
      </c>
      <c r="E414" s="2">
        <v>0</v>
      </c>
      <c r="F414" s="2">
        <f>B414-22.06756</f>
        <v>13.605179999999997</v>
      </c>
      <c r="G414" s="2">
        <f>57.66583-B414</f>
        <v>21.993090000000002</v>
      </c>
    </row>
    <row r="415" spans="1:7" x14ac:dyDescent="0.25">
      <c r="A415" s="2" t="s">
        <v>253</v>
      </c>
      <c r="B415" s="2">
        <v>26.99888</v>
      </c>
      <c r="C415" s="2">
        <v>6.6101780000000003</v>
      </c>
      <c r="D415" s="2">
        <v>13.46</v>
      </c>
      <c r="E415" s="2">
        <v>0</v>
      </c>
      <c r="F415" s="2">
        <f>B415-16.70878</f>
        <v>10.290099999999999</v>
      </c>
      <c r="G415" s="2">
        <f>43.62614-B415</f>
        <v>16.62726</v>
      </c>
    </row>
    <row r="416" spans="1:7" x14ac:dyDescent="0.25">
      <c r="A416" s="2" t="s">
        <v>254</v>
      </c>
      <c r="B416" s="2">
        <v>44.011009999999999</v>
      </c>
      <c r="C416" s="2">
        <v>10.745189999999999</v>
      </c>
      <c r="D416" s="2">
        <v>15.5</v>
      </c>
      <c r="E416" s="2">
        <v>0</v>
      </c>
      <c r="F416" s="2">
        <f>B416-27.27359</f>
        <v>16.73742</v>
      </c>
      <c r="G416" s="2">
        <f>71.01995-B416</f>
        <v>27.008939999999996</v>
      </c>
    </row>
    <row r="417" spans="1:7" x14ac:dyDescent="0.25">
      <c r="A417" s="2" t="s">
        <v>255</v>
      </c>
      <c r="B417" s="2">
        <v>39.309530000000002</v>
      </c>
      <c r="C417" s="2">
        <v>9.5906660000000006</v>
      </c>
      <c r="D417" s="2">
        <v>15.05</v>
      </c>
      <c r="E417" s="2">
        <v>0</v>
      </c>
      <c r="F417" s="2">
        <f>B417-24.36819</f>
        <v>14.941340000000004</v>
      </c>
      <c r="G417" s="2">
        <f>63.41214-B417</f>
        <v>24.102609999999999</v>
      </c>
    </row>
    <row r="418" spans="1:7" x14ac:dyDescent="0.25">
      <c r="A418" s="2" t="s">
        <v>256</v>
      </c>
      <c r="B418" s="2">
        <v>39.026850000000003</v>
      </c>
      <c r="C418" s="2">
        <v>9.5202969999999993</v>
      </c>
      <c r="D418" s="2">
        <v>15.02</v>
      </c>
      <c r="E418" s="2">
        <v>0</v>
      </c>
      <c r="F418" s="2">
        <f>B418-24.19466</f>
        <v>14.832190000000004</v>
      </c>
      <c r="G418" s="2">
        <f>62.95171-B418</f>
        <v>23.924859999999995</v>
      </c>
    </row>
    <row r="419" spans="1:7" x14ac:dyDescent="0.25">
      <c r="A419" s="2" t="s">
        <v>257</v>
      </c>
      <c r="B419" s="2">
        <v>19.998190000000001</v>
      </c>
      <c r="C419" s="2">
        <v>4.8990239999999998</v>
      </c>
      <c r="D419" s="2">
        <v>12.23</v>
      </c>
      <c r="E419" s="2">
        <v>0</v>
      </c>
      <c r="F419" s="2">
        <f>B419-12.37283</f>
        <v>7.6253600000000006</v>
      </c>
      <c r="G419" s="2">
        <f>32.32306-B419</f>
        <v>12.324869999999997</v>
      </c>
    </row>
    <row r="420" spans="1:7" x14ac:dyDescent="0.25">
      <c r="A420" s="2" t="s">
        <v>258</v>
      </c>
      <c r="B420" s="2">
        <v>6.3947620000000001</v>
      </c>
      <c r="C420" s="2">
        <v>1.613502</v>
      </c>
      <c r="D420" s="2">
        <v>7.35</v>
      </c>
      <c r="E420" s="2">
        <v>0</v>
      </c>
      <c r="F420" s="2">
        <f>B420-3.899891</f>
        <v>2.4948709999999998</v>
      </c>
      <c r="G420" s="2">
        <f>10.48567-B420</f>
        <v>4.0909080000000007</v>
      </c>
    </row>
    <row r="421" spans="1:7" x14ac:dyDescent="0.25">
      <c r="A421" s="2" t="s">
        <v>259</v>
      </c>
      <c r="B421" s="2">
        <v>14.265549999999999</v>
      </c>
      <c r="C421" s="2">
        <v>3.5161609999999999</v>
      </c>
      <c r="D421" s="2">
        <v>10.78</v>
      </c>
      <c r="E421" s="2">
        <v>0</v>
      </c>
      <c r="F421" s="2">
        <f>B421-8.800052</f>
        <v>5.4654979999999984</v>
      </c>
      <c r="G421" s="2">
        <f>23.12555-B421</f>
        <v>8.8600000000000012</v>
      </c>
    </row>
    <row r="422" spans="1:7" x14ac:dyDescent="0.25">
      <c r="A422" s="2" t="s">
        <v>260</v>
      </c>
      <c r="B422" s="2">
        <v>12.319319999999999</v>
      </c>
      <c r="C422" s="2">
        <v>3.0580889999999998</v>
      </c>
      <c r="D422" s="2">
        <v>10.119999999999999</v>
      </c>
      <c r="E422" s="2">
        <v>0</v>
      </c>
      <c r="F422" s="2">
        <f>B422-7.573359</f>
        <v>4.7459609999999994</v>
      </c>
      <c r="G422" s="2">
        <f>20.03941-B422</f>
        <v>7.7200900000000008</v>
      </c>
    </row>
    <row r="423" spans="1:7" x14ac:dyDescent="0.25">
      <c r="A423" s="2" t="s">
        <v>261</v>
      </c>
      <c r="B423" s="2">
        <v>16.61673</v>
      </c>
      <c r="C423" s="2">
        <v>4.107742</v>
      </c>
      <c r="D423" s="2">
        <v>11.37</v>
      </c>
      <c r="E423" s="2">
        <v>0</v>
      </c>
      <c r="F423" s="2">
        <f>B423-10.23585</f>
        <v>6.3808800000000012</v>
      </c>
      <c r="G423" s="2">
        <f>26.97534-B423</f>
        <v>10.358609999999999</v>
      </c>
    </row>
    <row r="424" spans="1:7" x14ac:dyDescent="0.25">
      <c r="A424" s="2" t="s">
        <v>262</v>
      </c>
      <c r="B424" s="2">
        <v>37.146039999999999</v>
      </c>
      <c r="C424" s="2">
        <v>9.0829640000000005</v>
      </c>
      <c r="D424" s="2">
        <v>14.78</v>
      </c>
      <c r="E424" s="2">
        <v>0</v>
      </c>
      <c r="F424" s="2">
        <f>B424-23.00257</f>
        <v>14.143470000000001</v>
      </c>
      <c r="G424" s="2">
        <f>59.98583-B424</f>
        <v>22.839790000000001</v>
      </c>
    </row>
    <row r="425" spans="1:7" x14ac:dyDescent="0.25">
      <c r="A425" s="2" t="s">
        <v>263</v>
      </c>
      <c r="B425" s="2">
        <v>41.343690000000002</v>
      </c>
      <c r="C425" s="2">
        <v>10.09337</v>
      </c>
      <c r="D425" s="2">
        <v>15.25</v>
      </c>
      <c r="E425" s="2">
        <v>0</v>
      </c>
      <c r="F425" s="2">
        <f>B425-25.62139</f>
        <v>15.722300000000001</v>
      </c>
      <c r="G425" s="2">
        <f>66.71381-B425</f>
        <v>25.370119999999993</v>
      </c>
    </row>
    <row r="426" spans="1:7" x14ac:dyDescent="0.25">
      <c r="A426" s="2" t="s">
        <v>264</v>
      </c>
      <c r="B426" s="2">
        <v>44.888719999999999</v>
      </c>
      <c r="C426" s="2">
        <v>11.03088</v>
      </c>
      <c r="D426" s="2">
        <v>15.48</v>
      </c>
      <c r="E426" s="2">
        <v>0</v>
      </c>
      <c r="F426" s="2">
        <f>B426-27.73093</f>
        <v>17.157789999999999</v>
      </c>
      <c r="G426" s="2">
        <f>72.66245-B426</f>
        <v>27.773730000000008</v>
      </c>
    </row>
    <row r="427" spans="1:7" x14ac:dyDescent="0.25">
      <c r="A427" s="2" t="s">
        <v>265</v>
      </c>
      <c r="B427" s="2">
        <v>49.34825</v>
      </c>
      <c r="C427" s="2">
        <v>12.059889999999999</v>
      </c>
      <c r="D427" s="2">
        <v>15.95</v>
      </c>
      <c r="E427" s="2">
        <v>0</v>
      </c>
      <c r="F427" s="2">
        <f>B427-30.56696</f>
        <v>18.781289999999998</v>
      </c>
      <c r="G427" s="2">
        <f>79.66935-B427</f>
        <v>30.321099999999994</v>
      </c>
    </row>
    <row r="428" spans="1:7" x14ac:dyDescent="0.25">
      <c r="A428" s="2" t="s">
        <v>266</v>
      </c>
      <c r="B428" s="2">
        <v>71.721639999999994</v>
      </c>
      <c r="C428" s="2">
        <v>17.549330000000001</v>
      </c>
      <c r="D428" s="2">
        <v>17.46</v>
      </c>
      <c r="E428" s="2">
        <v>0</v>
      </c>
      <c r="F428" s="2">
        <f>B428-44.39893</f>
        <v>27.322709999999994</v>
      </c>
      <c r="G428" s="2">
        <f>115.8585-B428</f>
        <v>44.136860000000013</v>
      </c>
    </row>
    <row r="429" spans="1:7" x14ac:dyDescent="0.25">
      <c r="A429" s="2" t="s">
        <v>267</v>
      </c>
      <c r="B429" s="2">
        <v>95.499960000000002</v>
      </c>
      <c r="C429" s="2">
        <v>23.240459999999999</v>
      </c>
      <c r="D429" s="2">
        <v>18.73</v>
      </c>
      <c r="E429" s="2">
        <v>0</v>
      </c>
      <c r="F429" s="2">
        <f>B429-59.27321</f>
        <v>36.226750000000003</v>
      </c>
      <c r="G429" s="2">
        <f>153.8679-B429</f>
        <v>58.36793999999999</v>
      </c>
    </row>
    <row r="430" spans="1:7" x14ac:dyDescent="0.25">
      <c r="A430" s="2" t="s">
        <v>294</v>
      </c>
      <c r="B430" s="2">
        <v>89.845110000000005</v>
      </c>
      <c r="C430" s="2">
        <v>22.138819999999999</v>
      </c>
      <c r="D430" s="2">
        <v>18.25</v>
      </c>
      <c r="E430" s="2">
        <v>0</v>
      </c>
      <c r="F430" s="2">
        <f>B430-55.43053</f>
        <v>34.414580000000008</v>
      </c>
      <c r="G430" s="2">
        <f>145.6263-B430</f>
        <v>55.781189999999981</v>
      </c>
    </row>
    <row r="431" spans="1:7" x14ac:dyDescent="0.25">
      <c r="A431" s="2" t="s">
        <v>295</v>
      </c>
      <c r="B431" s="2">
        <v>42.016829999999999</v>
      </c>
      <c r="C431" s="2">
        <v>10.367100000000001</v>
      </c>
      <c r="D431" s="2">
        <v>15.15</v>
      </c>
      <c r="E431" s="2">
        <v>0</v>
      </c>
      <c r="F431" s="2">
        <f>B431-25.90601</f>
        <v>16.11082</v>
      </c>
      <c r="G431" s="2">
        <f>68.14689-B431</f>
        <v>26.13006</v>
      </c>
    </row>
    <row r="432" spans="1:7" x14ac:dyDescent="0.25">
      <c r="A432" s="2" t="s">
        <v>296</v>
      </c>
      <c r="B432" s="2">
        <v>35.703919999999997</v>
      </c>
      <c r="C432" s="2">
        <v>9.0059570000000004</v>
      </c>
      <c r="D432" s="2">
        <v>14.17</v>
      </c>
      <c r="E432" s="2">
        <v>0</v>
      </c>
      <c r="F432" s="2">
        <f>B432-21.77754</f>
        <v>13.926379999999998</v>
      </c>
      <c r="G432" s="2">
        <f>58.53599-B432</f>
        <v>22.832070000000002</v>
      </c>
    </row>
    <row r="433" spans="1:7" x14ac:dyDescent="0.25">
      <c r="A433" s="2" t="s">
        <v>297</v>
      </c>
      <c r="B433" s="2">
        <v>26.192309999999999</v>
      </c>
      <c r="C433" s="2">
        <v>6.5374230000000004</v>
      </c>
      <c r="D433" s="2">
        <v>13.08</v>
      </c>
      <c r="E433" s="2">
        <v>0</v>
      </c>
      <c r="F433" s="2">
        <f>B433-16.05904</f>
        <v>10.13327</v>
      </c>
      <c r="G433" s="2">
        <f>42.71968-B433</f>
        <v>16.527369999999998</v>
      </c>
    </row>
    <row r="434" spans="1:7" x14ac:dyDescent="0.25">
      <c r="A434" s="2" t="s">
        <v>298</v>
      </c>
      <c r="B434" s="2">
        <v>7.3163770000000001</v>
      </c>
      <c r="C434" s="2">
        <v>2.094751</v>
      </c>
      <c r="D434" s="2">
        <v>6.95</v>
      </c>
      <c r="E434" s="2">
        <v>0</v>
      </c>
      <c r="F434" s="2">
        <f>B434-4.174348</f>
        <v>3.142029</v>
      </c>
      <c r="G434" s="2">
        <f>12.82341-B434</f>
        <v>5.5070330000000007</v>
      </c>
    </row>
    <row r="435" spans="1:7" x14ac:dyDescent="0.25">
      <c r="A435" s="2" t="s">
        <v>299</v>
      </c>
      <c r="B435" s="2">
        <v>6.3142170000000002</v>
      </c>
      <c r="C435" s="2">
        <v>1.690599</v>
      </c>
      <c r="D435" s="2">
        <v>6.88</v>
      </c>
      <c r="E435" s="2">
        <v>0</v>
      </c>
      <c r="F435" s="2">
        <f>B435-3.736067</f>
        <v>2.5781500000000004</v>
      </c>
      <c r="G435" s="2">
        <f>10.67147-B435</f>
        <v>4.3572529999999992</v>
      </c>
    </row>
    <row r="436" spans="1:7" x14ac:dyDescent="0.25">
      <c r="A436" s="2" t="s">
        <v>300</v>
      </c>
      <c r="B436" s="2">
        <v>8.7796529999999997</v>
      </c>
      <c r="C436" s="2">
        <v>2.4748399999999999</v>
      </c>
      <c r="D436" s="2">
        <v>7.71</v>
      </c>
      <c r="E436" s="2">
        <v>0</v>
      </c>
      <c r="F436" s="2">
        <f>B436-5.052863</f>
        <v>3.7267899999999994</v>
      </c>
      <c r="G436" s="2">
        <f>15.25517-B436</f>
        <v>6.475517</v>
      </c>
    </row>
    <row r="437" spans="1:7" x14ac:dyDescent="0.25">
      <c r="A437" s="2" t="s">
        <v>301</v>
      </c>
      <c r="B437" s="2">
        <v>9.1205359999999995</v>
      </c>
      <c r="C437" s="2">
        <v>2.402145</v>
      </c>
      <c r="D437" s="2">
        <v>8.39</v>
      </c>
      <c r="E437" s="2">
        <v>0</v>
      </c>
      <c r="F437" s="2">
        <f>B437-5.442933</f>
        <v>3.6776029999999995</v>
      </c>
      <c r="G437" s="2">
        <f>15.28297-B437</f>
        <v>6.1624340000000011</v>
      </c>
    </row>
    <row r="438" spans="1:7" x14ac:dyDescent="0.25">
      <c r="A438" s="2" t="s">
        <v>302</v>
      </c>
      <c r="B438" s="2">
        <v>36.874540000000003</v>
      </c>
      <c r="C438" s="2">
        <v>9.2347730000000006</v>
      </c>
      <c r="D438" s="2">
        <v>14.4</v>
      </c>
      <c r="E438" s="2">
        <v>0</v>
      </c>
      <c r="F438" s="2">
        <f>B438-22.57115</f>
        <v>14.303390000000004</v>
      </c>
      <c r="G438" s="2">
        <f>60.24202-B438</f>
        <v>23.367479999999993</v>
      </c>
    </row>
    <row r="439" spans="1:7" x14ac:dyDescent="0.25">
      <c r="A439" s="2" t="s">
        <v>303</v>
      </c>
      <c r="B439" s="2">
        <v>15.98043</v>
      </c>
      <c r="C439" s="2">
        <v>4.0342549999999999</v>
      </c>
      <c r="D439" s="2">
        <v>10.98</v>
      </c>
      <c r="E439" s="2">
        <v>0</v>
      </c>
      <c r="F439" s="2">
        <f>B439-9.743226</f>
        <v>6.2372040000000002</v>
      </c>
      <c r="G439" s="2">
        <f>26.21042-B439</f>
        <v>10.229989999999999</v>
      </c>
    </row>
    <row r="440" spans="1:7" x14ac:dyDescent="0.25">
      <c r="A440" s="2" t="s">
        <v>304</v>
      </c>
      <c r="B440" s="2">
        <v>4.6824810000000001</v>
      </c>
      <c r="C440" s="2">
        <v>1.4159200000000001</v>
      </c>
      <c r="D440" s="2">
        <v>5.1100000000000003</v>
      </c>
      <c r="E440" s="2">
        <v>0</v>
      </c>
      <c r="F440" s="2">
        <f>B440-2.588714</f>
        <v>2.0937670000000002</v>
      </c>
      <c r="G440" s="2">
        <f>8.469699-B440</f>
        <v>3.7872180000000002</v>
      </c>
    </row>
    <row r="441" spans="1:7" x14ac:dyDescent="0.25">
      <c r="A441" s="2" t="s">
        <v>305</v>
      </c>
      <c r="B441" s="2">
        <v>5.5346840000000004</v>
      </c>
      <c r="C441" s="2">
        <v>1.495668</v>
      </c>
      <c r="D441" s="2">
        <v>6.33</v>
      </c>
      <c r="E441" s="2">
        <v>0</v>
      </c>
      <c r="F441" s="2">
        <f>B441-3.258877</f>
        <v>2.2758070000000004</v>
      </c>
      <c r="G441" s="2">
        <f>9.39978-B441</f>
        <v>3.8650959999999994</v>
      </c>
    </row>
    <row r="442" spans="1:7" x14ac:dyDescent="0.25">
      <c r="A442" s="2" t="s">
        <v>306</v>
      </c>
      <c r="B442" s="2">
        <v>56.921410000000002</v>
      </c>
      <c r="C442" s="2">
        <v>14.11816</v>
      </c>
      <c r="D442" s="2">
        <v>16.3</v>
      </c>
      <c r="E442" s="2">
        <v>0</v>
      </c>
      <c r="F442" s="2">
        <f>B442-35.00685</f>
        <v>21.914560000000002</v>
      </c>
      <c r="G442" s="2">
        <f>92.55467-B442</f>
        <v>35.63326</v>
      </c>
    </row>
    <row r="443" spans="1:7" x14ac:dyDescent="0.25">
      <c r="A443" s="2" t="s">
        <v>307</v>
      </c>
      <c r="B443" s="2">
        <v>53.787779999999998</v>
      </c>
      <c r="C443" s="2">
        <v>13.26085</v>
      </c>
      <c r="D443" s="2">
        <v>16.16</v>
      </c>
      <c r="E443" s="2">
        <v>0</v>
      </c>
      <c r="F443" s="2">
        <f>B443-33.17632</f>
        <v>20.611460000000001</v>
      </c>
      <c r="G443" s="2">
        <f>87.20452-B443</f>
        <v>33.416740000000004</v>
      </c>
    </row>
    <row r="444" spans="1:7" x14ac:dyDescent="0.25">
      <c r="A444" s="2" t="s">
        <v>308</v>
      </c>
      <c r="B444" s="2">
        <v>35.411270000000002</v>
      </c>
      <c r="C444" s="2">
        <v>8.9813670000000005</v>
      </c>
      <c r="D444" s="2">
        <v>14.06</v>
      </c>
      <c r="E444" s="2">
        <v>0</v>
      </c>
      <c r="F444" s="2">
        <f>B444-21.54026</f>
        <v>13.871010000000002</v>
      </c>
      <c r="G444" s="2">
        <f>58.21459-B444</f>
        <v>22.803319999999999</v>
      </c>
    </row>
    <row r="445" spans="1:7" x14ac:dyDescent="0.25">
      <c r="A445" s="2" t="s">
        <v>309</v>
      </c>
      <c r="B445" s="2">
        <v>50.279879999999999</v>
      </c>
      <c r="C445" s="2">
        <v>12.48498</v>
      </c>
      <c r="D445" s="2">
        <v>15.78</v>
      </c>
      <c r="E445" s="2">
        <v>0</v>
      </c>
      <c r="F445" s="2">
        <f>B445-30.90528</f>
        <v>19.374599999999997</v>
      </c>
      <c r="G445" s="2">
        <f>81.80047-B445</f>
        <v>31.520590000000006</v>
      </c>
    </row>
    <row r="446" spans="1:7" x14ac:dyDescent="0.25">
      <c r="A446" s="2" t="s">
        <v>310</v>
      </c>
      <c r="B446" s="2">
        <v>13.75479</v>
      </c>
      <c r="C446" s="2">
        <v>3.889243</v>
      </c>
      <c r="D446" s="2">
        <v>9.27</v>
      </c>
      <c r="E446" s="2">
        <v>0</v>
      </c>
      <c r="F446" s="2">
        <f>B446-7.902636</f>
        <v>5.8521539999999996</v>
      </c>
      <c r="G446" s="2">
        <f>23.94065-B446</f>
        <v>10.185860000000002</v>
      </c>
    </row>
    <row r="447" spans="1:7" x14ac:dyDescent="0.25">
      <c r="A447" s="2" t="s">
        <v>311</v>
      </c>
      <c r="B447" s="2">
        <v>11.537089999999999</v>
      </c>
      <c r="C447" s="2">
        <v>3.000785</v>
      </c>
      <c r="D447" s="2">
        <v>9.4</v>
      </c>
      <c r="E447" s="2">
        <v>0</v>
      </c>
      <c r="F447" s="2">
        <f>B447-6.929463</f>
        <v>4.607626999999999</v>
      </c>
      <c r="G447" s="2">
        <f>19.20848-B447</f>
        <v>7.6713900000000024</v>
      </c>
    </row>
    <row r="448" spans="1:7" x14ac:dyDescent="0.25">
      <c r="A448" s="2" t="s">
        <v>312</v>
      </c>
      <c r="B448" s="2">
        <v>21.802800000000001</v>
      </c>
      <c r="C448" s="2">
        <v>5.8094770000000002</v>
      </c>
      <c r="D448" s="2">
        <v>11.57</v>
      </c>
      <c r="E448" s="2">
        <v>0</v>
      </c>
      <c r="F448" s="2">
        <f>B448-12.93317</f>
        <v>8.8696300000000008</v>
      </c>
      <c r="G448" s="2">
        <f>36.75528-B448</f>
        <v>14.952479999999998</v>
      </c>
    </row>
    <row r="449" spans="1:24" x14ac:dyDescent="0.25">
      <c r="A449" s="2" t="s">
        <v>313</v>
      </c>
      <c r="B449" s="2">
        <v>39.678229999999999</v>
      </c>
      <c r="C449" s="2">
        <v>9.8583820000000006</v>
      </c>
      <c r="D449" s="2">
        <v>14.81</v>
      </c>
      <c r="E449" s="2">
        <v>0</v>
      </c>
      <c r="F449" s="2">
        <f>B449-24.38172</f>
        <v>15.296509999999998</v>
      </c>
      <c r="G449" s="2">
        <f>64.57142-B449</f>
        <v>24.893190000000004</v>
      </c>
    </row>
    <row r="450" spans="1:24" x14ac:dyDescent="0.25">
      <c r="A450" s="2"/>
      <c r="B450" s="3"/>
      <c r="C450" s="3"/>
      <c r="D450" s="3"/>
      <c r="E450" s="3"/>
      <c r="F450" s="3"/>
      <c r="G450" s="3"/>
    </row>
    <row r="451" spans="1:24" x14ac:dyDescent="0.25">
      <c r="A451" s="6" t="s">
        <v>6</v>
      </c>
      <c r="B451" s="6">
        <v>1.0459999999999999E-4</v>
      </c>
      <c r="C451" s="6">
        <v>2.5400000000000001E-5</v>
      </c>
      <c r="D451" s="6">
        <v>-37.81</v>
      </c>
      <c r="E451" s="6">
        <v>0</v>
      </c>
      <c r="F451" s="6">
        <v>6.4999999999999994E-5</v>
      </c>
      <c r="G451" s="6">
        <v>1.682E-4</v>
      </c>
    </row>
    <row r="452" spans="1:24" x14ac:dyDescent="0.25">
      <c r="W452" s="2"/>
      <c r="X452" s="2"/>
    </row>
    <row r="453" spans="1:24" ht="15.75" thickBot="1" x14ac:dyDescent="0.3">
      <c r="W453" s="2"/>
      <c r="X453" s="2"/>
    </row>
    <row r="454" spans="1:24" x14ac:dyDescent="0.25">
      <c r="A454" s="10"/>
      <c r="B454" s="11"/>
      <c r="C454" s="11" t="s">
        <v>9</v>
      </c>
      <c r="D454" s="11" t="s">
        <v>10</v>
      </c>
      <c r="E454" s="11" t="s">
        <v>40</v>
      </c>
      <c r="F454" s="11" t="s">
        <v>11</v>
      </c>
      <c r="G454" s="11" t="s">
        <v>7</v>
      </c>
      <c r="H454" s="11" t="s">
        <v>8</v>
      </c>
      <c r="I454" s="11" t="s">
        <v>62</v>
      </c>
      <c r="J454" s="11" t="s">
        <v>63</v>
      </c>
      <c r="K454" s="11" t="s">
        <v>64</v>
      </c>
      <c r="L454" s="12" t="s">
        <v>65</v>
      </c>
      <c r="N454" s="45">
        <v>0</v>
      </c>
      <c r="O454" s="45">
        <v>0</v>
      </c>
      <c r="P454" s="2">
        <v>18.82375</v>
      </c>
      <c r="Q454" s="2">
        <v>30.475050000000003</v>
      </c>
      <c r="R454" s="2">
        <v>1.6475880000000001</v>
      </c>
      <c r="S454" s="2">
        <v>3.746051</v>
      </c>
      <c r="T454" s="2">
        <v>65.315799999999996</v>
      </c>
      <c r="U454" s="2">
        <v>105.90849999999998</v>
      </c>
      <c r="W454" s="2"/>
      <c r="X454" s="2"/>
    </row>
    <row r="455" spans="1:24" x14ac:dyDescent="0.25">
      <c r="A455" s="24" t="s">
        <v>105</v>
      </c>
      <c r="B455" s="7" t="s">
        <v>12</v>
      </c>
      <c r="C455" s="25">
        <f>B390</f>
        <v>1</v>
      </c>
      <c r="D455" s="4">
        <f>B392</f>
        <v>5.5882350000000001</v>
      </c>
      <c r="E455" s="9">
        <f>B394</f>
        <v>32</v>
      </c>
      <c r="F455" s="9">
        <f>B396</f>
        <v>49.235289999999999</v>
      </c>
      <c r="G455" s="9">
        <f>B398</f>
        <v>26.058820000000001</v>
      </c>
      <c r="H455" s="7">
        <f>B400</f>
        <v>9.5882349999999992</v>
      </c>
      <c r="I455" s="4">
        <f>B402</f>
        <v>2.941176</v>
      </c>
      <c r="J455" s="25">
        <f>B404</f>
        <v>10.058820000000001</v>
      </c>
      <c r="K455" s="25">
        <f>B406</f>
        <v>85.117649999999998</v>
      </c>
      <c r="L455" s="18">
        <f>B408</f>
        <v>170.4118</v>
      </c>
      <c r="N455" s="2">
        <v>0.55894020000000011</v>
      </c>
      <c r="O455" s="2">
        <v>1.0834489999999999</v>
      </c>
      <c r="P455" s="2">
        <v>14.929209999999998</v>
      </c>
      <c r="Q455" s="2">
        <v>24.201410000000003</v>
      </c>
      <c r="R455" s="2">
        <v>1.2579379999999998</v>
      </c>
      <c r="S455" s="2">
        <v>2.2296390000000001</v>
      </c>
      <c r="T455" s="2">
        <v>70.742299999999986</v>
      </c>
      <c r="U455" s="2">
        <v>114.25950000000003</v>
      </c>
      <c r="W455" s="2"/>
      <c r="X455" s="2"/>
    </row>
    <row r="456" spans="1:24" x14ac:dyDescent="0.25">
      <c r="A456" s="24"/>
      <c r="B456" s="7" t="s">
        <v>371</v>
      </c>
      <c r="C456" s="9">
        <f>B391</f>
        <v>1.1545730000000001</v>
      </c>
      <c r="D456" s="9">
        <f>B393</f>
        <v>5.4120619999999997</v>
      </c>
      <c r="E456" s="9">
        <f>B395</f>
        <v>21.792570000000001</v>
      </c>
      <c r="F456" s="9">
        <f>B397</f>
        <v>38.966839999999998</v>
      </c>
      <c r="G456" s="9">
        <f>B399</f>
        <v>17.751560000000001</v>
      </c>
      <c r="H456" s="7">
        <f>B401</f>
        <v>24.390360000000001</v>
      </c>
      <c r="I456" s="25">
        <f>B403</f>
        <v>2.8864329999999998</v>
      </c>
      <c r="J456" s="25">
        <f>B405</f>
        <v>11.040609999999999</v>
      </c>
      <c r="K456" s="25">
        <f>B407</f>
        <v>88.90213</v>
      </c>
      <c r="L456" s="18">
        <f>B409</f>
        <v>185.74199999999999</v>
      </c>
      <c r="N456" s="2">
        <v>34.414580000000008</v>
      </c>
      <c r="O456" s="2">
        <v>55.781189999999981</v>
      </c>
      <c r="P456" s="2">
        <v>3.7267899999999994</v>
      </c>
      <c r="Q456" s="2">
        <v>6.475517</v>
      </c>
      <c r="R456" s="2">
        <v>21.914560000000002</v>
      </c>
      <c r="S456" s="2">
        <v>35.63326</v>
      </c>
      <c r="T456" s="2">
        <v>8.8696300000000008</v>
      </c>
      <c r="U456" s="2">
        <v>14.952479999999998</v>
      </c>
      <c r="W456" s="2"/>
      <c r="X456" s="2"/>
    </row>
    <row r="457" spans="1:24" x14ac:dyDescent="0.25">
      <c r="A457" s="24" t="s">
        <v>106</v>
      </c>
      <c r="B457" s="7" t="s">
        <v>12</v>
      </c>
      <c r="C457" s="9">
        <f>B430</f>
        <v>89.845110000000005</v>
      </c>
      <c r="D457" s="9">
        <f>B432</f>
        <v>35.703919999999997</v>
      </c>
      <c r="E457" s="9">
        <f>B434</f>
        <v>7.3163770000000001</v>
      </c>
      <c r="F457" s="9">
        <f>B436</f>
        <v>8.7796529999999997</v>
      </c>
      <c r="G457" s="9">
        <f>B438</f>
        <v>36.874540000000003</v>
      </c>
      <c r="H457" s="4">
        <f>B440</f>
        <v>4.6824810000000001</v>
      </c>
      <c r="I457" s="25">
        <f>B442</f>
        <v>56.921410000000002</v>
      </c>
      <c r="J457" s="25">
        <f>B444</f>
        <v>35.411270000000002</v>
      </c>
      <c r="K457" s="25">
        <f>B446</f>
        <v>13.75479</v>
      </c>
      <c r="L457" s="17">
        <f>B448</f>
        <v>21.802800000000001</v>
      </c>
      <c r="N457" s="2">
        <v>16.11082</v>
      </c>
      <c r="O457" s="2">
        <v>26.13006</v>
      </c>
      <c r="P457" s="2">
        <v>3.6776029999999995</v>
      </c>
      <c r="Q457" s="2">
        <v>6.1624340000000011</v>
      </c>
      <c r="R457" s="2">
        <v>20.611460000000001</v>
      </c>
      <c r="S457" s="2">
        <v>33.416740000000004</v>
      </c>
      <c r="T457" s="2">
        <v>15.296509999999998</v>
      </c>
      <c r="U457" s="2">
        <v>24.893190000000004</v>
      </c>
      <c r="W457" s="2"/>
      <c r="X457" s="2"/>
    </row>
    <row r="458" spans="1:24" ht="15.75" thickBot="1" x14ac:dyDescent="0.3">
      <c r="A458" s="26"/>
      <c r="B458" s="27" t="s">
        <v>371</v>
      </c>
      <c r="C458" s="29">
        <f>B431</f>
        <v>42.016829999999999</v>
      </c>
      <c r="D458" s="29">
        <f>B433</f>
        <v>26.192309999999999</v>
      </c>
      <c r="E458" s="29">
        <f>B435</f>
        <v>6.3142170000000002</v>
      </c>
      <c r="F458" s="29">
        <f>B437</f>
        <v>9.1205359999999995</v>
      </c>
      <c r="G458" s="29">
        <f>B439</f>
        <v>15.98043</v>
      </c>
      <c r="H458" s="29">
        <f>B441</f>
        <v>5.5346840000000004</v>
      </c>
      <c r="I458" s="29">
        <f>B443</f>
        <v>53.787779999999998</v>
      </c>
      <c r="J458" s="29">
        <f>B445</f>
        <v>50.279879999999999</v>
      </c>
      <c r="K458" s="29">
        <f>B447</f>
        <v>11.537089999999999</v>
      </c>
      <c r="L458" s="31">
        <f>B449</f>
        <v>39.678229999999999</v>
      </c>
      <c r="N458" s="2">
        <v>2.280294</v>
      </c>
      <c r="O458" s="2">
        <v>3.8521910000000004</v>
      </c>
      <c r="P458" s="2">
        <v>10.013390000000001</v>
      </c>
      <c r="Q458" s="2">
        <v>16.262399999999996</v>
      </c>
      <c r="R458" s="2">
        <v>3.9802790000000003</v>
      </c>
      <c r="S458" s="2">
        <v>6.5866100000000003</v>
      </c>
      <c r="W458" s="2"/>
      <c r="X458" s="2"/>
    </row>
    <row r="459" spans="1:24" x14ac:dyDescent="0.25">
      <c r="N459" s="2">
        <v>2.2261969999999995</v>
      </c>
      <c r="O459" s="2">
        <v>3.7818030000000009</v>
      </c>
      <c r="P459" s="2">
        <v>6.8386700000000005</v>
      </c>
      <c r="Q459" s="2">
        <v>11.124189999999999</v>
      </c>
      <c r="R459" s="2">
        <v>4.3966009999999995</v>
      </c>
      <c r="S459" s="2">
        <v>7.3059899999999995</v>
      </c>
      <c r="W459" s="2"/>
      <c r="X459" s="2"/>
    </row>
    <row r="460" spans="1:24" x14ac:dyDescent="0.25">
      <c r="N460" s="2">
        <v>13.926379999999998</v>
      </c>
      <c r="O460" s="2">
        <v>22.832070000000002</v>
      </c>
      <c r="P460" s="2">
        <v>14.303390000000004</v>
      </c>
      <c r="Q460" s="2">
        <v>23.367479999999993</v>
      </c>
      <c r="R460" s="2">
        <v>13.871010000000002</v>
      </c>
      <c r="S460" s="2">
        <v>22.803319999999999</v>
      </c>
      <c r="W460" s="2"/>
      <c r="X460" s="2"/>
    </row>
    <row r="461" spans="1:24" x14ac:dyDescent="0.25">
      <c r="N461" s="2">
        <v>10.13327</v>
      </c>
      <c r="O461" s="2">
        <v>16.527369999999998</v>
      </c>
      <c r="P461" s="2">
        <v>6.2372040000000002</v>
      </c>
      <c r="Q461" s="2">
        <v>10.229989999999999</v>
      </c>
      <c r="R461" s="2">
        <v>19.374599999999997</v>
      </c>
      <c r="S461" s="2">
        <v>31.520590000000006</v>
      </c>
      <c r="W461" s="2"/>
      <c r="X461" s="2"/>
    </row>
    <row r="462" spans="1:24" x14ac:dyDescent="0.25">
      <c r="N462" s="2">
        <v>12.283359999999998</v>
      </c>
      <c r="O462" s="2">
        <v>19.935809999999996</v>
      </c>
      <c r="P462" s="2">
        <v>3.7538229999999988</v>
      </c>
      <c r="Q462" s="2">
        <v>6.1690150000000017</v>
      </c>
      <c r="R462" s="2">
        <v>32.949279999999995</v>
      </c>
      <c r="S462" s="2">
        <v>53.75985</v>
      </c>
      <c r="W462" s="2"/>
      <c r="X462" s="2"/>
    </row>
    <row r="463" spans="1:24" x14ac:dyDescent="0.25">
      <c r="N463" s="2">
        <v>8.4529900000000016</v>
      </c>
      <c r="O463" s="2">
        <v>13.809470000000001</v>
      </c>
      <c r="P463" s="2">
        <v>9.4393600000000006</v>
      </c>
      <c r="Q463" s="2">
        <v>15.39893</v>
      </c>
      <c r="R463" s="2">
        <v>33.966259999999998</v>
      </c>
      <c r="S463" s="2">
        <v>54.967270000000013</v>
      </c>
      <c r="W463" s="2"/>
      <c r="X463" s="2"/>
    </row>
    <row r="464" spans="1:24" x14ac:dyDescent="0.25">
      <c r="N464" s="2">
        <v>3.142029</v>
      </c>
      <c r="O464" s="2">
        <v>5.5070330000000007</v>
      </c>
      <c r="P464" s="2">
        <v>2.0937670000000002</v>
      </c>
      <c r="Q464" s="2">
        <v>3.7872180000000002</v>
      </c>
      <c r="R464" s="2">
        <v>5.8521539999999996</v>
      </c>
      <c r="S464" s="2">
        <v>10.185860000000002</v>
      </c>
      <c r="W464" s="2"/>
      <c r="X464" s="2"/>
    </row>
    <row r="465" spans="14:24" x14ac:dyDescent="0.25">
      <c r="N465" s="2">
        <v>2.5781500000000004</v>
      </c>
      <c r="O465" s="2">
        <v>4.3572529999999992</v>
      </c>
      <c r="P465" s="2">
        <v>2.2758070000000004</v>
      </c>
      <c r="Q465" s="2">
        <v>3.8650959999999994</v>
      </c>
      <c r="R465" s="2">
        <v>4.607626999999999</v>
      </c>
      <c r="S465" s="2">
        <v>7.6713900000000024</v>
      </c>
      <c r="W465" s="2"/>
      <c r="X465" s="2"/>
    </row>
    <row r="466" spans="14:24" x14ac:dyDescent="0.25">
      <c r="N466" s="2"/>
      <c r="O466" s="2"/>
      <c r="P466" s="2"/>
      <c r="Q466" s="2"/>
      <c r="R466" s="7"/>
      <c r="S466" s="7"/>
      <c r="W466" s="2"/>
      <c r="X466" s="2"/>
    </row>
    <row r="467" spans="14:24" x14ac:dyDescent="0.25">
      <c r="N467" s="2"/>
      <c r="O467" s="2"/>
      <c r="P467" s="2"/>
      <c r="Q467" s="2"/>
      <c r="R467" s="7"/>
      <c r="S467" s="7"/>
      <c r="W467" s="2"/>
      <c r="X467" s="2"/>
    </row>
    <row r="468" spans="14:24" x14ac:dyDescent="0.25">
      <c r="N468" s="2"/>
      <c r="O468" s="2"/>
      <c r="P468" s="2"/>
      <c r="Q468" s="2"/>
      <c r="R468" s="7"/>
      <c r="S468" s="7"/>
      <c r="W468" s="2"/>
      <c r="X468" s="2"/>
    </row>
    <row r="469" spans="14:24" x14ac:dyDescent="0.25">
      <c r="N469" s="2"/>
      <c r="O469" s="2"/>
      <c r="P469" s="2"/>
      <c r="Q469" s="2"/>
      <c r="R469" s="7"/>
      <c r="S469" s="7"/>
      <c r="W469" s="2"/>
      <c r="X469" s="2"/>
    </row>
    <row r="470" spans="14:24" x14ac:dyDescent="0.25">
      <c r="N470" s="2"/>
      <c r="O470" s="2"/>
      <c r="P470" s="2"/>
      <c r="Q470" s="2"/>
      <c r="R470" s="7"/>
      <c r="S470" s="7"/>
      <c r="W470" s="2"/>
      <c r="X470" s="2"/>
    </row>
    <row r="471" spans="14:24" x14ac:dyDescent="0.25">
      <c r="N471" s="2"/>
      <c r="O471" s="2"/>
      <c r="P471" s="2"/>
      <c r="Q471" s="2"/>
      <c r="R471" s="7"/>
      <c r="S471" s="7"/>
      <c r="W471" s="2"/>
      <c r="X471" s="2"/>
    </row>
    <row r="472" spans="14:24" x14ac:dyDescent="0.25">
      <c r="N472" s="2"/>
      <c r="O472" s="2"/>
      <c r="P472" s="7"/>
      <c r="Q472" s="7"/>
      <c r="R472" s="7"/>
      <c r="S472" s="7"/>
      <c r="W472" s="2"/>
      <c r="X472" s="2"/>
    </row>
    <row r="473" spans="14:24" x14ac:dyDescent="0.25">
      <c r="N473" s="2"/>
      <c r="O473" s="2"/>
      <c r="P473" s="7"/>
      <c r="Q473" s="7"/>
      <c r="R473" s="7"/>
      <c r="S473" s="7"/>
      <c r="W473" s="2"/>
      <c r="X473" s="2"/>
    </row>
    <row r="474" spans="14:24" x14ac:dyDescent="0.25">
      <c r="N474" s="2"/>
      <c r="O474" s="2"/>
      <c r="P474" s="7"/>
      <c r="Q474" s="7"/>
      <c r="W474" s="7"/>
      <c r="X474" s="7"/>
    </row>
    <row r="475" spans="14:24" x14ac:dyDescent="0.25">
      <c r="N475" s="2"/>
      <c r="O475" s="2"/>
      <c r="P475" s="7"/>
      <c r="Q475" s="7"/>
      <c r="W475" s="7"/>
      <c r="X475" s="7"/>
    </row>
    <row r="476" spans="14:24" x14ac:dyDescent="0.25">
      <c r="N476" s="2"/>
      <c r="O476" s="2"/>
      <c r="P476" s="7"/>
      <c r="Q476" s="7"/>
      <c r="W476" s="7"/>
      <c r="X476" s="7"/>
    </row>
    <row r="477" spans="14:24" x14ac:dyDescent="0.25">
      <c r="N477" s="2"/>
      <c r="O477" s="2"/>
      <c r="P477" s="7"/>
      <c r="Q477" s="7"/>
      <c r="W477" s="7"/>
      <c r="X477" s="7"/>
    </row>
    <row r="478" spans="14:24" x14ac:dyDescent="0.25">
      <c r="N478" s="2"/>
      <c r="O478" s="2"/>
      <c r="P478" s="7"/>
      <c r="Q478" s="7"/>
      <c r="W478" s="7"/>
      <c r="X478" s="7"/>
    </row>
    <row r="479" spans="14:24" x14ac:dyDescent="0.25">
      <c r="N479" s="2"/>
      <c r="O479" s="2"/>
      <c r="P479" s="7"/>
      <c r="Q479" s="7"/>
      <c r="W479" s="7"/>
      <c r="X479" s="7"/>
    </row>
    <row r="480" spans="14:24" x14ac:dyDescent="0.25">
      <c r="N480" s="7"/>
      <c r="O480" s="7"/>
      <c r="P480" s="7"/>
      <c r="Q480" s="7"/>
      <c r="W480" s="7"/>
      <c r="X480" s="7"/>
    </row>
    <row r="481" spans="14:24" x14ac:dyDescent="0.25">
      <c r="N481" s="7"/>
      <c r="O481" s="7"/>
      <c r="P481" s="7"/>
      <c r="Q481" s="7"/>
      <c r="W481" s="7"/>
      <c r="X481" s="7"/>
    </row>
    <row r="482" spans="14:24" x14ac:dyDescent="0.25">
      <c r="N482" s="7"/>
      <c r="O482" s="7"/>
      <c r="P482" s="7"/>
      <c r="Q482" s="7"/>
      <c r="W482" s="7"/>
      <c r="X482" s="7"/>
    </row>
    <row r="483" spans="14:24" x14ac:dyDescent="0.25">
      <c r="N483" s="7"/>
      <c r="O483" s="7"/>
      <c r="P483" s="7"/>
      <c r="Q483" s="7"/>
      <c r="W483" s="7"/>
      <c r="X483" s="7"/>
    </row>
    <row r="484" spans="14:24" x14ac:dyDescent="0.25">
      <c r="N484" s="7"/>
      <c r="O484" s="7"/>
      <c r="P484" s="7"/>
      <c r="Q484" s="7"/>
      <c r="W484" s="7"/>
      <c r="X484" s="7"/>
    </row>
    <row r="485" spans="14:24" x14ac:dyDescent="0.25">
      <c r="N485" s="7"/>
      <c r="O485" s="7"/>
      <c r="P485" s="7"/>
      <c r="Q485" s="7"/>
      <c r="W485" s="7"/>
      <c r="X485" s="7"/>
    </row>
    <row r="486" spans="14:24" x14ac:dyDescent="0.25">
      <c r="N486" s="7"/>
      <c r="O486" s="7"/>
      <c r="W486" s="7"/>
      <c r="X486" s="7"/>
    </row>
    <row r="487" spans="14:24" x14ac:dyDescent="0.25">
      <c r="N487" s="7"/>
      <c r="O487" s="7"/>
      <c r="W487" s="7"/>
      <c r="X487" s="7"/>
    </row>
    <row r="488" spans="14:24" x14ac:dyDescent="0.25">
      <c r="N488" s="7"/>
      <c r="O488" s="7"/>
      <c r="W488" s="7"/>
      <c r="X488" s="7"/>
    </row>
    <row r="489" spans="14:24" x14ac:dyDescent="0.25">
      <c r="N489" s="7"/>
      <c r="O489" s="7"/>
      <c r="W489" s="7"/>
      <c r="X489" s="7"/>
    </row>
    <row r="490" spans="14:24" x14ac:dyDescent="0.25">
      <c r="N490" s="7"/>
      <c r="O490" s="7"/>
    </row>
    <row r="491" spans="14:24" x14ac:dyDescent="0.25">
      <c r="N491" s="7"/>
      <c r="O491" s="7"/>
    </row>
    <row r="492" spans="14:24" x14ac:dyDescent="0.25">
      <c r="N492" s="7"/>
      <c r="O492" s="7"/>
    </row>
    <row r="493" spans="14:24" x14ac:dyDescent="0.25">
      <c r="N493" s="7"/>
      <c r="O493" s="7"/>
    </row>
    <row r="494" spans="14:24" x14ac:dyDescent="0.25">
      <c r="N494" s="7"/>
      <c r="O494" s="7"/>
    </row>
    <row r="495" spans="14:24" x14ac:dyDescent="0.25">
      <c r="N495" s="7"/>
      <c r="O495" s="7"/>
    </row>
    <row r="496" spans="14:24" x14ac:dyDescent="0.25">
      <c r="N496" s="7"/>
      <c r="O496" s="7"/>
    </row>
    <row r="497" spans="14:15" x14ac:dyDescent="0.25">
      <c r="N497" s="7"/>
      <c r="O497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Outcomes of NRC formal</vt:lpstr>
      <vt:lpstr>Outcomes of RC formal</vt:lpstr>
      <vt:lpstr>Outcomes of RM formal</vt:lpstr>
      <vt:lpstr>Outcomes of NRM formal</vt:lpstr>
      <vt:lpstr>Outcomes of NRC informal</vt:lpstr>
      <vt:lpstr>Outcomes of RC informal</vt:lpstr>
      <vt:lpstr>Outcomes of RM informal</vt:lpstr>
      <vt:lpstr>Outcomes of NRM informal</vt:lpstr>
      <vt:lpstr>Outcomes of out of 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isaure delaporte</dc:creator>
  <cp:lastModifiedBy>Delaporte, Isaure</cp:lastModifiedBy>
  <dcterms:created xsi:type="dcterms:W3CDTF">2015-06-05T18:17:20Z</dcterms:created>
  <dcterms:modified xsi:type="dcterms:W3CDTF">2024-04-05T10:05:55Z</dcterms:modified>
</cp:coreProperties>
</file>