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903\Desktop\EY Project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3" i="1" l="1"/>
  <c r="B192" i="1"/>
  <c r="B191" i="1"/>
  <c r="B190" i="1"/>
  <c r="B188" i="1"/>
  <c r="B187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7" i="1"/>
  <c r="B155" i="1"/>
  <c r="B154" i="1"/>
  <c r="B153" i="1"/>
  <c r="B152" i="1"/>
  <c r="B151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3" i="1"/>
  <c r="B102" i="1"/>
  <c r="B101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0" i="1"/>
  <c r="B79" i="1"/>
  <c r="B78" i="1"/>
  <c r="B77" i="1"/>
  <c r="B74" i="1"/>
  <c r="B73" i="1"/>
  <c r="B72" i="1"/>
  <c r="B70" i="1"/>
  <c r="B69" i="1"/>
  <c r="B66" i="1"/>
  <c r="B65" i="1"/>
  <c r="B64" i="1"/>
  <c r="B63" i="1"/>
  <c r="B61" i="1"/>
  <c r="B60" i="1"/>
  <c r="B59" i="1"/>
  <c r="B57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<sst xmlns="http://schemas.openxmlformats.org/spreadsheetml/2006/main" count="34" uniqueCount="34">
  <si>
    <t>Exchange:Ticker</t>
  </si>
  <si>
    <t>Company Name</t>
  </si>
  <si>
    <t>City of headquarter of the company</t>
  </si>
  <si>
    <t>Geographic Locations</t>
  </si>
  <si>
    <t>Period Date, Income Statement [LTM]</t>
  </si>
  <si>
    <t>Period Date, Balance Sheet [LTM]</t>
  </si>
  <si>
    <t>Period Date, Cash Flow [LTM]</t>
  </si>
  <si>
    <t>Filing Date, Income Statement [LTM]</t>
  </si>
  <si>
    <t>Filing Date, Balance Sheet [LTM]</t>
  </si>
  <si>
    <t>Filing Date, Cash Flow [LTM]</t>
  </si>
  <si>
    <t>SG&amp;A Margin % [LTM]</t>
  </si>
  <si>
    <t>TEV/LTM EBITDA [My Setting] [Latest] (x)</t>
  </si>
  <si>
    <t>EBITDA Margin % [LTM]</t>
  </si>
  <si>
    <t>Total Shares Out. on Balance Sheet Date [Latest Annual] (mm)</t>
  </si>
  <si>
    <t>Return on Assets % [LTM]</t>
  </si>
  <si>
    <t>Fixed Asset Turnover [Latest Quarter]</t>
  </si>
  <si>
    <t>Total Asset Turnover [Latest Quarter]</t>
  </si>
  <si>
    <t>Assets Under Management - Total Customers [Latest Annual]</t>
  </si>
  <si>
    <t>Inventory Turnover [Latest Quarter]</t>
  </si>
  <si>
    <t>Avg. Days Inventory Out. [Latest Quarter] (Days)</t>
  </si>
  <si>
    <t>Cash from Ops. to Curr. Liab. [Latest Quarter]</t>
  </si>
  <si>
    <t>Earnings from Cont. Ops., 5 Yr CAGR % [LTM] (%)</t>
  </si>
  <si>
    <t>Weighted Avg Shares Outstanding [LTM]</t>
  </si>
  <si>
    <t>Corporate Tax Rate [LTM] (%)</t>
  </si>
  <si>
    <t>Payout Ratio [LTM] (%)</t>
  </si>
  <si>
    <t>Effective Tax Rate [LTM] (%)</t>
  </si>
  <si>
    <t>Total Shares Out. on Filing Date [Latest Annual] (mm)</t>
  </si>
  <si>
    <t>Total Employees [Latest Annual]</t>
  </si>
  <si>
    <t>Full Time Employees [Latest Annual]</t>
  </si>
  <si>
    <t>Cost of Borrowing [Latest Annual] (%)</t>
  </si>
  <si>
    <t>Copper - Actual Production ('000s of T) [Latest Annual]</t>
  </si>
  <si>
    <t>Total Average Daily Production - # of Estimates - Capital IQ [FY]</t>
  </si>
  <si>
    <t>Total Average Daily Production - Capital IQ [FY] (MMbbls)</t>
  </si>
  <si>
    <t>ROA - Capital IQ [FY]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</si>
</sst>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0F0DC"/>
        <bgColor rgb="FFF0F0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93"/>
  <sheetViews>
    <sheetView tabSelected="1" topLeftCell="A188" workbookViewId="0">
      <selection activeCell="B193" sqref="B193"/>
    </sheetView>
  </sheetViews>
  <sheetFormatPr defaultRowHeight="14.4" x14ac:dyDescent="0.3"/>
  <sheetData>
    <row r="3" spans="2:2" ht="21.6" x14ac:dyDescent="0.3">
      <c r="B3" s="1" t="s">
        <v>0</v>
      </c>
    </row>
    <row r="4" spans="2:2" ht="21.6" x14ac:dyDescent="0.3">
      <c r="B4" s="2" t="s">
        <v>1</v>
      </c>
    </row>
    <row r="5" spans="2:2" ht="42" x14ac:dyDescent="0.3">
      <c r="B5" s="1" t="s">
        <v>2</v>
      </c>
    </row>
    <row r="6" spans="2:2" ht="21.6" x14ac:dyDescent="0.3">
      <c r="B6" s="1" t="s">
        <v>3</v>
      </c>
    </row>
    <row r="7" spans="2:2" ht="82.8" x14ac:dyDescent="0.3">
      <c r="B7" s="1" t="str">
        <f>"Market Capitalization [My Setting] [Latest] ("&amp;$D$3&amp;"mm, "&amp;$D$4&amp;" rate)"</f>
        <v>Market Capitalization [My Setting] [Latest] (mm,  rate)</v>
      </c>
    </row>
    <row r="8" spans="2:2" ht="82.8" x14ac:dyDescent="0.3">
      <c r="B8" s="1" t="str">
        <f>"Total Enterprise Value [My Setting] [Latest] ("&amp;$D$3&amp;"mm, "&amp;$D$4&amp;" rate)"</f>
        <v>Total Enterprise Value [My Setting] [Latest] (mm,  rate)</v>
      </c>
    </row>
    <row r="9" spans="2:2" ht="93" x14ac:dyDescent="0.3">
      <c r="B9" s="1" t="str">
        <f>"Implied Market Capitalization [My Setting] [Latest] ("&amp;$D$3&amp;"mm, "&amp;$D$4&amp;" rate)"</f>
        <v>Implied Market Capitalization [My Setting] [Latest] (mm,  rate)</v>
      </c>
    </row>
    <row r="10" spans="2:2" ht="62.4" x14ac:dyDescent="0.3">
      <c r="B10" s="1" t="str">
        <f>"Total Revenue [LTM] ("&amp;$D$3&amp;"mm, "&amp;$D$4&amp;" rate)"</f>
        <v>Total Revenue [LTM] (mm,  rate)</v>
      </c>
    </row>
    <row r="11" spans="2:2" ht="52.2" x14ac:dyDescent="0.3">
      <c r="B11" s="1" t="str">
        <f>"Gross Profit [LTM] ("&amp;$D$3&amp;"mm, "&amp;$D$4&amp;" rate)"</f>
        <v>Gross Profit [LTM] (mm,  rate)</v>
      </c>
    </row>
    <row r="12" spans="2:2" ht="52.2" x14ac:dyDescent="0.3">
      <c r="B12" s="1" t="str">
        <f>"EBITDA [LTM] ("&amp;$D$3&amp;"mm, "&amp;$D$4&amp;" rate)"</f>
        <v>EBITDA [LTM] (mm,  rate)</v>
      </c>
    </row>
    <row r="13" spans="2:2" ht="42" x14ac:dyDescent="0.3">
      <c r="B13" s="1" t="str">
        <f>"EBIT [LTM] ("&amp;$D$3&amp;"mm, "&amp;$D$4&amp;" rate)"</f>
        <v>EBIT [LTM] (mm,  rate)</v>
      </c>
    </row>
    <row r="14" spans="2:2" ht="62.4" x14ac:dyDescent="0.3">
      <c r="B14" s="1" t="str">
        <f>"Earnings from Cont. Ops. [LTM] ("&amp;$D$3&amp;"mm, "&amp;$D$4&amp;" rate)"</f>
        <v>Earnings from Cont. Ops. [LTM] (mm,  rate)</v>
      </c>
    </row>
    <row r="15" spans="2:2" ht="52.2" x14ac:dyDescent="0.3">
      <c r="B15" s="1" t="str">
        <f>"Net Income [LTM] ("&amp;$D$3&amp;"mm, "&amp;$D$4&amp;" rate)"</f>
        <v>Net Income [LTM] (mm,  rate)</v>
      </c>
    </row>
    <row r="16" spans="2:2" ht="72.599999999999994" x14ac:dyDescent="0.3">
      <c r="B16" s="1" t="str">
        <f>"Cash And Equivalents [Latest Annual] "&amp;"("&amp;$D$3&amp;"mm, "&amp;$D$4&amp;" rate)"</f>
        <v>Cash And Equivalents [Latest Annual] (mm,  rate)</v>
      </c>
    </row>
    <row r="17" spans="2:2" ht="82.8" x14ac:dyDescent="0.3">
      <c r="B17" s="1" t="str">
        <f>"Total Cash &amp; ST Investments [Latest Annual] "&amp;"("&amp;$D$3&amp;"mm, "&amp;$D$4&amp;" rate)"</f>
        <v>Total Cash &amp; ST Investments [Latest Annual] (mm,  rate)</v>
      </c>
    </row>
    <row r="18" spans="2:2" ht="93" x14ac:dyDescent="0.3">
      <c r="B18" s="1" t="str">
        <f>"Net Property, Plant &amp; Equipment [Latest Annual] "&amp;"("&amp;$D$3&amp;"mm, "&amp;$D$4&amp;" rate)"</f>
        <v>Net Property, Plant &amp; Equipment [Latest Annual] (mm,  rate)</v>
      </c>
    </row>
    <row r="19" spans="2:2" ht="72.599999999999994" x14ac:dyDescent="0.3">
      <c r="B19" s="1" t="str">
        <f>"Total Assets [Latest Annual] "&amp;"("&amp;$D$3&amp;"mm, "&amp;$D$4&amp;" rate)"</f>
        <v>Total Assets [Latest Annual] (mm,  rate)</v>
      </c>
    </row>
    <row r="20" spans="2:2" ht="62.4" x14ac:dyDescent="0.3">
      <c r="B20" s="1" t="str">
        <f>"Total Debt [Latest Annual] "&amp;"("&amp;$D$3&amp;"mm, "&amp;$D$4&amp;" rate)"</f>
        <v>Total Debt [Latest Annual] (mm,  rate)</v>
      </c>
    </row>
    <row r="21" spans="2:2" ht="72.599999999999994" x14ac:dyDescent="0.3">
      <c r="B21" s="1" t="str">
        <f>"Total Equity [Latest Annual] "&amp;"("&amp;$D$3&amp;"mm, "&amp;$D$4&amp;" rate)"</f>
        <v>Total Equity [Latest Annual] (mm,  rate)</v>
      </c>
    </row>
    <row r="22" spans="2:2" ht="52.2" x14ac:dyDescent="0.3">
      <c r="B22" s="1" t="str">
        <f>"Cash from Ops. [LTM] "&amp;"("&amp;$D$3&amp;"mm, "&amp;$D$4&amp;" rate)"</f>
        <v>Cash from Ops. [LTM] (mm,  rate)</v>
      </c>
    </row>
    <row r="23" spans="2:2" ht="62.4" x14ac:dyDescent="0.3">
      <c r="B23" s="1" t="str">
        <f>"Capital Expenditure [LTM] "&amp;"("&amp;$D$3&amp;"mm, "&amp;$D$4&amp;" rate)"</f>
        <v>Capital Expenditure [LTM] (mm,  rate)</v>
      </c>
    </row>
    <row r="24" spans="2:2" ht="62.4" x14ac:dyDescent="0.3">
      <c r="B24" s="1" t="str">
        <f>"Dividends per share [LTM] "&amp;"("&amp;$D$3&amp;"mm, "&amp;$D$4&amp;" rate)"</f>
        <v>Dividends per share [LTM] (mm,  rate)</v>
      </c>
    </row>
    <row r="25" spans="2:2" ht="52.2" x14ac:dyDescent="0.3">
      <c r="B25" s="1" t="s">
        <v>4</v>
      </c>
    </row>
    <row r="26" spans="2:2" ht="52.2" x14ac:dyDescent="0.3">
      <c r="B26" s="1" t="s">
        <v>5</v>
      </c>
    </row>
    <row r="27" spans="2:2" ht="31.8" x14ac:dyDescent="0.3">
      <c r="B27" s="1" t="s">
        <v>6</v>
      </c>
    </row>
    <row r="28" spans="2:2" ht="42" x14ac:dyDescent="0.3">
      <c r="B28" s="1" t="s">
        <v>7</v>
      </c>
    </row>
    <row r="29" spans="2:2" ht="42" x14ac:dyDescent="0.3">
      <c r="B29" s="1" t="s">
        <v>8</v>
      </c>
    </row>
    <row r="30" spans="2:2" ht="31.8" x14ac:dyDescent="0.3">
      <c r="B30" s="1" t="s">
        <v>9</v>
      </c>
    </row>
    <row r="31" spans="2:2" ht="52.2" x14ac:dyDescent="0.3">
      <c r="B31" s="1" t="str">
        <f>"Revenues [LTM] ("&amp;$D$3&amp;"mm, "&amp;$D$4&amp;" rate)"</f>
        <v>Revenues [LTM] (mm,  rate)</v>
      </c>
    </row>
    <row r="32" spans="2:2" ht="62.4" x14ac:dyDescent="0.3">
      <c r="B32" s="1" t="str">
        <f>"Other Revenues, Total [LTM] ("&amp;$D$3&amp;"mm, "&amp;$D$4&amp;" rate)"</f>
        <v>Other Revenues, Total [LTM] (mm,  rate)</v>
      </c>
    </row>
    <row r="33" spans="2:2" ht="72.599999999999994" x14ac:dyDescent="0.3">
      <c r="B33" s="1" t="str">
        <f>"Gain(Loss) on Sale Of Invest.(Rev) [LTM] ("&amp;$D$3&amp;"mm, "&amp;$D$4&amp;" rate)"</f>
        <v>Gain(Loss) on Sale Of Invest.(Rev) [LTM] (mm,  rate)</v>
      </c>
    </row>
    <row r="34" spans="2:2" ht="72.599999999999994" x14ac:dyDescent="0.3">
      <c r="B34" s="1" t="str">
        <f>"Interest And Invest. Income (Rev) [LTM] ("&amp;$D$3&amp;"mm, "&amp;$D$4&amp;" rate)"</f>
        <v>Interest And Invest. Income (Rev) [LTM] (mm,  rate)</v>
      </c>
    </row>
    <row r="35" spans="2:2" ht="62.4" x14ac:dyDescent="0.3">
      <c r="B35" s="1" t="str">
        <f>"Other Revenues [LTM] ("&amp;$D$3&amp;"mm, "&amp;$D$4&amp;" rate)"</f>
        <v>Other Revenues [LTM] (mm,  rate)</v>
      </c>
    </row>
    <row r="36" spans="2:2" ht="62.4" x14ac:dyDescent="0.3">
      <c r="B36" s="1" t="str">
        <f>"Cost Of Goods Sold [LTM] ("&amp;$D$3&amp;"mm, "&amp;$D$4&amp;" rate)"</f>
        <v>Cost Of Goods Sold [LTM] (mm,  rate)</v>
      </c>
    </row>
    <row r="37" spans="2:2" ht="72.599999999999994" x14ac:dyDescent="0.3">
      <c r="B37" s="1" t="str">
        <f>"Finance Div. Operating Exp. [LTM] ("&amp;$D$3&amp;"mm, "&amp;$D$4&amp;" rate)"</f>
        <v>Finance Div. Operating Exp. [LTM] (mm,  rate)</v>
      </c>
    </row>
    <row r="38" spans="2:2" ht="72.599999999999994" x14ac:dyDescent="0.3">
      <c r="B38" s="1" t="str">
        <f>"Insurance Div. Operating Exp. [LTM] ("&amp;$D$3&amp;"mm, "&amp;$D$4&amp;" rate)"</f>
        <v>Insurance Div. Operating Exp. [LTM] (mm,  rate)</v>
      </c>
    </row>
    <row r="39" spans="2:2" ht="82.8" x14ac:dyDescent="0.3">
      <c r="B39" s="1" t="str">
        <f>"Interest Expense - Finance Division [LTM] ("&amp;$D$3&amp;"mm, "&amp;$D$4&amp;" rate)"</f>
        <v>Interest Expense - Finance Division [LTM] (mm,  rate)</v>
      </c>
    </row>
    <row r="40" spans="2:2" ht="52.2" x14ac:dyDescent="0.3">
      <c r="B40" s="1" t="str">
        <f>"SG&amp;A Exp., Total [LTM] ("&amp;$D$3&amp;"mm, "&amp;$D$4&amp;" rate)"</f>
        <v>SG&amp;A Exp., Total [LTM] (mm,  rate)</v>
      </c>
    </row>
    <row r="41" spans="2:2" ht="72.599999999999994" x14ac:dyDescent="0.3">
      <c r="B41" s="1" t="str">
        <f>"Selling General &amp; Admin Exp. [LTM] ("&amp;$D$3&amp;"mm, "&amp;$D$4&amp;" rate)"</f>
        <v>Selling General &amp; Admin Exp. [LTM] (mm,  rate)</v>
      </c>
    </row>
    <row r="42" spans="2:2" ht="72.599999999999994" x14ac:dyDescent="0.3">
      <c r="B42" s="1" t="str">
        <f>"Total Operating Expenses [LTM] ("&amp;$D$3&amp;"mm, "&amp;$D$4&amp;" rate)"</f>
        <v>Total Operating Expenses [LTM] (mm,  rate)</v>
      </c>
    </row>
    <row r="43" spans="2:2" ht="62.4" x14ac:dyDescent="0.3">
      <c r="B43" s="1" t="str">
        <f>"Operating Income [LTM] ("&amp;$D$3&amp;"mm, "&amp;$D$4&amp;" rate)"</f>
        <v>Operating Income [LTM] (mm,  rate)</v>
      </c>
    </row>
    <row r="44" spans="2:2" ht="62.4" x14ac:dyDescent="0.3">
      <c r="B44" s="1" t="str">
        <f>"Interest Expense [LTM] ("&amp;$D$3&amp;"mm, "&amp;$D$4&amp;" rate)"</f>
        <v>Interest Expense [LTM] (mm,  rate)</v>
      </c>
    </row>
    <row r="45" spans="2:2" ht="62.4" x14ac:dyDescent="0.3">
      <c r="B45" s="1" t="str">
        <f>"Investment Income [LTM] ("&amp;$D$3&amp;"mm, "&amp;$D$4&amp;" rate)"</f>
        <v>Investment Income [LTM] (mm,  rate)</v>
      </c>
    </row>
    <row r="46" spans="2:2" ht="52.2" x14ac:dyDescent="0.3">
      <c r="B46" s="1" t="str">
        <f>"Net Interest Exp. [LTM] ("&amp;$D$3&amp;"mm, "&amp;$D$4&amp;" rate)"</f>
        <v>Net Interest Exp. [LTM] (mm,  rate)</v>
      </c>
    </row>
    <row r="47" spans="2:2" ht="72.599999999999994" x14ac:dyDescent="0.3">
      <c r="B47" s="1" t="str">
        <f>"Other Non-Operating Exp., Total [LTM] ("&amp;$D$3&amp;"mm, "&amp;$D$4&amp;" rate)"</f>
        <v>Other Non-Operating Exp., Total [LTM] (mm,  rate)</v>
      </c>
    </row>
    <row r="48" spans="2:2" ht="72.599999999999994" x14ac:dyDescent="0.3">
      <c r="B48" s="1" t="str">
        <f>"Income / (Loss) from Affiliates [LTM] ("&amp;$D$3&amp;"mm, "&amp;$D$4&amp;" rate)"</f>
        <v>Income / (Loss) from Affiliates [LTM] (mm,  rate)</v>
      </c>
    </row>
    <row r="49" spans="2:2" ht="82.8" x14ac:dyDescent="0.3">
      <c r="B49" s="1" t="str">
        <f>"Currency Exchange Gains (Loss) [LTM] ("&amp;$D$3&amp;"mm, "&amp;$D$4&amp;" rate)"</f>
        <v>Currency Exchange Gains (Loss) [LTM] (mm,  rate)</v>
      </c>
    </row>
    <row r="50" spans="2:2" ht="72.599999999999994" x14ac:dyDescent="0.3">
      <c r="B50" s="1" t="str">
        <f>"Other Non-Operating Inc. (Exp.) [LTM] ("&amp;$D$3&amp;"mm, "&amp;$D$4&amp;" rate)"</f>
        <v>Other Non-Operating Inc. (Exp.) [LTM] (mm,  rate)</v>
      </c>
    </row>
    <row r="51" spans="2:2" ht="62.4" x14ac:dyDescent="0.3">
      <c r="B51" s="1" t="str">
        <f>"EBT Excl Unusual Items [LTM] ("&amp;$D$3&amp;"mm, "&amp;$D$4&amp;" rate)"</f>
        <v>EBT Excl Unusual Items [LTM] (mm,  rate)</v>
      </c>
    </row>
    <row r="52" spans="2:2" ht="82.8" x14ac:dyDescent="0.3">
      <c r="B52" s="1" t="str">
        <f>"Stock-Based Comp., COGS [LTM] ("&amp;$D$3&amp;"mm, "&amp;$D$4&amp;" rate)"</f>
        <v>Stock-Based Comp., COGS [LTM] (mm,  rate)</v>
      </c>
    </row>
    <row r="53" spans="2:2" ht="31.8" x14ac:dyDescent="0.3">
      <c r="B53" s="1" t="s">
        <v>10</v>
      </c>
    </row>
    <row r="54" spans="2:2" ht="93" x14ac:dyDescent="0.3">
      <c r="B54" s="1" t="str">
        <f>"SG&amp;A Costs Per Member Per Month [Latest Annual] ("&amp;$D$3&amp;", "&amp;$D$4&amp;" rate)"</f>
        <v>SG&amp;A Costs Per Member Per Month [Latest Annual] (,  rate)</v>
      </c>
    </row>
    <row r="55" spans="2:2" ht="42" x14ac:dyDescent="0.3">
      <c r="B55" s="1" t="s">
        <v>11</v>
      </c>
    </row>
    <row r="56" spans="2:2" ht="31.8" x14ac:dyDescent="0.3">
      <c r="B56" s="1" t="s">
        <v>12</v>
      </c>
    </row>
    <row r="57" spans="2:2" ht="62.4" x14ac:dyDescent="0.3">
      <c r="B57" s="1" t="str">
        <f>"EBITDA - Capital IQ [NTM]  "&amp;"("&amp;$D$3&amp;"mm, "&amp;$D$4&amp;" rate)"</f>
        <v>EBITDA - Capital IQ [NTM]  (mm,  rate)</v>
      </c>
    </row>
    <row r="58" spans="2:2" ht="82.8" x14ac:dyDescent="0.3">
      <c r="B58" s="1" t="s">
        <v>13</v>
      </c>
    </row>
    <row r="59" spans="2:2" ht="62.4" x14ac:dyDescent="0.3">
      <c r="B59" s="1" t="str">
        <f>"Depreciation &amp; Amort., Total [LTM] ("&amp;$D$3&amp;"mm, "&amp;$D$4&amp;" rate)"</f>
        <v>Depreciation &amp; Amort., Total [LTM] (mm,  rate)</v>
      </c>
    </row>
    <row r="60" spans="2:2" ht="62.4" x14ac:dyDescent="0.3">
      <c r="B60" s="1" t="str">
        <f>"Depreciation &amp; Amort. [LTM] ("&amp;$D$3&amp;"mm, "&amp;$D$4&amp;" rate)"</f>
        <v>Depreciation &amp; Amort. [LTM] (mm,  rate)</v>
      </c>
    </row>
    <row r="61" spans="2:2" ht="82.8" x14ac:dyDescent="0.3">
      <c r="B61" s="1" t="str">
        <f>"Total Current Taxes [Latest Annual] ("&amp;$D$3&amp;"mm, "&amp;$D$4&amp;" rate)"</f>
        <v>Total Current Taxes [Latest Annual] (mm,  rate)</v>
      </c>
    </row>
    <row r="62" spans="2:2" ht="31.8" x14ac:dyDescent="0.3">
      <c r="B62" s="1" t="s">
        <v>14</v>
      </c>
    </row>
    <row r="63" spans="2:2" ht="82.8" x14ac:dyDescent="0.3">
      <c r="B63" s="1" t="str">
        <f>"Total Current Assets [Latest Annual] ("&amp;$D$3&amp;"mm, "&amp;$D$4&amp;" rate)"</f>
        <v>Total Current Assets [Latest Annual] (mm,  rate)</v>
      </c>
    </row>
    <row r="64" spans="2:2" ht="82.8" x14ac:dyDescent="0.3">
      <c r="B64" s="1" t="str">
        <f>"Assets Under Management [Latest Annual] ("&amp;$D$3&amp;"mm, "&amp;$D$4&amp;" rate)"</f>
        <v>Assets Under Management [Latest Annual] (mm,  rate)</v>
      </c>
    </row>
    <row r="65" spans="2:2" ht="82.8" x14ac:dyDescent="0.3">
      <c r="B65" s="1" t="str">
        <f>"Total Plan Assets (Pension) [Latest Annual] ("&amp;$D$3&amp;"mm, "&amp;$D$4&amp;" rate)"</f>
        <v>Total Plan Assets (Pension) [Latest Annual] (mm,  rate)</v>
      </c>
    </row>
    <row r="66" spans="2:2" ht="72.599999999999994" x14ac:dyDescent="0.3">
      <c r="B66" s="1" t="str">
        <f>"Asset Writedown [Latest Annual] ("&amp;$D$3&amp;"mm, "&amp;$D$4&amp;" rate)"</f>
        <v>Asset Writedown [Latest Annual] (mm,  rate)</v>
      </c>
    </row>
    <row r="67" spans="2:2" ht="42" x14ac:dyDescent="0.3">
      <c r="B67" s="1" t="s">
        <v>15</v>
      </c>
    </row>
    <row r="68" spans="2:2" ht="42" x14ac:dyDescent="0.3">
      <c r="B68" s="1" t="s">
        <v>16</v>
      </c>
    </row>
    <row r="69" spans="2:2" ht="103.2" x14ac:dyDescent="0.3">
      <c r="B69" s="1" t="str">
        <f>"Assets Under Management - Private Equity [Latest Annual] ("&amp;$D$3&amp;"mm, "&amp;$D$4&amp;" rate)"</f>
        <v>Assets Under Management - Private Equity [Latest Annual] (mm,  rate)</v>
      </c>
    </row>
    <row r="70" spans="2:2" ht="72.599999999999994" x14ac:dyDescent="0.3">
      <c r="B70" s="1" t="str">
        <f>"Total Assets [Latest Quarter] ("&amp;$D$3&amp;"mm, "&amp;$D$4&amp;" rate)"</f>
        <v>Total Assets [Latest Quarter] (mm,  rate)</v>
      </c>
    </row>
    <row r="71" spans="2:2" ht="72.599999999999994" x14ac:dyDescent="0.3">
      <c r="B71" s="1" t="s">
        <v>17</v>
      </c>
    </row>
    <row r="72" spans="2:2" ht="82.8" x14ac:dyDescent="0.3">
      <c r="B72" s="1" t="str">
        <f>"Trading Asset Securities [Latest Annual] ("&amp;$D$3&amp;"mm, "&amp;$D$4&amp;" rate)"</f>
        <v>Trading Asset Securities [Latest Annual] (mm,  rate)</v>
      </c>
    </row>
    <row r="73" spans="2:2" ht="82.8" x14ac:dyDescent="0.3">
      <c r="B73" s="1" t="str">
        <f>"Non Performing Assets [Latest Quarter] ("&amp;$D$3&amp;"mm, "&amp;$D$4&amp;" rate)"</f>
        <v>Non Performing Assets [Latest Quarter] (mm,  rate)</v>
      </c>
    </row>
    <row r="74" spans="2:2" ht="62.4" x14ac:dyDescent="0.3">
      <c r="B74" s="1" t="str">
        <f>"Inventory [Latest Annual] ("&amp;$D$3&amp;"mm, "&amp;$D$4&amp;" rate)"</f>
        <v>Inventory [Latest Annual] (mm,  rate)</v>
      </c>
    </row>
    <row r="75" spans="2:2" ht="42" x14ac:dyDescent="0.3">
      <c r="B75" s="1" t="s">
        <v>18</v>
      </c>
    </row>
    <row r="76" spans="2:2" ht="52.2" x14ac:dyDescent="0.3">
      <c r="B76" s="1" t="s">
        <v>19</v>
      </c>
    </row>
    <row r="77" spans="2:2" ht="82.8" x14ac:dyDescent="0.3">
      <c r="B77" s="1" t="str">
        <f>"Finished Goods Inventory [Latest Annual] ("&amp;$D$3&amp;", "&amp;$D$4&amp;" rate)"</f>
        <v>Finished Goods Inventory [Latest Annual] (,  rate)</v>
      </c>
    </row>
    <row r="78" spans="2:2" ht="82.8" x14ac:dyDescent="0.3">
      <c r="B78" s="1" t="str">
        <f>"Raw Materials Inventory [Latest Annual] ("&amp;$D$3&amp;", "&amp;$D$4&amp;" rate)"</f>
        <v>Raw Materials Inventory [Latest Annual] (,  rate)</v>
      </c>
    </row>
    <row r="79" spans="2:2" ht="82.8" x14ac:dyDescent="0.3">
      <c r="B79" s="1" t="str">
        <f>"Total Current Liabilities [Latest Annual] ("&amp;$D$3&amp;"mm, "&amp;$D$4&amp;" rate)"</f>
        <v>Total Current Liabilities [Latest Annual] (mm,  rate)</v>
      </c>
    </row>
    <row r="80" spans="2:2" ht="72.599999999999994" x14ac:dyDescent="0.3">
      <c r="B80" s="1" t="str">
        <f>"Total Liabilities [Latest Annual] ("&amp;$D$3&amp;"mm, "&amp;$D$4&amp;" rate)"</f>
        <v>Total Liabilities [Latest Annual] (mm,  rate)</v>
      </c>
    </row>
    <row r="81" spans="2:2" ht="52.2" x14ac:dyDescent="0.3">
      <c r="B81" s="1" t="s">
        <v>20</v>
      </c>
    </row>
    <row r="82" spans="2:2" ht="82.8" x14ac:dyDescent="0.3">
      <c r="B82" s="1" t="str">
        <f>"Long Term Liabilities (Pension) [Latest Annual] ("&amp;$D$3&amp;"mm, "&amp;$D$4&amp;" rate)"</f>
        <v>Long Term Liabilities (Pension) [Latest Annual] (mm,  rate)</v>
      </c>
    </row>
    <row r="83" spans="2:2" ht="82.8" x14ac:dyDescent="0.3">
      <c r="B83" s="1" t="str">
        <f>"Other Non-Current Liabilities [Latest Annual] ("&amp;$D$3&amp;"mm, "&amp;$D$4&amp;" rate)"</f>
        <v>Other Non-Current Liabilities [Latest Annual] (mm,  rate)</v>
      </c>
    </row>
    <row r="84" spans="2:2" ht="82.8" x14ac:dyDescent="0.3">
      <c r="B84" s="1" t="str">
        <f>"Total Liabilities And Equity [Latest Annual] ("&amp;$D$3&amp;"mm, "&amp;$D$4&amp;" rate)"</f>
        <v>Total Liabilities And Equity [Latest Annual] (mm,  rate)</v>
      </c>
    </row>
    <row r="85" spans="2:2" ht="82.8" x14ac:dyDescent="0.3">
      <c r="B85" s="1" t="str">
        <f>"Current Liabilities (OPEB) [Latest Annual] ("&amp;$D$3&amp;"mm, "&amp;$D$4&amp;" rate)"</f>
        <v>Current Liabilities (OPEB) [Latest Annual] (mm,  rate)</v>
      </c>
    </row>
    <row r="86" spans="2:2" ht="93" x14ac:dyDescent="0.3">
      <c r="B86" s="1" t="str">
        <f>"Insurance And Annuity Liabilities [Latest Annual] ("&amp;$D$3&amp;"mm, "&amp;$D$4&amp;" rate)"</f>
        <v>Insurance And Annuity Liabilities [Latest Annual] (mm,  rate)</v>
      </c>
    </row>
    <row r="87" spans="2:2" ht="72.599999999999994" x14ac:dyDescent="0.3">
      <c r="B87" s="1" t="str">
        <f>"Annuity Liabilities [Latest Quarter] ("&amp;$D$3&amp;"mm, "&amp;$D$4&amp;" rate)"</f>
        <v>Annuity Liabilities [Latest Quarter] (mm,  rate)</v>
      </c>
    </row>
    <row r="88" spans="2:2" ht="93" x14ac:dyDescent="0.3">
      <c r="B88" s="1" t="str">
        <f>"Current Liabilities (OPEB) - Domestic [Latest Annual] ("&amp;$D$3&amp;"mm, "&amp;$D$4&amp;" rate)"</f>
        <v>Current Liabilities (OPEB) - Domestic [Latest Annual] (mm,  rate)</v>
      </c>
    </row>
    <row r="89" spans="2:2" ht="93" x14ac:dyDescent="0.3">
      <c r="B89" s="1" t="str">
        <f>"Derivative Liabilities - Total Before Netting [LTM] ("&amp;$D$3&amp;"mm, "&amp;$D$4&amp;" rate)"</f>
        <v>Derivative Liabilities - Total Before Netting [LTM] (mm,  rate)</v>
      </c>
    </row>
    <row r="90" spans="2:2" ht="52.2" x14ac:dyDescent="0.3">
      <c r="B90" s="1" t="s">
        <v>21</v>
      </c>
    </row>
    <row r="91" spans="2:2" ht="62.4" x14ac:dyDescent="0.3">
      <c r="B91" s="1" t="str">
        <f>"In Process R&amp;D Exp. [LTM] ("&amp;$D$3&amp;"mm, "&amp;$D$4&amp;" rate)"</f>
        <v>In Process R&amp;D Exp. [LTM] (mm,  rate)</v>
      </c>
    </row>
    <row r="92" spans="2:2" ht="62.4" x14ac:dyDescent="0.3">
      <c r="B92" s="1" t="str">
        <f>"Insurance Settlements [LTM] ("&amp;$D$3&amp;"mm, "&amp;$D$4&amp;" rate)"</f>
        <v>Insurance Settlements [LTM] (mm,  rate)</v>
      </c>
    </row>
    <row r="93" spans="2:2" ht="62.4" x14ac:dyDescent="0.3">
      <c r="B93" s="1" t="str">
        <f>"Legal Settlements [LTM] ("&amp;$D$3&amp;"mm, "&amp;$D$4&amp;" rate)"</f>
        <v>Legal Settlements [LTM] (mm,  rate)</v>
      </c>
    </row>
    <row r="94" spans="2:2" ht="72.599999999999994" x14ac:dyDescent="0.3">
      <c r="B94" s="1" t="str">
        <f>"Earnings of Discontinued Ops. [LTM] ("&amp;$D$3&amp;"mm, "&amp;$D$4&amp;" rate)"</f>
        <v>Earnings of Discontinued Ops. [LTM] (mm,  rate)</v>
      </c>
    </row>
    <row r="95" spans="2:2" ht="72.599999999999994" x14ac:dyDescent="0.3">
      <c r="B95" s="1" t="str">
        <f>"Net Income to Company [LTM] ("&amp;$D$3&amp;"mm, "&amp;$D$4&amp;" rate)"</f>
        <v>Net Income to Company [LTM] (mm,  rate)</v>
      </c>
    </row>
    <row r="96" spans="2:2" ht="72.599999999999994" x14ac:dyDescent="0.3">
      <c r="B96" s="1" t="str">
        <f>"Minority Int. in Earnings [LTM] ("&amp;$D$3&amp;"mm, "&amp;$D$4&amp;" rate)"</f>
        <v>Minority Int. in Earnings [LTM] (mm,  rate)</v>
      </c>
    </row>
    <row r="97" spans="2:2" ht="52.2" x14ac:dyDescent="0.3">
      <c r="B97" s="1" t="str">
        <f>"Basic EPS [LTM] ("&amp;$D$3&amp;"mm, "&amp;$D$4&amp;" rate)"</f>
        <v>Basic EPS [LTM] (mm,  rate)</v>
      </c>
    </row>
    <row r="98" spans="2:2" ht="42" x14ac:dyDescent="0.3">
      <c r="B98" s="1" t="s">
        <v>22</v>
      </c>
    </row>
    <row r="99" spans="2:2" ht="31.8" x14ac:dyDescent="0.3">
      <c r="B99" s="1" t="s">
        <v>23</v>
      </c>
    </row>
    <row r="100" spans="2:2" ht="31.8" x14ac:dyDescent="0.3">
      <c r="B100" s="1" t="s">
        <v>24</v>
      </c>
    </row>
    <row r="101" spans="2:2" ht="52.2" x14ac:dyDescent="0.3">
      <c r="B101" s="1" t="str">
        <f>"EBITA [LTM] ("&amp;$D$3&amp;"mm, "&amp;$D$4&amp;" rate)"</f>
        <v>EBITA [LTM] (mm,  rate)</v>
      </c>
    </row>
    <row r="102" spans="2:2" ht="52.2" x14ac:dyDescent="0.3">
      <c r="B102" s="1" t="str">
        <f>"EBITDAR [LTM] ("&amp;$D$3&amp;"mm, "&amp;$D$4&amp;" rate)"</f>
        <v>EBITDAR [LTM] (mm,  rate)</v>
      </c>
    </row>
    <row r="103" spans="2:2" ht="62.4" x14ac:dyDescent="0.3">
      <c r="B103" s="1" t="str">
        <f>"EBITDA - CAPEX [LTM] ("&amp;$D$3&amp;"mm, "&amp;$D$4&amp;" rate)"</f>
        <v>EBITDA - CAPEX [LTM] (mm,  rate)</v>
      </c>
    </row>
    <row r="104" spans="2:2" ht="31.8" x14ac:dyDescent="0.3">
      <c r="B104" s="1" t="s">
        <v>25</v>
      </c>
    </row>
    <row r="105" spans="2:2" ht="82.8" x14ac:dyDescent="0.3">
      <c r="B105" s="1" t="str">
        <f>"As-Reported Total Revenue [LTM] ("&amp;$D$3&amp;", "&amp;$D$4&amp;" rate)"</f>
        <v>As-Reported Total Revenue [LTM] (,  rate)</v>
      </c>
    </row>
    <row r="106" spans="2:2" ht="62.4" x14ac:dyDescent="0.3">
      <c r="B106" s="1" t="str">
        <f>"Advertising Expense [LTM] ("&amp;$D$3&amp;"mm, "&amp;$D$4&amp;" rate)"</f>
        <v>Advertising Expense [LTM] (mm,  rate)</v>
      </c>
    </row>
    <row r="107" spans="2:2" ht="62.4" x14ac:dyDescent="0.3">
      <c r="B107" s="1" t="str">
        <f>"Marketing Expense [LTM] ("&amp;$D$3&amp;"mm, "&amp;$D$4&amp;" rate)"</f>
        <v>Marketing Expense [LTM] (mm,  rate)</v>
      </c>
    </row>
    <row r="108" spans="2:2" ht="72.599999999999994" x14ac:dyDescent="0.3">
      <c r="B108" s="1" t="str">
        <f>"Selling and Marketing Expense [LTM] ("&amp;$D$3&amp;"mm, "&amp;$D$4&amp;" rate)"</f>
        <v>Selling and Marketing Expense [LTM] (mm,  rate)</v>
      </c>
    </row>
    <row r="109" spans="2:2" ht="93" x14ac:dyDescent="0.3">
      <c r="B109" s="1" t="str">
        <f>"General and Administrative Expense [LTM] ("&amp;$D$3&amp;"mm, "&amp;$D$4&amp;" rate)"</f>
        <v>General and Administrative Expense [LTM] (mm,  rate)</v>
      </c>
    </row>
    <row r="110" spans="2:2" ht="52.2" x14ac:dyDescent="0.3">
      <c r="B110" s="1" t="str">
        <f>"R&amp;D Exp. [LTM] ("&amp;$D$3&amp;"mm, "&amp;$D$4&amp;" rate)"</f>
        <v>R&amp;D Exp. [LTM] (mm,  rate)</v>
      </c>
    </row>
    <row r="111" spans="2:2" ht="62.4" x14ac:dyDescent="0.3">
      <c r="B111" s="1" t="str">
        <f>"Diluted Net Income [LTM] ("&amp;$D$3&amp;"mm, "&amp;$D$4&amp;" rate)"</f>
        <v>Diluted Net Income [LTM] (mm,  rate)</v>
      </c>
    </row>
    <row r="112" spans="2:2" ht="82.8" x14ac:dyDescent="0.3">
      <c r="B112" s="1" t="str">
        <f>"Imputed Oper. Lease Interest Exp. [LTM] ("&amp;$D$3&amp;"mm, "&amp;$D$4&amp;" rate)"</f>
        <v>Imputed Oper. Lease Interest Exp. [LTM] (mm,  rate)</v>
      </c>
    </row>
    <row r="113" spans="2:2" ht="82.8" x14ac:dyDescent="0.3">
      <c r="B113" s="1" t="str">
        <f>"Imputed Oper. Lease Depreciation [LTM] ("&amp;$D$3&amp;"mm, "&amp;$D$4&amp;" rate)"</f>
        <v>Imputed Oper. Lease Depreciation [LTM] (mm,  rate)</v>
      </c>
    </row>
    <row r="114" spans="2:2" ht="72.599999999999994" x14ac:dyDescent="0.3">
      <c r="B114" s="1" t="str">
        <f>"Stock-Based Compensation [LTM] ("&amp;$D$3&amp;"mm, "&amp;$D$4&amp;" rate)"</f>
        <v>Stock-Based Compensation [LTM] (mm,  rate)</v>
      </c>
    </row>
    <row r="115" spans="2:2" ht="82.8" x14ac:dyDescent="0.3">
      <c r="B115" s="1" t="str">
        <f>"Stock-Based Comp., G&amp;A Exp. [LTM] ("&amp;$D$3&amp;"mm, "&amp;$D$4&amp;" rate)"</f>
        <v>Stock-Based Comp., G&amp;A Exp. [LTM] (mm,  rate)</v>
      </c>
    </row>
    <row r="116" spans="2:2" ht="82.8" x14ac:dyDescent="0.3">
      <c r="B116" s="1" t="str">
        <f>"Stock-Based Comp., R&amp;D Exp. [LTM] ("&amp;$D$3&amp;"mm, "&amp;$D$4&amp;" rate)"</f>
        <v>Stock-Based Comp., R&amp;D Exp. [LTM] (mm,  rate)</v>
      </c>
    </row>
    <row r="117" spans="2:2" ht="82.8" x14ac:dyDescent="0.3">
      <c r="B117" s="1" t="str">
        <f>"Stock-Based Comp., S&amp;M Exp. [LTM] ("&amp;$D$3&amp;"mm, "&amp;$D$4&amp;" rate)"</f>
        <v>Stock-Based Comp., S&amp;M Exp. [LTM] (mm,  rate)</v>
      </c>
    </row>
    <row r="118" spans="2:2" ht="72.599999999999994" x14ac:dyDescent="0.3">
      <c r="B118" s="1" t="str">
        <f>"Stock-Based Comp., Total [LTM] ("&amp;$D$3&amp;"mm, "&amp;$D$4&amp;" rate)"</f>
        <v>Stock-Based Comp., Total [LTM] (mm,  rate)</v>
      </c>
    </row>
    <row r="119" spans="2:2" ht="82.8" x14ac:dyDescent="0.3">
      <c r="B119" s="1" t="str">
        <f>"Stock-Based Comp., SG&amp;A Exp. [LTM] ("&amp;$D$3&amp;"mm, "&amp;$D$4&amp;" rate)"</f>
        <v>Stock-Based Comp., SG&amp;A Exp. [LTM] (mm,  rate)</v>
      </c>
    </row>
    <row r="120" spans="2:2" ht="62.4" x14ac:dyDescent="0.3">
      <c r="B120" s="1" t="str">
        <f>"Distributable Cash [LTM] ("&amp;$D$3&amp;"mm, "&amp;$D$4&amp;" rate)"</f>
        <v>Distributable Cash [LTM] (mm,  rate)</v>
      </c>
    </row>
    <row r="121" spans="2:2" ht="62.4" x14ac:dyDescent="0.3">
      <c r="B121" s="1" t="str">
        <f>"Debt Issuance Costs [LTM] ("&amp;$D$3&amp;"mm, "&amp;$D$4&amp;" rate)"</f>
        <v>Debt Issuance Costs [LTM] (mm,  rate)</v>
      </c>
    </row>
    <row r="122" spans="2:2" ht="72.599999999999994" x14ac:dyDescent="0.3">
      <c r="B122" s="1" t="str">
        <f>"Short Term Investments [Latest Annual] ("&amp;$D$3&amp;"mm, "&amp;$D$4&amp;" rate)"</f>
        <v>Short Term Investments [Latest Annual] (mm,  rate)</v>
      </c>
    </row>
    <row r="123" spans="2:2" ht="72.599999999999994" x14ac:dyDescent="0.3">
      <c r="B123" s="1" t="str">
        <f>"Accounts Receivable [Latest Annual] ("&amp;$D$3&amp;"mm, "&amp;$D$4&amp;" rate)"</f>
        <v>Accounts Receivable [Latest Annual] (mm,  rate)</v>
      </c>
    </row>
    <row r="124" spans="2:2" ht="72.599999999999994" x14ac:dyDescent="0.3">
      <c r="B124" s="1" t="str">
        <f>"Other Receivables [Latest Annual] ("&amp;$D$3&amp;"mm, "&amp;$D$4&amp;" rate)"</f>
        <v>Other Receivables [Latest Annual] (mm,  rate)</v>
      </c>
    </row>
    <row r="125" spans="2:2" ht="72.599999999999994" x14ac:dyDescent="0.3">
      <c r="B125" s="1" t="str">
        <f>"Notes Receivable [Latest Annual] ("&amp;$D$3&amp;"mm, "&amp;$D$4&amp;" rate)"</f>
        <v>Notes Receivable [Latest Annual] (mm,  rate)</v>
      </c>
    </row>
    <row r="126" spans="2:2" ht="72.599999999999994" x14ac:dyDescent="0.3">
      <c r="B126" s="1" t="str">
        <f>"Total Receivables [Latest Annual] ("&amp;$D$3&amp;"mm, "&amp;$D$4&amp;" rate)"</f>
        <v>Total Receivables [Latest Annual] (mm,  rate)</v>
      </c>
    </row>
    <row r="127" spans="2:2" ht="72.599999999999994" x14ac:dyDescent="0.3">
      <c r="B127" s="1" t="str">
        <f>"Prepaid Exp. [Latest Annual] ("&amp;$D$3&amp;"mm, "&amp;$D$4&amp;" rate)"</f>
        <v>Prepaid Exp. [Latest Annual] (mm,  rate)</v>
      </c>
    </row>
    <row r="128" spans="2:2" ht="93" x14ac:dyDescent="0.3">
      <c r="B128" s="1" t="str">
        <f>"Finance Div. Loans and Leases, LT [Latest Annual] ("&amp;$D$3&amp;", "&amp;$D$4&amp;" rate)"</f>
        <v>Finance Div. Loans and Leases, LT [Latest Annual] (,  rate)</v>
      </c>
    </row>
    <row r="129" spans="2:2" ht="93" x14ac:dyDescent="0.3">
      <c r="B129" s="1" t="str">
        <f>"Finance Div. Other Curr. Assets [Latest Annual] ("&amp;$D$3&amp;"mm, "&amp;$D$4&amp;" rate)"</f>
        <v>Finance Div. Other Curr. Assets [Latest Annual] (mm,  rate)</v>
      </c>
    </row>
    <row r="130" spans="2:2" ht="82.8" x14ac:dyDescent="0.3">
      <c r="B130" s="1" t="str">
        <f>"Other Current Assets [Latest Annual] ("&amp;$D$3&amp;"mm, "&amp;$D$4&amp;" rate)"</f>
        <v>Other Current Assets [Latest Annual] (mm,  rate)</v>
      </c>
    </row>
    <row r="131" spans="2:2" ht="93" x14ac:dyDescent="0.3">
      <c r="B131" s="1" t="str">
        <f>"Other Current Assets, Total [Latest Annual] ("&amp;$D$3&amp;"mm, "&amp;$D$4&amp;" rate)"</f>
        <v>Other Current Assets, Total [Latest Annual] (mm,  rate)</v>
      </c>
    </row>
    <row r="132" spans="2:2" ht="72.599999999999994" x14ac:dyDescent="0.3">
      <c r="B132" s="1" t="str">
        <f>"Loans Held For Sale [Latest Annual] ("&amp;$D$3&amp;", "&amp;$D$4&amp;" rate)"</f>
        <v>Loans Held For Sale [Latest Annual] (,  rate)</v>
      </c>
    </row>
    <row r="133" spans="2:2" ht="72.599999999999994" x14ac:dyDescent="0.3">
      <c r="B133" s="1" t="str">
        <f>"Restricted Cash [Latest Annual] ("&amp;$D$3&amp;"mm, "&amp;$D$4&amp;" rate)"</f>
        <v>Restricted Cash [Latest Annual] (mm,  rate)</v>
      </c>
    </row>
    <row r="134" spans="2:2" ht="93" x14ac:dyDescent="0.3">
      <c r="B134" s="1" t="str">
        <f>"Gross Property, Plant &amp; Equipment [Latest Annual] ("&amp;$D$3&amp;"mm, "&amp;$D$4&amp;" rate)"</f>
        <v>Gross Property, Plant &amp; Equipment [Latest Annual] (mm,  rate)</v>
      </c>
    </row>
    <row r="135" spans="2:2" ht="82.8" x14ac:dyDescent="0.3">
      <c r="B135" s="1" t="str">
        <f>"Accumulated Depreciation [Latest Annual] ("&amp;$D$3&amp;"mm, "&amp;$D$4&amp;" rate)"</f>
        <v>Accumulated Depreciation [Latest Annual] (mm,  rate)</v>
      </c>
    </row>
    <row r="136" spans="2:2" ht="72.599999999999994" x14ac:dyDescent="0.3">
      <c r="B136" s="1" t="str">
        <f>"Long-term Investments [Latest Annual] ("&amp;$D$3&amp;"mm, "&amp;$D$4&amp;" rate)"</f>
        <v>Long-term Investments [Latest Annual] (mm,  rate)</v>
      </c>
    </row>
    <row r="137" spans="2:2" ht="62.4" x14ac:dyDescent="0.3">
      <c r="B137" s="1" t="str">
        <f>"Goodwill [Latest Annual] ("&amp;$D$3&amp;"mm, "&amp;$D$4&amp;" rate)"</f>
        <v>Goodwill [Latest Annual] (mm,  rate)</v>
      </c>
    </row>
    <row r="138" spans="2:2" ht="72.599999999999994" x14ac:dyDescent="0.3">
      <c r="B138" s="1" t="str">
        <f>"Other Intangibles [Latest Annual] ("&amp;$D$3&amp;"mm, "&amp;$D$4&amp;" rate)"</f>
        <v>Other Intangibles [Latest Annual] (mm,  rate)</v>
      </c>
    </row>
    <row r="139" spans="2:2" ht="82.8" x14ac:dyDescent="0.3">
      <c r="B139" s="1" t="str">
        <f>"Finance Div. Other LT Assets [Latest Annual] ("&amp;$D$3&amp;"mm, "&amp;$D$4&amp;" rate)"</f>
        <v>Finance Div. Other LT Assets [Latest Annual] (mm,  rate)</v>
      </c>
    </row>
    <row r="140" spans="2:2" ht="82.8" x14ac:dyDescent="0.3">
      <c r="B140" s="1" t="str">
        <f>"Other Assets, Total [Latest Annual] ("&amp;$D$3&amp;"mm, "&amp;$D$4&amp;" rate)"</f>
        <v>Other Assets, Total [Latest Annual] (mm,  rate)</v>
      </c>
    </row>
    <row r="141" spans="2:2" ht="72.599999999999994" x14ac:dyDescent="0.3">
      <c r="B141" s="1" t="str">
        <f>"Accounts Payable [Latest Annual] ("&amp;$D$3&amp;"mm, "&amp;$D$4&amp;" rate)"</f>
        <v>Accounts Payable [Latest Annual] (mm,  rate)</v>
      </c>
    </row>
    <row r="142" spans="2:2" ht="72.599999999999994" x14ac:dyDescent="0.3">
      <c r="B142" s="1" t="str">
        <f>"Accrued Exp. [Latest Annual] ("&amp;$D$3&amp;"mm, "&amp;$D$4&amp;" rate)"</f>
        <v>Accrued Exp. [Latest Annual] (mm,  rate)</v>
      </c>
    </row>
    <row r="143" spans="2:2" ht="72.599999999999994" x14ac:dyDescent="0.3">
      <c r="B143" s="1" t="str">
        <f>"Long-Term Debt [Latest Annual] ("&amp;$D$3&amp;"mm, "&amp;$D$4&amp;" rate)"</f>
        <v>Long-Term Debt [Latest Annual] (mm,  rate)</v>
      </c>
    </row>
    <row r="144" spans="2:2" ht="72.599999999999994" x14ac:dyDescent="0.3">
      <c r="B144" s="1" t="str">
        <f>"Capital Leases [Latest Annual] ("&amp;$D$3&amp;"mm, "&amp;$D$4&amp;" rate)"</f>
        <v>Capital Leases [Latest Annual] (mm,  rate)</v>
      </c>
    </row>
    <row r="145" spans="2:2" ht="72.599999999999994" x14ac:dyDescent="0.3">
      <c r="B145" s="1" t="str">
        <f>"Common Stock [Latest Annual] ("&amp;$D$3&amp;"mm, "&amp;$D$4&amp;" rate)"</f>
        <v>Common Stock [Latest Annual] (mm,  rate)</v>
      </c>
    </row>
    <row r="146" spans="2:2" ht="82.8" x14ac:dyDescent="0.3">
      <c r="B146" s="1" t="str">
        <f>"Common Stock &amp; APIC [Latest Annual] ("&amp;$D$3&amp;"mm, "&amp;$D$4&amp;" rate)"</f>
        <v>Common Stock &amp; APIC [Latest Annual] (mm,  rate)</v>
      </c>
    </row>
    <row r="147" spans="2:2" ht="82.8" x14ac:dyDescent="0.3">
      <c r="B147" s="1" t="str">
        <f>"Additional Paid In Capital [Latest Annual] ("&amp;$D$3&amp;"mm, "&amp;$D$4&amp;" rate)"</f>
        <v>Additional Paid In Capital [Latest Annual] (mm,  rate)</v>
      </c>
    </row>
    <row r="148" spans="2:2" ht="72.599999999999994" x14ac:dyDescent="0.3">
      <c r="B148" s="1" t="str">
        <f>"Retained Earnings [Latest Annual] ("&amp;$D$3&amp;"mm, "&amp;$D$4&amp;" rate)"</f>
        <v>Retained Earnings [Latest Annual] (mm,  rate)</v>
      </c>
    </row>
    <row r="149" spans="2:2" ht="72.599999999999994" x14ac:dyDescent="0.3">
      <c r="B149" s="1" t="str">
        <f>"Treasury Stock [Latest Annual] ("&amp;$D$3&amp;"mm, "&amp;$D$4&amp;" rate)"</f>
        <v>Treasury Stock [Latest Annual] (mm,  rate)</v>
      </c>
    </row>
    <row r="150" spans="2:2" ht="72.599999999999994" x14ac:dyDescent="0.3">
      <c r="B150" s="1" t="s">
        <v>26</v>
      </c>
    </row>
    <row r="151" spans="2:2" ht="72.599999999999994" x14ac:dyDescent="0.3">
      <c r="B151" s="1" t="str">
        <f>"Tangible Book Value [Latest Annual] ("&amp;$D$3&amp;"mm, "&amp;$D$4&amp;" rate)"</f>
        <v>Tangible Book Value [Latest Annual] (mm,  rate)</v>
      </c>
    </row>
    <row r="152" spans="2:2" ht="72.599999999999994" x14ac:dyDescent="0.3">
      <c r="B152" s="1" t="str">
        <f>"Total Intangibles [Latest Annual] ("&amp;$D$3&amp;"mm, "&amp;$D$4&amp;" rate)"</f>
        <v>Total Intangibles [Latest Annual] (mm,  rate)</v>
      </c>
    </row>
    <row r="153" spans="2:2" ht="72.599999999999994" x14ac:dyDescent="0.3">
      <c r="B153" s="1" t="str">
        <f>"Total Capital [Latest Annual] ("&amp;$D$3&amp;"mm, "&amp;$D$4&amp;" rate)"</f>
        <v>Total Capital [Latest Annual] (mm,  rate)</v>
      </c>
    </row>
    <row r="154" spans="2:2" ht="72.599999999999994" x14ac:dyDescent="0.3">
      <c r="B154" s="1" t="str">
        <f>"Working Capital [Latest Quarter] ("&amp;$D$3&amp;"mm, "&amp;$D$4&amp;" rate)"</f>
        <v>Working Capital [Latest Quarter] (mm,  rate)</v>
      </c>
    </row>
    <row r="155" spans="2:2" ht="72.599999999999994" x14ac:dyDescent="0.3">
      <c r="B155" s="1" t="str">
        <f>"LIFO Reserve [Latest Annual] ("&amp;$D$3&amp;"mm, "&amp;$D$4&amp;" rate)"</f>
        <v>LIFO Reserve [Latest Annual] (mm,  rate)</v>
      </c>
    </row>
    <row r="156" spans="2:2" ht="42" x14ac:dyDescent="0.3">
      <c r="B156" s="1" t="s">
        <v>27</v>
      </c>
    </row>
    <row r="157" spans="2:2" ht="82.8" x14ac:dyDescent="0.3">
      <c r="B157" s="1" t="str">
        <f>"Equity Method Investments [Latest Annual] ("&amp;$D$3&amp;"mm, "&amp;$D$4&amp;" rate)"</f>
        <v>Equity Method Investments [Latest Annual] (mm,  rate)</v>
      </c>
    </row>
    <row r="158" spans="2:2" ht="42" x14ac:dyDescent="0.3">
      <c r="B158" s="1" t="s">
        <v>28</v>
      </c>
    </row>
    <row r="159" spans="2:2" ht="82.8" x14ac:dyDescent="0.3">
      <c r="B159" s="1" t="str">
        <f>"Work in Progress Inventory [Latest Annual] ("&amp;$D$3&amp;", "&amp;$D$4&amp;" rate)"</f>
        <v>Work in Progress Inventory [Latest Annual] (,  rate)</v>
      </c>
    </row>
    <row r="160" spans="2:2" ht="82.8" x14ac:dyDescent="0.3">
      <c r="B160" s="1" t="str">
        <f>"Construction in Progress [Latest Annual] ("&amp;$D$3&amp;"mm, "&amp;$D$4&amp;" rate)"</f>
        <v>Construction in Progress [Latest Annual] (mm,  rate)</v>
      </c>
    </row>
    <row r="161" spans="2:2" ht="93" x14ac:dyDescent="0.3">
      <c r="B161" s="1" t="str">
        <f>"Debt Equivalent Oper. Leases [Latest Annual] ("&amp;$D$3&amp;"mm, "&amp;$D$4&amp;" rate)"</f>
        <v>Debt Equivalent Oper. Leases [Latest Annual] (mm,  rate)</v>
      </c>
    </row>
    <row r="162" spans="2:2" ht="42" x14ac:dyDescent="0.3">
      <c r="B162" s="1" t="s">
        <v>29</v>
      </c>
    </row>
    <row r="163" spans="2:2" ht="62.4" x14ac:dyDescent="0.3">
      <c r="B163" s="1" t="str">
        <f>"Depreciation &amp; Amort., Total [LTM] ("&amp;$D$3&amp;"mm, "&amp;$D$4&amp;" rate)"</f>
        <v>Depreciation &amp; Amort., Total [LTM] (mm,  rate)</v>
      </c>
    </row>
    <row r="164" spans="2:2" ht="62.4" x14ac:dyDescent="0.3">
      <c r="B164" s="1" t="str">
        <f>"Other Non-Cash Items, Total [LTM] ("&amp;$D$3&amp;"mm, "&amp;$D$4&amp;" rate)"</f>
        <v>Other Non-Cash Items, Total [LTM] (mm,  rate)</v>
      </c>
    </row>
    <row r="165" spans="2:2" ht="72.599999999999994" x14ac:dyDescent="0.3">
      <c r="B165" s="1" t="str">
        <f>"(Gain) Loss On Sale Of Invest. [LTM] ("&amp;$D$3&amp;"mm, "&amp;$D$4&amp;" rate)"</f>
        <v>(Gain) Loss On Sale Of Invest. [LTM] (mm,  rate)</v>
      </c>
    </row>
    <row r="166" spans="2:2" ht="82.8" x14ac:dyDescent="0.3">
      <c r="B166" s="1" t="str">
        <f>"Net Cash From Discontinued Ops. [LTM] ("&amp;$D$3&amp;"mm, "&amp;$D$4&amp;" rate)"</f>
        <v>Net Cash From Discontinued Ops. [LTM] (mm,  rate)</v>
      </c>
    </row>
    <row r="167" spans="2:2" ht="72.599999999999994" x14ac:dyDescent="0.3">
      <c r="B167" s="1" t="str">
        <f>"Other Operating Activities [LTM] ("&amp;$D$3&amp;"mm, "&amp;$D$4&amp;" rate)"</f>
        <v>Other Operating Activities [LTM] (mm,  rate)</v>
      </c>
    </row>
    <row r="168" spans="2:2" ht="62.4" x14ac:dyDescent="0.3">
      <c r="B168" s="1" t="str">
        <f>"Total Debt Issued [LTM] ("&amp;$D$3&amp;"mm, "&amp;$D$4&amp;" rate)"</f>
        <v>Total Debt Issued [LTM] (mm,  rate)</v>
      </c>
    </row>
    <row r="169" spans="2:2" ht="62.4" x14ac:dyDescent="0.3">
      <c r="B169" s="1" t="str">
        <f>"Total Debt Repaid [LTM] ("&amp;$D$3&amp;"mm, "&amp;$D$4&amp;" rate)"</f>
        <v>Total Debt Repaid [LTM] (mm,  rate)</v>
      </c>
    </row>
    <row r="170" spans="2:2" ht="62.4" x14ac:dyDescent="0.3">
      <c r="B170" s="1" t="str">
        <f>"Net Change in Cash [LTM] ("&amp;$D$3&amp;"mm, "&amp;$D$4&amp;" rate)"</f>
        <v>Net Change in Cash [LTM] (mm,  rate)</v>
      </c>
    </row>
    <row r="171" spans="2:2" ht="62.4" x14ac:dyDescent="0.3">
      <c r="B171" s="1" t="str">
        <f>"Maintenance CAPEX [LTM] ("&amp;$D$3&amp;"mm, "&amp;$D$4&amp;" rate)"</f>
        <v>Maintenance CAPEX [LTM] (mm,  rate)</v>
      </c>
    </row>
    <row r="172" spans="2:2" ht="72.599999999999994" x14ac:dyDescent="0.3">
      <c r="B172" s="1" t="str">
        <f>"Total Term Loans [Latest Quarter] ("&amp;$D$3&amp;"mm, "&amp;$D$4&amp;" rate)"</f>
        <v>Total Term Loans [Latest Quarter] (mm,  rate)</v>
      </c>
    </row>
    <row r="173" spans="2:2" ht="82.8" x14ac:dyDescent="0.3">
      <c r="B173" s="1" t="str">
        <f>"Total Capital Leases [Latest Quarter] ("&amp;$D$3&amp;"mm, "&amp;$D$4&amp;" rate)"</f>
        <v>Total Capital Leases [Latest Quarter] (mm,  rate)</v>
      </c>
    </row>
    <row r="174" spans="2:2" ht="72.599999999999994" x14ac:dyDescent="0.3">
      <c r="B174" s="1" t="str">
        <f>"Total Trust Preferred [Latest Quarter] ("&amp;$D$3&amp;"mm, "&amp;$D$4&amp;" rate)"</f>
        <v>Total Trust Preferred [Latest Quarter] (mm,  rate)</v>
      </c>
    </row>
    <row r="175" spans="2:2" ht="72.599999999999994" x14ac:dyDescent="0.3">
      <c r="B175" s="1" t="str">
        <f>"Total Principal Due [Latest Quarter] ("&amp;$D$3&amp;"mm, "&amp;$D$4&amp;" rate)"</f>
        <v>Total Principal Due [Latest Quarter] (mm,  rate)</v>
      </c>
    </row>
    <row r="176" spans="2:2" ht="72.599999999999994" x14ac:dyDescent="0.3">
      <c r="B176" s="1" t="str">
        <f>"Total Bank Debt [Latest Quarter] ("&amp;$D$3&amp;"mm, "&amp;$D$4&amp;" rate)"</f>
        <v>Total Bank Debt [Latest Quarter] (mm,  rate)</v>
      </c>
    </row>
    <row r="177" spans="2:2" ht="82.8" x14ac:dyDescent="0.3">
      <c r="B177" s="1" t="str">
        <f>"Underwriting Profit (Loss) [Latest Annual] ("&amp;$D$3&amp;"mm, "&amp;$D$4&amp;" rate)"</f>
        <v>Underwriting Profit (Loss) [Latest Annual] (mm,  rate)</v>
      </c>
    </row>
    <row r="178" spans="2:2" ht="82.8" x14ac:dyDescent="0.3">
      <c r="B178" s="1" t="str">
        <f>"Casino Operations Gross Profit [Latest Quarter] ("&amp;$D$3&amp;", "&amp;$D$4&amp;" rate)"</f>
        <v>Casino Operations Gross Profit [Latest Quarter] (,  rate)</v>
      </c>
    </row>
    <row r="179" spans="2:2" ht="82.8" x14ac:dyDescent="0.3">
      <c r="B179" s="1" t="str">
        <f>"Casino Operations Gross Profit [Latest Annual] ("&amp;$D$3&amp;", "&amp;$D$4&amp;" rate)"</f>
        <v>Casino Operations Gross Profit [Latest Annual] (,  rate)</v>
      </c>
    </row>
    <row r="180" spans="2:2" ht="62.4" x14ac:dyDescent="0.3">
      <c r="B180" s="1" t="str">
        <f>"Depreciation &amp; Amort. [LTM] ("&amp;$D$3&amp;"mm, "&amp;$D$4&amp;" rate)"</f>
        <v>Depreciation &amp; Amort. [LTM] (mm,  rate)</v>
      </c>
    </row>
    <row r="181" spans="2:2" ht="82.8" x14ac:dyDescent="0.3">
      <c r="B181" s="1" t="str">
        <f>"Free Cash Flow Actual - Capital IQ [FY] ("&amp;$D$3&amp;"mm, "&amp;$D$4&amp;" rate)"</f>
        <v>Free Cash Flow Actual - Capital IQ [FY] (mm,  rate)</v>
      </c>
    </row>
    <row r="182" spans="2:2" ht="93" x14ac:dyDescent="0.3">
      <c r="B182" s="1" t="str">
        <f>"Geographic Segments (Screen by Sum): Revenue ("&amp;$D$3&amp;"mm, "&amp;$D$4&amp;" rate) [LTM]"</f>
        <v>Geographic Segments (Screen by Sum): Revenue (mm,  rate) [LTM]</v>
      </c>
    </row>
    <row r="183" spans="2:2" ht="103.2" x14ac:dyDescent="0.3">
      <c r="B183" s="1" t="str">
        <f>"Geographic Segments (Screen by Sum) (Details): Revenue ("&amp;$D$3&amp;"mm, "&amp;$D$4&amp;" rate) [LTM]"</f>
        <v>Geographic Segments (Screen by Sum) (Details): Revenue (mm,  rate) [LTM]</v>
      </c>
    </row>
    <row r="184" spans="2:2" ht="62.4" x14ac:dyDescent="0.3">
      <c r="B184" s="1" t="s">
        <v>30</v>
      </c>
    </row>
    <row r="185" spans="2:2" ht="82.8" x14ac:dyDescent="0.3">
      <c r="B185" s="1" t="s">
        <v>31</v>
      </c>
    </row>
    <row r="186" spans="2:2" ht="72.599999999999994" x14ac:dyDescent="0.3">
      <c r="B186" s="1" t="s">
        <v>32</v>
      </c>
    </row>
    <row r="187" spans="2:2" ht="52.2" x14ac:dyDescent="0.3">
      <c r="B187" s="1" t="str">
        <f>"DPS - Capital IQ [FY] ("&amp;$D$3&amp;", "&amp;$D$4&amp;" rate)"</f>
        <v>DPS - Capital IQ [FY] (,  rate)</v>
      </c>
    </row>
    <row r="188" spans="2:2" ht="42" x14ac:dyDescent="0.3">
      <c r="B188" s="1" t="str">
        <f>"FFO [LTM] ("&amp;$D$3&amp;", "&amp;$D$4&amp;" rate)"</f>
        <v>FFO [LTM] (,  rate)</v>
      </c>
    </row>
    <row r="189" spans="2:2" ht="31.8" x14ac:dyDescent="0.3">
      <c r="B189" s="1" t="s">
        <v>33</v>
      </c>
    </row>
    <row r="190" spans="2:2" ht="72.599999999999994" x14ac:dyDescent="0.3">
      <c r="B190" s="1" t="str">
        <f>"Adjusted FFO (REIT) - Capital IQ [NTM] ("&amp;$D$3&amp;", "&amp;$D$4&amp;" rate)"</f>
        <v>Adjusted FFO (REIT) - Capital IQ [NTM] (,  rate)</v>
      </c>
    </row>
    <row r="191" spans="2:2" ht="82.8" x14ac:dyDescent="0.3">
      <c r="B191" s="1" t="str">
        <f>"Net Income (Excl. Excep) - Capital IQ [FY] ("&amp;$D$3&amp;"mm, "&amp;$D$4&amp;" rate)"</f>
        <v>Net Income (Excl. Excep) - Capital IQ [FY] (mm,  rate)</v>
      </c>
    </row>
    <row r="192" spans="2:2" ht="62.4" x14ac:dyDescent="0.3">
      <c r="B192" s="1" t="e">
        <f>"Total Same Store Sales ["&amp;LEFT(#REF!,2)&amp;"   "&amp;RIGHT(#REF!,4)&amp;"] ("&amp;$D$3&amp;"mm, "&amp;$D$4&amp;" rate)"</f>
        <v>#REF!</v>
      </c>
    </row>
    <row r="193" spans="2:2" ht="72.599999999999994" x14ac:dyDescent="0.3">
      <c r="B193" s="1" t="str">
        <f>"Total Same Store Sales [Latest Quarter] ("&amp;$D$3&amp;"mm, "&amp;$D$4&amp;" rate)"</f>
        <v>Total Same Store Sales [Latest Quarter] (mm,  rate)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Prakas. Shukla</dc:creator>
  <cp:lastModifiedBy>Chandra Prakas. Shukla</cp:lastModifiedBy>
  <dcterms:created xsi:type="dcterms:W3CDTF">2017-04-21T10:42:07Z</dcterms:created>
  <dcterms:modified xsi:type="dcterms:W3CDTF">2017-04-21T15:58:59Z</dcterms:modified>
</cp:coreProperties>
</file>