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omillas.sharepoint.com/sites/ISCFormulaStudent2022-Departmentdirectors/Documentos compartidos/00 · Department Directors/IFS08/MODEL_IFS_08/DYNAMIC_MOD/Cooling/Brake Cooling Ducts/"/>
    </mc:Choice>
  </mc:AlternateContent>
  <xr:revisionPtr revIDLastSave="29" documentId="13_ncr:1_{08EFE2C3-94A1-5A4C-BD09-AC22AB66F7F2}" xr6:coauthVersionLast="47" xr6:coauthVersionMax="47" xr10:uidLastSave="{151F8E5B-3462-0F4F-ACB1-C46EF9C98B44}"/>
  <bookViews>
    <workbookView xWindow="0" yWindow="740" windowWidth="29400" windowHeight="18380" activeTab="1" xr2:uid="{30752518-E038-914D-8D22-BEFB3365DB65}"/>
  </bookViews>
  <sheets>
    <sheet name="Brakes" sheetId="2" r:id="rId1"/>
    <sheet name="Data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D11" i="2"/>
  <c r="C11" i="2"/>
  <c r="D9" i="2" l="1"/>
  <c r="C9" i="2"/>
  <c r="C23" i="2" l="1"/>
  <c r="C98" i="2" l="1"/>
  <c r="E99" i="2" s="1"/>
  <c r="C97" i="2"/>
  <c r="C99" i="2" s="1"/>
  <c r="C96" i="2"/>
  <c r="F96" i="2" s="1"/>
  <c r="C95" i="2"/>
  <c r="F95" i="2" s="1"/>
  <c r="C58" i="2"/>
  <c r="C66" i="2" s="1"/>
  <c r="D31" i="2"/>
  <c r="D32" i="2" s="1"/>
  <c r="D33" i="2" s="1"/>
  <c r="D34" i="2" s="1"/>
  <c r="D35" i="2" s="1"/>
  <c r="C31" i="2"/>
  <c r="C24" i="2"/>
  <c r="C22" i="2"/>
  <c r="C21" i="2"/>
  <c r="C20" i="2"/>
  <c r="D16" i="2"/>
  <c r="C16" i="2"/>
  <c r="D13" i="2"/>
  <c r="C13" i="2"/>
  <c r="N12" i="1"/>
  <c r="N9" i="1"/>
  <c r="N8" i="1"/>
  <c r="R9" i="1" s="1"/>
  <c r="J10" i="1"/>
  <c r="J12" i="1"/>
  <c r="J16" i="1"/>
  <c r="C32" i="2" l="1"/>
  <c r="C33" i="2" s="1"/>
  <c r="C34" i="2" s="1"/>
  <c r="C35" i="2" s="1"/>
  <c r="C36" i="2" s="1"/>
  <c r="C37" i="2" s="1"/>
  <c r="B50" i="2"/>
  <c r="F50" i="2" s="1"/>
  <c r="B48" i="2"/>
  <c r="F48" i="2" s="1"/>
  <c r="E51" i="2"/>
  <c r="B53" i="2"/>
  <c r="B52" i="2"/>
  <c r="F52" i="2" s="1"/>
  <c r="E53" i="2"/>
  <c r="E43" i="2"/>
  <c r="B44" i="2"/>
  <c r="F44" i="2" s="1"/>
  <c r="E45" i="2"/>
  <c r="E52" i="2"/>
  <c r="E49" i="2"/>
  <c r="D36" i="2"/>
  <c r="D37" i="2" s="1"/>
  <c r="B46" i="2"/>
  <c r="F46" i="2" s="1"/>
  <c r="E47" i="2"/>
  <c r="C43" i="2"/>
  <c r="C45" i="2"/>
  <c r="C47" i="2"/>
  <c r="C49" i="2"/>
  <c r="C51" i="2"/>
  <c r="C53" i="2"/>
  <c r="C59" i="2"/>
  <c r="D43" i="2"/>
  <c r="D45" i="2"/>
  <c r="D47" i="2"/>
  <c r="D49" i="2"/>
  <c r="D51" i="2"/>
  <c r="D53" i="2"/>
  <c r="C44" i="2"/>
  <c r="C46" i="2"/>
  <c r="C48" i="2"/>
  <c r="C50" i="2"/>
  <c r="C52" i="2"/>
  <c r="D44" i="2"/>
  <c r="D46" i="2"/>
  <c r="D48" i="2"/>
  <c r="D50" i="2"/>
  <c r="D52" i="2"/>
  <c r="E44" i="2"/>
  <c r="E46" i="2"/>
  <c r="E48" i="2"/>
  <c r="E50" i="2"/>
  <c r="B43" i="2"/>
  <c r="F43" i="2" s="1"/>
  <c r="B45" i="2"/>
  <c r="F45" i="2" s="1"/>
  <c r="B47" i="2"/>
  <c r="F47" i="2" s="1"/>
  <c r="B49" i="2"/>
  <c r="F49" i="2" s="1"/>
  <c r="B51" i="2"/>
  <c r="F51" i="2" s="1"/>
  <c r="J14" i="1"/>
  <c r="J18" i="1" s="1"/>
  <c r="N7" i="1" s="1"/>
  <c r="N14" i="1" s="1"/>
  <c r="C38" i="2" l="1"/>
  <c r="C39" i="2" s="1"/>
  <c r="C60" i="2"/>
  <c r="C62" i="2" s="1"/>
  <c r="C65" i="2" s="1"/>
  <c r="D60" i="2"/>
  <c r="D62" i="2" s="1"/>
  <c r="D6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Medina</author>
  </authors>
  <commentList>
    <comment ref="C15" authorId="0" shapeId="0" xr:uid="{DC91FBCE-55D5-E74E-A32E-8A6643330441}">
      <text>
        <r>
          <rPr>
            <b/>
            <sz val="10"/>
            <color rgb="FF000000"/>
            <rFont val="Tahoma"/>
            <family val="2"/>
          </rPr>
          <t>Miguel Angel Medina: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APRacing caliper piston dia. Update with actual spec.</t>
        </r>
      </text>
    </comment>
    <comment ref="D15" authorId="0" shapeId="0" xr:uid="{CA124EAC-A4E5-F242-989F-36655D95ACA4}">
      <text>
        <r>
          <rPr>
            <b/>
            <sz val="10"/>
            <color rgb="FF000000"/>
            <rFont val="Tahoma"/>
            <family val="2"/>
          </rPr>
          <t>Miguel Angel Medina: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APRacing caliper piston dia. Update with actual spec.</t>
        </r>
      </text>
    </comment>
    <comment ref="C17" authorId="0" shapeId="0" xr:uid="{B8817E34-CEFE-5E44-8688-E7997126997E}">
      <text>
        <r>
          <rPr>
            <b/>
            <sz val="10"/>
            <color rgb="FF000000"/>
            <rFont val="Tahoma"/>
            <family val="2"/>
          </rPr>
          <t>Miguel Angel Medina: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Typical sintered/semi-metallic pad: 0.35-0.50. Update with pad spec.</t>
        </r>
      </text>
    </comment>
    <comment ref="C29" authorId="0" shapeId="0" xr:uid="{5A398A16-9C40-0C48-AFD5-0BAFB88D5364}">
      <text>
        <r>
          <rPr>
            <b/>
            <sz val="10"/>
            <color rgb="FF000000"/>
            <rFont val="Tahoma"/>
            <family val="2"/>
          </rPr>
          <t>Miguel Angel Medina: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Pedal lever ratio. Typical FS: 4-6:1. Update with actual.</t>
        </r>
      </text>
    </comment>
    <comment ref="C30" authorId="0" shapeId="0" xr:uid="{256B8B19-CEC0-DA48-9228-B32B7CDC5420}">
      <text>
        <r>
          <rPr>
            <b/>
            <sz val="10"/>
            <color rgb="FF000000"/>
            <rFont val="Tahoma"/>
            <family val="2"/>
          </rPr>
          <t>Miguel Angel Medina: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Brake bias set by balance bar. Typical FS: 55-65% front. Adjustable.</t>
        </r>
      </text>
    </comment>
  </commentList>
</comments>
</file>

<file path=xl/sharedStrings.xml><?xml version="1.0" encoding="utf-8"?>
<sst xmlns="http://schemas.openxmlformats.org/spreadsheetml/2006/main" count="311" uniqueCount="236">
  <si>
    <t>D ext</t>
  </si>
  <si>
    <t>D int</t>
  </si>
  <si>
    <t>D agujeros</t>
  </si>
  <si>
    <t>mm</t>
  </si>
  <si>
    <t>mm^2</t>
  </si>
  <si>
    <t>nº agujeros</t>
  </si>
  <si>
    <t xml:space="preserve"> </t>
  </si>
  <si>
    <t>A agujeros</t>
  </si>
  <si>
    <t>A disco</t>
  </si>
  <si>
    <t>A disco plano</t>
  </si>
  <si>
    <t>A refrigeración disco</t>
  </si>
  <si>
    <t>A interior agujeros</t>
  </si>
  <si>
    <t>Espesor</t>
  </si>
  <si>
    <t>A brake pads</t>
  </si>
  <si>
    <t>W</t>
  </si>
  <si>
    <t>Qpunto</t>
  </si>
  <si>
    <t>h</t>
  </si>
  <si>
    <t>A</t>
  </si>
  <si>
    <t>Qpunto=h*A*deltaT</t>
  </si>
  <si>
    <t>deltaT</t>
  </si>
  <si>
    <t>Tini</t>
  </si>
  <si>
    <t>Tfin</t>
  </si>
  <si>
    <t>W/(m^2*K)</t>
  </si>
  <si>
    <t>m^2</t>
  </si>
  <si>
    <t>K</t>
  </si>
  <si>
    <t>ºC</t>
  </si>
  <si>
    <t>AISI 420</t>
  </si>
  <si>
    <t>C2G1</t>
  </si>
  <si>
    <t>Densidad</t>
  </si>
  <si>
    <t>kg/m^3</t>
  </si>
  <si>
    <t>Cp</t>
  </si>
  <si>
    <t>J/(kg*K)</t>
  </si>
  <si>
    <t>k</t>
  </si>
  <si>
    <t>W/(m*K)</t>
  </si>
  <si>
    <t>Limite T uso</t>
  </si>
  <si>
    <t xml:space="preserve">K </t>
  </si>
  <si>
    <t>*riesgo de fade por encima de 400ºC en el disco</t>
  </si>
  <si>
    <t>BRAKING SYSTEM DESIGN &amp; THERMAL ANALYSIS</t>
  </si>
  <si>
    <t>Ref: Milliken RCVD Ch.7; Limpert "Brake Design &amp; Safety" Ch.3-5; Carroll Smith "Engineer to Win" Ch.8; FS-Rules 2026 T6</t>
  </si>
  <si>
    <t>1. COMPONENT DATA &amp; VEHICLE PARAMETERS</t>
  </si>
  <si>
    <t>Parameter</t>
  </si>
  <si>
    <t>Symbol</t>
  </si>
  <si>
    <t>Front</t>
  </si>
  <si>
    <t>Rear</t>
  </si>
  <si>
    <t>Unit</t>
  </si>
  <si>
    <t>Source</t>
  </si>
  <si>
    <t>BRAKE COMPONENTS</t>
  </si>
  <si>
    <t>Rotor outer diameter</t>
  </si>
  <si>
    <t>D_rotor</t>
  </si>
  <si>
    <t>Floating Perforated Steel</t>
  </si>
  <si>
    <t>Rotor inner diameter</t>
  </si>
  <si>
    <t>d_rotor</t>
  </si>
  <si>
    <t>Est. Update with actual.</t>
  </si>
  <si>
    <t>Effective rotor radius</t>
  </si>
  <si>
    <t>r_eff</t>
  </si>
  <si>
    <t>Mean friction radius = (D_out+D_in)/4</t>
  </si>
  <si>
    <t>Rotor thickness</t>
  </si>
  <si>
    <t>t_rotor</t>
  </si>
  <si>
    <t>Typical FS: 3.5-5mm. Update w/ actual.</t>
  </si>
  <si>
    <t>Rotor mass (each)</t>
  </si>
  <si>
    <t>m_rotor</t>
  </si>
  <si>
    <t>kg</t>
  </si>
  <si>
    <t>Master cylinder bore</t>
  </si>
  <si>
    <t>d_MC</t>
  </si>
  <si>
    <t>APRacing front 15mm, rear 16.8mm</t>
  </si>
  <si>
    <t>MC piston area</t>
  </si>
  <si>
    <t>A_MC</t>
  </si>
  <si>
    <t>mm2</t>
  </si>
  <si>
    <t>Caliper pistons (total)</t>
  </si>
  <si>
    <t>n_pist</t>
  </si>
  <si>
    <t>-</t>
  </si>
  <si>
    <t>4-piston front, 2-piston rear</t>
  </si>
  <si>
    <t>Caliper piston diameter</t>
  </si>
  <si>
    <t>d_pist</t>
  </si>
  <si>
    <t>APRacing spec. Update with actual.</t>
  </si>
  <si>
    <t>Total caliper piston area</t>
  </si>
  <si>
    <t>A_cal</t>
  </si>
  <si>
    <t>Pad friction coefficient</t>
  </si>
  <si>
    <t>mu_pad</t>
  </si>
  <si>
    <t>Typical sintered: 0.35-0.50</t>
  </si>
  <si>
    <t>VEHICLE DATA (linked)</t>
  </si>
  <si>
    <t>Mass</t>
  </si>
  <si>
    <t>m</t>
  </si>
  <si>
    <t>Params</t>
  </si>
  <si>
    <t>Wheelbase</t>
  </si>
  <si>
    <t>L</t>
  </si>
  <si>
    <t>Susp_Geometry</t>
  </si>
  <si>
    <t>CG Height</t>
  </si>
  <si>
    <t>h_cg</t>
  </si>
  <si>
    <t>Front weight %</t>
  </si>
  <si>
    <t>%_f</t>
  </si>
  <si>
    <t>Tire radius</t>
  </si>
  <si>
    <t>r_tire</t>
  </si>
  <si>
    <t>Params (converted to mm)</t>
  </si>
  <si>
    <t>2. HYDRAULIC ANALYSIS &amp; BRAKE BALANCE</t>
  </si>
  <si>
    <t>Equation</t>
  </si>
  <si>
    <t>Notes</t>
  </si>
  <si>
    <t>Pedal force (design)</t>
  </si>
  <si>
    <t>F_pedal</t>
  </si>
  <si>
    <t>N</t>
  </si>
  <si>
    <t>Design max. FS typical: 300-500N</t>
  </si>
  <si>
    <t>Pedal ratio</t>
  </si>
  <si>
    <t>PR</t>
  </si>
  <si>
    <t>:1</t>
  </si>
  <si>
    <t>Typical FS: 4-6:1. Update w/ actual.</t>
  </si>
  <si>
    <t>Brake bias (front)</t>
  </si>
  <si>
    <t>BB_f</t>
  </si>
  <si>
    <t>Balance bar setting. Adjustable.</t>
  </si>
  <si>
    <t>MC input force</t>
  </si>
  <si>
    <t>F_pedal x PR x BB</t>
  </si>
  <si>
    <t>Force on each master cylinder</t>
  </si>
  <si>
    <t>Line pressure</t>
  </si>
  <si>
    <t>F_MC / A_MC</t>
  </si>
  <si>
    <t>MPa</t>
  </si>
  <si>
    <t>Hydraulic pressure in line</t>
  </si>
  <si>
    <t>Clamp force (per caliper)</t>
  </si>
  <si>
    <t>P x A_cal</t>
  </si>
  <si>
    <t>Normal force on pad stack</t>
  </si>
  <si>
    <t>Friction force (per rotor)</t>
  </si>
  <si>
    <t>Clamp x 2 x mu_pad</t>
  </si>
  <si>
    <t>x2 for both sides of rotor</t>
  </si>
  <si>
    <t>Brake torque (per wheel)</t>
  </si>
  <si>
    <t>F_fric x r_eff</t>
  </si>
  <si>
    <t>Nm</t>
  </si>
  <si>
    <t>Brake force at tire (per wheel)</t>
  </si>
  <si>
    <t>Torque / r_tire</t>
  </si>
  <si>
    <t>Retarding force at ground</t>
  </si>
  <si>
    <t>Total brake force (axle)</t>
  </si>
  <si>
    <t>F_wheel x 2</t>
  </si>
  <si>
    <t>Total vehicle brake force</t>
  </si>
  <si>
    <t>F_front + F_rear</t>
  </si>
  <si>
    <t>Deceleration at design pedal</t>
  </si>
  <si>
    <t>F_total / m</t>
  </si>
  <si>
    <t>g</t>
  </si>
  <si>
    <t>FS-Rules T6.1.1: must lock all 4 wheels</t>
  </si>
  <si>
    <t>3. IDEAL BRAKE BIAS vs DECELERATION (lock-up analysis)</t>
  </si>
  <si>
    <t>Decel (g)</t>
  </si>
  <si>
    <t>Ideal Front %</t>
  </si>
  <si>
    <t>Front axle load %</t>
  </si>
  <si>
    <t>Front load (N)</t>
  </si>
  <si>
    <t>Rear load (N)</t>
  </si>
  <si>
    <t>Lock first?</t>
  </si>
  <si>
    <t>mu = 1.4 (tire limit)</t>
  </si>
  <si>
    <t>4. THERMAL ANALYSIS - SINGLE STOP</t>
  </si>
  <si>
    <t>Front (per rotor)</t>
  </si>
  <si>
    <t>Rear (per rotor)</t>
  </si>
  <si>
    <t>Braking speed (from)</t>
  </si>
  <si>
    <t>V_brake</t>
  </si>
  <si>
    <t>km/h</t>
  </si>
  <si>
    <t>Design braking speed. Adjust for scenarios.</t>
  </si>
  <si>
    <t>Braking speed (m/s)</t>
  </si>
  <si>
    <t>V/3.6</t>
  </si>
  <si>
    <t>m/s</t>
  </si>
  <si>
    <t>Total KE</t>
  </si>
  <si>
    <t>0.5*m*V^2</t>
  </si>
  <si>
    <t>J</t>
  </si>
  <si>
    <t>KE absorbed per front rotor</t>
  </si>
  <si>
    <t>KE x BB_f / 2</t>
  </si>
  <si>
    <t>Split by brake bias</t>
  </si>
  <si>
    <t>Rotor specific heat (steel)</t>
  </si>
  <si>
    <t>c_p</t>
  </si>
  <si>
    <t>J/kg.K</t>
  </si>
  <si>
    <t>Steel ~460, Cast iron ~500</t>
  </si>
  <si>
    <t>Temp rise per stop (adiabatic)</t>
  </si>
  <si>
    <t>Q / (m_rotor x c_p)</t>
  </si>
  <si>
    <t>Adiabatic = worst case (no cooling)</t>
  </si>
  <si>
    <t>Max operating temp (steel)</t>
  </si>
  <si>
    <t>T_max</t>
  </si>
  <si>
    <t>C</t>
  </si>
  <si>
    <t>Steel rotor limit ~600C before warp</t>
  </si>
  <si>
    <t>Ambient temp</t>
  </si>
  <si>
    <t>T_amb</t>
  </si>
  <si>
    <t>Summer track temp.</t>
  </si>
  <si>
    <t>Max stops from cold</t>
  </si>
  <si>
    <t>(T_max-T_amb)/dT</t>
  </si>
  <si>
    <t>stops</t>
  </si>
  <si>
    <t>Without cooling (worst case)</t>
  </si>
  <si>
    <t>Braking distance (1g)</t>
  </si>
  <si>
    <t>V^2 / (2*g)</t>
  </si>
  <si>
    <t>At 1g deceleration</t>
  </si>
  <si>
    <t>5. BRAKE TEMPERATURE TRACKING - PER SEGMENT (Endurance lap)</t>
  </si>
  <si>
    <t>Seg</t>
  </si>
  <si>
    <t>Name</t>
  </si>
  <si>
    <t>Braking? (energy J)</t>
  </si>
  <si>
    <t>Cooling (J)</t>
  </si>
  <si>
    <t>T_front rotor (C)</t>
  </si>
  <si>
    <t>T_rear rotor (C)</t>
  </si>
  <si>
    <t>Status</t>
  </si>
  <si>
    <t>Recta de salida</t>
  </si>
  <si>
    <t>OK</t>
  </si>
  <si>
    <t>Curva 1 - Der amplia</t>
  </si>
  <si>
    <t>Recta corta 1</t>
  </si>
  <si>
    <t>Curva 2 - Izq media</t>
  </si>
  <si>
    <t>Chicana entrada (Izq)</t>
  </si>
  <si>
    <t>Chicana salida (Der)</t>
  </si>
  <si>
    <t>Recta larga</t>
  </si>
  <si>
    <t>Hairpin 1 - Der</t>
  </si>
  <si>
    <t>Recta corta 2</t>
  </si>
  <si>
    <t>Curva 3 - Izq amplia</t>
  </si>
  <si>
    <t>Slalom (5 conos)</t>
  </si>
  <si>
    <t>Recta corta 3</t>
  </si>
  <si>
    <t>Curva 4 - Der media</t>
  </si>
  <si>
    <t>Recta corta 4</t>
  </si>
  <si>
    <t>Curva 5 - Izq cerrada</t>
  </si>
  <si>
    <t>Recta corta 5</t>
  </si>
  <si>
    <t>Hairpin 2 - Izq</t>
  </si>
  <si>
    <t>Recta corta 6</t>
  </si>
  <si>
    <t>Curva 6 - Der amplia</t>
  </si>
  <si>
    <t>Curva 7 - Izq media</t>
  </si>
  <si>
    <t>Recta corta 7</t>
  </si>
  <si>
    <t>Curva 8 - Der cerrada</t>
  </si>
  <si>
    <t>Recta de meta</t>
  </si>
  <si>
    <t>THERMAL SUMMARY (1 lap)</t>
  </si>
  <si>
    <t>Peak Front Rotor Temp</t>
  </si>
  <si>
    <t>&lt; 600 C (steel)</t>
  </si>
  <si>
    <t>Peak Rear Rotor Temp</t>
  </si>
  <si>
    <t>End-of-lap Front Temp</t>
  </si>
  <si>
    <t>Carry-over to next lap</t>
  </si>
  <si>
    <t>End-of-lap Rear Temp</t>
  </si>
  <si>
    <t>Estimated steady-state (multi-lap)</t>
  </si>
  <si>
    <t>C (front)</t>
  </si>
  <si>
    <t>C (rear) ~30% closer to peak</t>
  </si>
  <si>
    <t>NOTE: Thermal model assumes convective cooling h=50 W/m2K, rotor surface A=0.025m2. For more accuracy, update cooling parameters based on duct design.</t>
  </si>
  <si>
    <t>OBSERVACIONES:</t>
  </si>
  <si>
    <t>ATENCION: El piston de la pinza trasera (6.8mm) parece ser la designacion del caliper, no el diametro del piston. Si el AP Racing tiene pistones mayores (ej. 25.4mm), actualizar C15/D15. Con 6.8mm el rear apenas frena (5% de la fuerza total).</t>
  </si>
  <si>
    <t>Con los datos actuales, la deceleracion maxima a 400N de pedal es ~1.1g. Suficiente para bloquear las 4 ruedas si los pistones traseros son correctos. FS-Rules T6.1.1 requiere lock-up de las 4.</t>
  </si>
  <si>
    <t>Ideal brake bias a 1g = 63.8% front (tabla sec.3). Tu bias actual = 60% front. Esto significa que el rear bloqueara ligeramente antes que el front a alta deceleracion -&gt; oversteer bajo frenada.</t>
  </si>
  <si>
    <t>Temperaturas: Peak front = 210C, peak rear = 152C. MUY por debajo del limite de 600C. Los rotores de 180mm steel estan sobredimensionados para este circuito. Margen termico excelente.</t>
  </si>
  <si>
    <t>Steady-state estimado tras multiples vueltas: ~206C front, ~149C rear. Sin riesgo de fade. Podrias considerar rotores mas pequenos o delgados para reducir peso.</t>
  </si>
  <si>
    <t>Todas las celdas azules son ajustables: diametros de rotor (C7-D8), bore MC (C12-D12), pistones caliper (C14-D15), mu_pad (C17), pedal force (C28), ratio (C29), bias (C30).</t>
  </si>
  <si>
    <t>El rotor inner diameter (120mm) y thickness (4mm) son estimados. Actualizar con datos reales de los rotores APRacing/custom para calculos de masa y temperatura precisos.</t>
  </si>
  <si>
    <t>Para recalcular temperaturas tras cambiar parametros, re-ejecutar la simulacion termica. Los valores de la tabla sec.5 son calculados, no formulas dinamicas.</t>
  </si>
  <si>
    <t>Cooling Area</t>
  </si>
  <si>
    <t>Heat disipation</t>
  </si>
  <si>
    <t>Brake Analysis</t>
  </si>
  <si>
    <t>Stainless steel AISI 420 density = 7800 kg/m3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</si>
</sst>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0.0%"/>
    <numFmt numFmtId="166" formatCode="0.000"/>
  </numFmts>
  <fonts count="1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FFFFFF"/>
      <name val="Aptos Narrow"/>
      <scheme val="minor"/>
    </font>
    <font>
      <i/>
      <sz val="11"/>
      <color rgb="FF808080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FF"/>
      <name val="Aptos Narrow"/>
      <scheme val="minor"/>
    </font>
    <font>
      <sz val="11"/>
      <color rgb="FF008000"/>
      <name val="Aptos Narrow"/>
      <scheme val="minor"/>
    </font>
    <font>
      <b/>
      <sz val="11"/>
      <color rgb="FF008000"/>
      <name val="Aptos Narrow"/>
      <scheme val="minor"/>
    </font>
    <font>
      <b/>
      <sz val="10"/>
      <color theme="1"/>
      <name val="Aptos Narrow"/>
      <scheme val="minor"/>
    </font>
    <font>
      <sz val="11"/>
      <color rgb="FF808080"/>
      <name val="Aptos Narrow"/>
      <scheme val="minor"/>
    </font>
    <font>
      <sz val="11"/>
      <color rgb="FFC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6422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4">
    <xf numFmtId="0" fontId="0" fillId="0" borderId="0" xfId="0"/>
    <xf numFmtId="44" fontId="0" fillId="0" borderId="0" xfId="1" applyFont="1"/>
    <xf numFmtId="4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1" fontId="11" fillId="0" borderId="0" xfId="0" applyNumberFormat="1" applyFont="1"/>
    <xf numFmtId="0" fontId="11" fillId="0" borderId="0" xfId="0" applyFont="1"/>
    <xf numFmtId="164" fontId="10" fillId="0" borderId="0" xfId="0" applyNumberFormat="1" applyFont="1"/>
    <xf numFmtId="164" fontId="11" fillId="0" borderId="0" xfId="0" applyNumberFormat="1" applyFont="1"/>
    <xf numFmtId="2" fontId="10" fillId="0" borderId="0" xfId="0" applyNumberFormat="1" applyFont="1"/>
    <xf numFmtId="0" fontId="8" fillId="0" borderId="0" xfId="0" applyFont="1"/>
    <xf numFmtId="2" fontId="11" fillId="0" borderId="0" xfId="0" applyNumberFormat="1" applyFont="1"/>
    <xf numFmtId="1" fontId="12" fillId="0" borderId="0" xfId="0" applyNumberFormat="1" applyFont="1"/>
    <xf numFmtId="0" fontId="12" fillId="0" borderId="0" xfId="0" applyFont="1"/>
    <xf numFmtId="9" fontId="12" fillId="0" borderId="0" xfId="0" applyNumberFormat="1" applyFont="1"/>
    <xf numFmtId="0" fontId="13" fillId="3" borderId="0" xfId="0" applyFont="1" applyFill="1"/>
    <xf numFmtId="9" fontId="11" fillId="0" borderId="0" xfId="0" applyNumberFormat="1" applyFont="1"/>
    <xf numFmtId="1" fontId="10" fillId="0" borderId="0" xfId="0" applyNumberFormat="1" applyFont="1"/>
    <xf numFmtId="164" fontId="8" fillId="0" borderId="0" xfId="0" applyNumberFormat="1" applyFont="1"/>
    <xf numFmtId="1" fontId="8" fillId="0" borderId="0" xfId="0" applyNumberFormat="1" applyFont="1"/>
    <xf numFmtId="0" fontId="8" fillId="4" borderId="0" xfId="0" applyFont="1" applyFill="1"/>
    <xf numFmtId="2" fontId="8" fillId="4" borderId="0" xfId="0" applyNumberFormat="1" applyFont="1" applyFill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64" fontId="10" fillId="4" borderId="0" xfId="0" applyNumberFormat="1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0" fontId="10" fillId="4" borderId="0" xfId="0" applyFont="1" applyFill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3" fontId="10" fillId="0" borderId="0" xfId="0" applyNumberFormat="1" applyFont="1"/>
    <xf numFmtId="3" fontId="8" fillId="0" borderId="0" xfId="0" applyNumberFormat="1" applyFont="1"/>
    <xf numFmtId="164" fontId="8" fillId="4" borderId="0" xfId="0" applyNumberFormat="1" applyFont="1" applyFill="1"/>
    <xf numFmtId="0" fontId="14" fillId="3" borderId="0" xfId="0" applyFont="1" applyFill="1" applyAlignment="1">
      <alignment horizontal="center"/>
    </xf>
    <xf numFmtId="0" fontId="14" fillId="3" borderId="0" xfId="0" applyFont="1" applyFill="1"/>
    <xf numFmtId="0" fontId="10" fillId="0" borderId="0" xfId="0" applyFont="1" applyAlignment="1">
      <alignment horizontal="center"/>
    </xf>
    <xf numFmtId="0" fontId="7" fillId="2" borderId="0" xfId="0" applyFont="1" applyFill="1"/>
    <xf numFmtId="0" fontId="15" fillId="0" borderId="0" xfId="0" applyFont="1"/>
    <xf numFmtId="0" fontId="16" fillId="0" borderId="0" xfId="0" applyFont="1"/>
    <xf numFmtId="0" fontId="5" fillId="5" borderId="0" xfId="0" applyFont="1" applyFill="1"/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10" fillId="0" borderId="0" xfId="0" applyNumberFormat="1" applyFont="1"/>
  </cellXfs>
  <cellStyles count="2">
    <cellStyle name="Currency" xfId="1" builtinId="4"/>
    <cellStyle name="Normal" xfId="0" builtinId="0"/>
  </cellStyles>
  <dxfs count="5">
    <dxf>
      <font>
        <color rgb="FF008000"/>
      </font>
    </dxf>
    <dxf>
      <font>
        <b/>
        <i val="0"/>
        <color rgb="FFFF8C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008000"/>
      </font>
    </dxf>
  </dxfs>
  <tableStyles count="0" defaultTableStyle="TableStyleMedium2" defaultPivotStyle="PivotStyleLight16"/>
  <colors>
    <mruColors>
      <color rgb="FF0642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241842</xdr:colOff>
      <xdr:row>0</xdr:row>
      <xdr:rowOff>201618</xdr:rowOff>
    </xdr:from>
    <xdr:to>
      <xdr:col>7</xdr:col>
      <xdr:colOff>445451</xdr:colOff>
      <xdr:row>21</xdr:row>
      <xdr:rowOff>144238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B5D26-AF59-828F-3BD5-78E99BED9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42" y="201618"/>
          <a:ext cx="5964329" cy="4230140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22</xdr:row>
      <xdr:rowOff>88900</xdr:rowOff>
    </xdr:from>
    <xdr:to>
      <xdr:col>7</xdr:col>
      <xdr:colOff>482600</xdr:colOff>
      <xdr:row>46</xdr:row>
      <xdr:rowOff>140148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B154CE-96D8-0BA8-85F7-71DF4E45D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400" t="6313" r="15664" b="52652"/>
        <a:stretch>
          <a:fillRect/>
        </a:stretch>
      </xdr:blipFill>
      <xdr:spPr>
        <a:xfrm>
          <a:off x="241300" y="4584700"/>
          <a:ext cx="6019800" cy="4928048"/>
        </a:xfrm>
        <a:prstGeom prst="rect">
          <a:avLst/>
        </a:prstGeom>
      </xdr:spPr>
    </xdr:pic>
    <xdr:clientData/>
  </xdr:twoCellAnchor>
  <xdr:twoCellAnchor editAs="oneCell">
    <xdr:from>
      <xdr:col>0</xdr:col>
      <xdr:colOff>237072</xdr:colOff>
      <xdr:row>47</xdr:row>
      <xdr:rowOff>61271</xdr:rowOff>
    </xdr:from>
    <xdr:to>
      <xdr:col>7</xdr:col>
      <xdr:colOff>558801</xdr:colOff>
      <xdr:row>69</xdr:row>
      <xdr:rowOff>21170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535A9C-5949-6F4D-6257-0ED79FAE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86853" y="8795757"/>
          <a:ext cx="4430299" cy="6129862"/>
        </a:xfrm>
        <a:prstGeom prst="rect">
          <a:avLst/>
        </a:prstGeom>
      </xdr:spPr>
    </xdr:pic>
    <xdr:clientData/>
  </xdr:twoCellAnchor>
  <xdr:twoCellAnchor editAs="oneCell">
    <xdr:from>
      <xdr:col>0</xdr:col>
      <xdr:colOff>353488</xdr:colOff>
      <xdr:row>69</xdr:row>
      <xdr:rowOff>148681</xdr:rowOff>
    </xdr:from>
    <xdr:to>
      <xdr:col>7</xdr:col>
      <xdr:colOff>533399</xdr:colOff>
      <xdr:row>90</xdr:row>
      <xdr:rowOff>195541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D89910-5398-7F67-41F8-53128AD80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220114" y="13353655"/>
          <a:ext cx="4314060" cy="60473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SC_IFS_08.xlsx" TargetMode="External"/><Relationship Id="rId2" Type="http://schemas.openxmlformats.org/officeDocument/2006/relationships/externalLinkPath" Target="https://upcomillas.sharepoint.com/sites/ISCFormulaStudent2022-Departmentdirectors/Documentos%20compartidos/00%20&#183;%20Department%20Directors/IFS08/MODEL_IFS_08/ISC_IFS_08.xlsx" TargetMode="External"/><Relationship Id="rId1" Type="http://schemas.openxmlformats.org/officeDocument/2006/relationships/externalLinkPath" Target="/sites/ISCFormulaStudent2022-Departmentdirectors/Documentos%20compartidos/00%20&#183;%20Department%20Directors/IFS08/MODEL_IFS_08/ISC_IFS_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O"/>
      <sheetName val="Circuit_Segments"/>
      <sheetName val="Params"/>
      <sheetName val="Reglamento_Track"/>
      <sheetName val="Susp_Geometry"/>
      <sheetName val="Brakes"/>
      <sheetName val="Chassis"/>
      <sheetName val="Scrutineering"/>
      <sheetName val="Pre-Test Check"/>
    </sheetNames>
    <sheetDataSet>
      <sheetData sheetId="0"/>
      <sheetData sheetId="1"/>
      <sheetData sheetId="2">
        <row r="4">
          <cell r="B4">
            <v>275</v>
          </cell>
        </row>
        <row r="8">
          <cell r="B8">
            <v>0.22800000000000001</v>
          </cell>
        </row>
      </sheetData>
      <sheetData sheetId="3"/>
      <sheetData sheetId="4">
        <row r="10">
          <cell r="B10">
            <v>1600</v>
          </cell>
        </row>
        <row r="14">
          <cell r="B14">
            <v>300</v>
          </cell>
        </row>
        <row r="271">
          <cell r="C271">
            <v>0.45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A3BF-0A99-3148-BB22-3C57855C55BE}">
  <dimension ref="A1:G111"/>
  <sheetViews>
    <sheetView topLeftCell="A31" zoomScale="150" workbookViewId="0">
      <selection activeCell="A52" sqref="A52"/>
    </sheetView>
  </sheetViews>
  <sheetFormatPr baseColWidth="10" defaultColWidth="11" defaultRowHeight="16" x14ac:dyDescent="0.2"/>
  <cols>
    <col min="1" max="1" width="28.33203125" customWidth="1"/>
    <col min="2" max="2" width="13.33203125" customWidth="1"/>
    <col min="3" max="4" width="14.1640625" customWidth="1"/>
    <col min="5" max="7" width="11.6640625" customWidth="1"/>
  </cols>
  <sheetData>
    <row r="1" spans="1:7" ht="19" x14ac:dyDescent="0.25">
      <c r="A1" s="48" t="s">
        <v>37</v>
      </c>
      <c r="B1" s="49"/>
      <c r="C1" s="49"/>
      <c r="D1" s="49"/>
      <c r="E1" s="49"/>
      <c r="F1" s="49"/>
      <c r="G1" s="49"/>
    </row>
    <row r="2" spans="1:7" x14ac:dyDescent="0.2">
      <c r="A2" s="6" t="s">
        <v>38</v>
      </c>
    </row>
    <row r="4" spans="1:7" x14ac:dyDescent="0.2">
      <c r="A4" s="7" t="s">
        <v>39</v>
      </c>
    </row>
    <row r="5" spans="1:7" x14ac:dyDescent="0.2">
      <c r="A5" s="8" t="s">
        <v>40</v>
      </c>
      <c r="B5" s="8" t="s">
        <v>41</v>
      </c>
      <c r="C5" s="9" t="s">
        <v>42</v>
      </c>
      <c r="D5" s="9" t="s">
        <v>43</v>
      </c>
      <c r="E5" s="8" t="s">
        <v>44</v>
      </c>
      <c r="F5" s="8" t="s">
        <v>45</v>
      </c>
    </row>
    <row r="6" spans="1:7" x14ac:dyDescent="0.2">
      <c r="A6" s="10" t="s">
        <v>46</v>
      </c>
    </row>
    <row r="7" spans="1:7" x14ac:dyDescent="0.2">
      <c r="A7" s="11" t="s">
        <v>47</v>
      </c>
      <c r="B7" s="11" t="s">
        <v>48</v>
      </c>
      <c r="C7" s="15">
        <v>179.5</v>
      </c>
      <c r="D7" s="15">
        <v>179.5</v>
      </c>
      <c r="E7" s="11" t="s">
        <v>3</v>
      </c>
      <c r="F7" s="13" t="s">
        <v>49</v>
      </c>
    </row>
    <row r="8" spans="1:7" x14ac:dyDescent="0.2">
      <c r="A8" s="11" t="s">
        <v>50</v>
      </c>
      <c r="B8" s="11" t="s">
        <v>51</v>
      </c>
      <c r="C8" s="15">
        <v>129.6</v>
      </c>
      <c r="D8" s="15">
        <v>129.6</v>
      </c>
      <c r="E8" s="11" t="s">
        <v>3</v>
      </c>
      <c r="F8" s="13" t="s">
        <v>52</v>
      </c>
    </row>
    <row r="9" spans="1:7" x14ac:dyDescent="0.2">
      <c r="A9" s="11" t="s">
        <v>53</v>
      </c>
      <c r="B9" s="11" t="s">
        <v>54</v>
      </c>
      <c r="C9" s="14">
        <f>(C7+C8)/4</f>
        <v>77.275000000000006</v>
      </c>
      <c r="D9" s="14">
        <f>(D7+D8)/4</f>
        <v>77.275000000000006</v>
      </c>
      <c r="E9" s="11" t="s">
        <v>3</v>
      </c>
      <c r="F9" s="11" t="s">
        <v>55</v>
      </c>
    </row>
    <row r="10" spans="1:7" x14ac:dyDescent="0.2">
      <c r="A10" s="11" t="s">
        <v>56</v>
      </c>
      <c r="B10" s="11" t="s">
        <v>57</v>
      </c>
      <c r="C10" s="15">
        <v>4</v>
      </c>
      <c r="D10" s="15">
        <v>4</v>
      </c>
      <c r="E10" s="11" t="s">
        <v>3</v>
      </c>
      <c r="F10" s="13" t="s">
        <v>58</v>
      </c>
    </row>
    <row r="11" spans="1:7" x14ac:dyDescent="0.2">
      <c r="A11" s="11" t="s">
        <v>59</v>
      </c>
      <c r="B11" s="11" t="s">
        <v>60</v>
      </c>
      <c r="C11" s="53">
        <f>PI()/4*(C7^2-C8^2)*C10*7800/1000000000</f>
        <v>0.37795842109200078</v>
      </c>
      <c r="D11" s="53">
        <f>PI()/4*(D7^2-D8^2)*D10*7800/1000000000</f>
        <v>0.37795842109200078</v>
      </c>
      <c r="E11" s="11" t="s">
        <v>61</v>
      </c>
      <c r="F11" s="13" t="s">
        <v>235</v>
      </c>
    </row>
    <row r="12" spans="1:7" x14ac:dyDescent="0.2">
      <c r="A12" s="17" t="s">
        <v>62</v>
      </c>
      <c r="B12" s="11" t="s">
        <v>63</v>
      </c>
      <c r="C12" s="15">
        <v>15</v>
      </c>
      <c r="D12" s="15">
        <v>16.8</v>
      </c>
      <c r="E12" s="11" t="s">
        <v>3</v>
      </c>
      <c r="F12" s="13" t="s">
        <v>64</v>
      </c>
    </row>
    <row r="13" spans="1:7" x14ac:dyDescent="0.2">
      <c r="A13" s="11" t="s">
        <v>65</v>
      </c>
      <c r="B13" s="11" t="s">
        <v>66</v>
      </c>
      <c r="C13" s="14">
        <f>PI()/4*C12^2</f>
        <v>176.71458676442586</v>
      </c>
      <c r="D13" s="14">
        <f>PI()/4*D12^2</f>
        <v>221.6707776372958</v>
      </c>
      <c r="E13" s="11" t="s">
        <v>67</v>
      </c>
    </row>
    <row r="14" spans="1:7" x14ac:dyDescent="0.2">
      <c r="A14" s="17" t="s">
        <v>68</v>
      </c>
      <c r="B14" s="11" t="s">
        <v>69</v>
      </c>
      <c r="C14" s="12">
        <v>4</v>
      </c>
      <c r="D14" s="12">
        <v>2</v>
      </c>
      <c r="E14" s="11" t="s">
        <v>70</v>
      </c>
      <c r="F14" s="13" t="s">
        <v>71</v>
      </c>
    </row>
    <row r="15" spans="1:7" x14ac:dyDescent="0.2">
      <c r="A15" s="17" t="s">
        <v>72</v>
      </c>
      <c r="B15" s="11" t="s">
        <v>73</v>
      </c>
      <c r="C15" s="15">
        <v>15</v>
      </c>
      <c r="D15" s="15">
        <v>15</v>
      </c>
      <c r="E15" s="11" t="s">
        <v>3</v>
      </c>
      <c r="F15" s="13" t="s">
        <v>74</v>
      </c>
    </row>
    <row r="16" spans="1:7" x14ac:dyDescent="0.2">
      <c r="A16" s="17" t="s">
        <v>75</v>
      </c>
      <c r="B16" s="11" t="s">
        <v>76</v>
      </c>
      <c r="C16" s="14">
        <f>C14*PI()/4*C15^2</f>
        <v>706.85834705770344</v>
      </c>
      <c r="D16" s="14">
        <f>D14*PI()/4*D15^2</f>
        <v>353.42917352885172</v>
      </c>
      <c r="E16" s="11" t="s">
        <v>67</v>
      </c>
    </row>
    <row r="17" spans="1:6" x14ac:dyDescent="0.2">
      <c r="A17" s="17" t="s">
        <v>77</v>
      </c>
      <c r="B17" s="11" t="s">
        <v>78</v>
      </c>
      <c r="C17" s="18">
        <v>0.45</v>
      </c>
      <c r="D17" s="18">
        <v>0.45</v>
      </c>
      <c r="E17" s="11" t="s">
        <v>70</v>
      </c>
      <c r="F17" s="13" t="s">
        <v>79</v>
      </c>
    </row>
    <row r="18" spans="1:6" x14ac:dyDescent="0.2">
      <c r="A18" s="11"/>
    </row>
    <row r="19" spans="1:6" x14ac:dyDescent="0.2">
      <c r="A19" s="17" t="s">
        <v>80</v>
      </c>
    </row>
    <row r="20" spans="1:6" x14ac:dyDescent="0.2">
      <c r="A20" s="17" t="s">
        <v>81</v>
      </c>
      <c r="B20" s="11" t="s">
        <v>82</v>
      </c>
      <c r="C20" s="19">
        <f>[1]Params!B4</f>
        <v>275</v>
      </c>
      <c r="E20" s="11" t="s">
        <v>61</v>
      </c>
      <c r="F20" s="20" t="s">
        <v>83</v>
      </c>
    </row>
    <row r="21" spans="1:6" x14ac:dyDescent="0.2">
      <c r="A21" s="17" t="s">
        <v>84</v>
      </c>
      <c r="B21" s="11" t="s">
        <v>85</v>
      </c>
      <c r="C21" s="19">
        <f>[1]Susp_Geometry!B10</f>
        <v>1600</v>
      </c>
      <c r="E21" s="11" t="s">
        <v>3</v>
      </c>
      <c r="F21" s="20" t="s">
        <v>86</v>
      </c>
    </row>
    <row r="22" spans="1:6" x14ac:dyDescent="0.2">
      <c r="A22" s="17" t="s">
        <v>87</v>
      </c>
      <c r="B22" s="11" t="s">
        <v>88</v>
      </c>
      <c r="C22" s="19">
        <f>[1]Susp_Geometry!B14</f>
        <v>300</v>
      </c>
      <c r="E22" s="11" t="s">
        <v>3</v>
      </c>
      <c r="F22" s="20" t="s">
        <v>86</v>
      </c>
    </row>
    <row r="23" spans="1:6" x14ac:dyDescent="0.2">
      <c r="A23" s="17" t="s">
        <v>89</v>
      </c>
      <c r="B23" s="11" t="s">
        <v>90</v>
      </c>
      <c r="C23" s="21">
        <f>[1]Susp_Geometry!$C$271</f>
        <v>0.45</v>
      </c>
      <c r="E23" s="11" t="s">
        <v>70</v>
      </c>
      <c r="F23" s="20" t="s">
        <v>86</v>
      </c>
    </row>
    <row r="24" spans="1:6" x14ac:dyDescent="0.2">
      <c r="A24" s="17" t="s">
        <v>91</v>
      </c>
      <c r="B24" s="11" t="s">
        <v>92</v>
      </c>
      <c r="C24" s="19">
        <f>[1]Params!B8*1000</f>
        <v>228</v>
      </c>
      <c r="E24" s="11" t="s">
        <v>3</v>
      </c>
      <c r="F24" s="20" t="s">
        <v>93</v>
      </c>
    </row>
    <row r="26" spans="1:6" x14ac:dyDescent="0.2">
      <c r="A26" s="7" t="s">
        <v>94</v>
      </c>
    </row>
    <row r="27" spans="1:6" x14ac:dyDescent="0.2">
      <c r="A27" s="8" t="s">
        <v>40</v>
      </c>
      <c r="B27" s="8" t="s">
        <v>95</v>
      </c>
      <c r="C27" s="9" t="s">
        <v>42</v>
      </c>
      <c r="D27" s="9" t="s">
        <v>43</v>
      </c>
      <c r="E27" s="8" t="s">
        <v>44</v>
      </c>
      <c r="F27" s="22" t="s">
        <v>96</v>
      </c>
    </row>
    <row r="28" spans="1:6" x14ac:dyDescent="0.2">
      <c r="A28" s="17" t="s">
        <v>97</v>
      </c>
      <c r="B28" s="11" t="s">
        <v>98</v>
      </c>
      <c r="C28" s="12">
        <v>2000</v>
      </c>
      <c r="E28" s="11" t="s">
        <v>99</v>
      </c>
      <c r="F28" s="13" t="s">
        <v>100</v>
      </c>
    </row>
    <row r="29" spans="1:6" x14ac:dyDescent="0.2">
      <c r="A29" s="17" t="s">
        <v>101</v>
      </c>
      <c r="B29" s="11" t="s">
        <v>102</v>
      </c>
      <c r="C29" s="15">
        <v>5</v>
      </c>
      <c r="E29" s="11" t="s">
        <v>103</v>
      </c>
      <c r="F29" s="13" t="s">
        <v>104</v>
      </c>
    </row>
    <row r="30" spans="1:6" x14ac:dyDescent="0.2">
      <c r="A30" s="17" t="s">
        <v>105</v>
      </c>
      <c r="B30" s="11" t="s">
        <v>106</v>
      </c>
      <c r="C30" s="23">
        <v>0.6</v>
      </c>
      <c r="E30" s="11" t="s">
        <v>70</v>
      </c>
      <c r="F30" s="13" t="s">
        <v>107</v>
      </c>
    </row>
    <row r="31" spans="1:6" x14ac:dyDescent="0.2">
      <c r="A31" s="17" t="s">
        <v>108</v>
      </c>
      <c r="B31" s="11" t="s">
        <v>109</v>
      </c>
      <c r="C31" s="24">
        <f>C28*C29*C30</f>
        <v>6000</v>
      </c>
      <c r="D31" s="24">
        <f>C28*C29*(1-C30)</f>
        <v>4000</v>
      </c>
      <c r="E31" s="11" t="s">
        <v>99</v>
      </c>
      <c r="F31" s="13" t="s">
        <v>110</v>
      </c>
    </row>
    <row r="32" spans="1:6" x14ac:dyDescent="0.2">
      <c r="A32" s="17" t="s">
        <v>111</v>
      </c>
      <c r="B32" s="11" t="s">
        <v>112</v>
      </c>
      <c r="C32" s="25">
        <f>C31/C13</f>
        <v>33.953054526271004</v>
      </c>
      <c r="D32" s="25">
        <f>D31/D13</f>
        <v>18.044778128332805</v>
      </c>
      <c r="E32" s="11" t="s">
        <v>113</v>
      </c>
      <c r="F32" s="13" t="s">
        <v>114</v>
      </c>
    </row>
    <row r="33" spans="1:6" x14ac:dyDescent="0.2">
      <c r="A33" s="17" t="s">
        <v>115</v>
      </c>
      <c r="B33" s="11" t="s">
        <v>116</v>
      </c>
      <c r="C33" s="24">
        <f>C32*C16</f>
        <v>23999.999999999996</v>
      </c>
      <c r="D33" s="24">
        <f>D32*D16</f>
        <v>6377.5510204081629</v>
      </c>
      <c r="E33" s="11" t="s">
        <v>99</v>
      </c>
      <c r="F33" s="13" t="s">
        <v>117</v>
      </c>
    </row>
    <row r="34" spans="1:6" x14ac:dyDescent="0.2">
      <c r="A34" s="17" t="s">
        <v>118</v>
      </c>
      <c r="B34" s="11" t="s">
        <v>119</v>
      </c>
      <c r="C34" s="24">
        <f>C33*2*C17</f>
        <v>21599.999999999996</v>
      </c>
      <c r="D34" s="24">
        <f>D33*2*D17</f>
        <v>5739.7959183673465</v>
      </c>
      <c r="E34" s="11" t="s">
        <v>99</v>
      </c>
      <c r="F34" s="13" t="s">
        <v>120</v>
      </c>
    </row>
    <row r="35" spans="1:6" x14ac:dyDescent="0.2">
      <c r="A35" s="17" t="s">
        <v>121</v>
      </c>
      <c r="B35" s="11" t="s">
        <v>122</v>
      </c>
      <c r="C35" s="25">
        <f>C34*C9/1000</f>
        <v>1669.1399999999999</v>
      </c>
      <c r="D35" s="25">
        <f>D34*D9/1000</f>
        <v>443.54272959183675</v>
      </c>
      <c r="E35" s="11" t="s">
        <v>123</v>
      </c>
    </row>
    <row r="36" spans="1:6" x14ac:dyDescent="0.2">
      <c r="A36" s="17" t="s">
        <v>124</v>
      </c>
      <c r="B36" s="11" t="s">
        <v>125</v>
      </c>
      <c r="C36" s="26">
        <f>C35/(C24/1000)</f>
        <v>7320.78947368421</v>
      </c>
      <c r="D36" s="26">
        <f>D35/(C24/1000)</f>
        <v>1945.3628490870033</v>
      </c>
      <c r="E36" s="11" t="s">
        <v>99</v>
      </c>
      <c r="F36" s="13" t="s">
        <v>126</v>
      </c>
    </row>
    <row r="37" spans="1:6" x14ac:dyDescent="0.2">
      <c r="A37" s="17" t="s">
        <v>127</v>
      </c>
      <c r="B37" s="11" t="s">
        <v>128</v>
      </c>
      <c r="C37" s="24">
        <f>C36*2</f>
        <v>14641.57894736842</v>
      </c>
      <c r="D37" s="24">
        <f>D36*2</f>
        <v>3890.7256981740065</v>
      </c>
      <c r="E37" s="11" t="s">
        <v>99</v>
      </c>
    </row>
    <row r="38" spans="1:6" x14ac:dyDescent="0.2">
      <c r="A38" s="17" t="s">
        <v>129</v>
      </c>
      <c r="B38" s="11" t="s">
        <v>130</v>
      </c>
      <c r="C38" s="26">
        <f>C37+D37</f>
        <v>18532.304645542426</v>
      </c>
      <c r="E38" s="11" t="s">
        <v>99</v>
      </c>
    </row>
    <row r="39" spans="1:6" x14ac:dyDescent="0.2">
      <c r="A39" s="27" t="s">
        <v>131</v>
      </c>
      <c r="B39" s="11" t="s">
        <v>132</v>
      </c>
      <c r="C39" s="28">
        <f>C38/(C20*9.81)</f>
        <v>6.8695411530135955</v>
      </c>
      <c r="E39" s="11" t="s">
        <v>133</v>
      </c>
      <c r="F39" s="17" t="s">
        <v>134</v>
      </c>
    </row>
    <row r="41" spans="1:6" x14ac:dyDescent="0.2">
      <c r="A41" s="7" t="s">
        <v>135</v>
      </c>
    </row>
    <row r="42" spans="1:6" x14ac:dyDescent="0.2">
      <c r="A42" s="9" t="s">
        <v>136</v>
      </c>
      <c r="B42" s="9" t="s">
        <v>137</v>
      </c>
      <c r="C42" s="9" t="s">
        <v>138</v>
      </c>
      <c r="D42" s="9" t="s">
        <v>139</v>
      </c>
      <c r="E42" s="9" t="s">
        <v>140</v>
      </c>
      <c r="F42" s="9" t="s">
        <v>141</v>
      </c>
    </row>
    <row r="43" spans="1:6" x14ac:dyDescent="0.2">
      <c r="A43" s="29">
        <v>0.2</v>
      </c>
      <c r="B43" s="30">
        <f>($C$23+$A43*$C$22/$C$21)</f>
        <v>0.48749999999999999</v>
      </c>
      <c r="C43" s="30">
        <f>$C$23+$A43*$C$22/$C$21</f>
        <v>0.48749999999999999</v>
      </c>
      <c r="D43" s="31">
        <f>$C$20*9.81*($C$23+$A43*$C$22/$C$21)</f>
        <v>1315.153125</v>
      </c>
      <c r="E43" s="31">
        <f>$C$20*9.81*(1-$C$23-$A43*$C$22/$C$21)</f>
        <v>1382.5968750000002</v>
      </c>
      <c r="F43" s="11" t="str">
        <f>IF($C$30&gt;B43,"REAR locks first","FRONT locks first")</f>
        <v>REAR locks first</v>
      </c>
    </row>
    <row r="44" spans="1:6" x14ac:dyDescent="0.2">
      <c r="A44" s="29">
        <v>0.4</v>
      </c>
      <c r="B44" s="30">
        <f t="shared" ref="B44:B52" si="0">($C$23+$A44*$C$22/$C$21)</f>
        <v>0.52500000000000002</v>
      </c>
      <c r="C44" s="30">
        <f t="shared" ref="C44:C52" si="1">$C$23+$A44*$C$22/$C$21</f>
        <v>0.52500000000000002</v>
      </c>
      <c r="D44" s="31">
        <f t="shared" ref="D44:D52" si="2">$C$20*9.81*($C$23+$A44*$C$22/$C$21)</f>
        <v>1416.3187500000001</v>
      </c>
      <c r="E44" s="31">
        <f t="shared" ref="E44:E52" si="3">$C$20*9.81*(1-$C$23-$A44*$C$22/$C$21)</f>
        <v>1281.4312500000001</v>
      </c>
      <c r="F44" s="11" t="str">
        <f t="shared" ref="F44:F52" si="4">IF($C$30&gt;B44,"REAR locks first","FRONT locks first")</f>
        <v>REAR locks first</v>
      </c>
    </row>
    <row r="45" spans="1:6" x14ac:dyDescent="0.2">
      <c r="A45" s="29">
        <v>0.6</v>
      </c>
      <c r="B45" s="30">
        <f t="shared" si="0"/>
        <v>0.5625</v>
      </c>
      <c r="C45" s="30">
        <f t="shared" si="1"/>
        <v>0.5625</v>
      </c>
      <c r="D45" s="31">
        <f t="shared" si="2"/>
        <v>1517.484375</v>
      </c>
      <c r="E45" s="31">
        <f t="shared" si="3"/>
        <v>1180.2656250000002</v>
      </c>
      <c r="F45" s="11" t="str">
        <f t="shared" si="4"/>
        <v>REAR locks first</v>
      </c>
    </row>
    <row r="46" spans="1:6" x14ac:dyDescent="0.2">
      <c r="A46" s="29">
        <v>0.8</v>
      </c>
      <c r="B46" s="30">
        <f t="shared" si="0"/>
        <v>0.6</v>
      </c>
      <c r="C46" s="30">
        <f t="shared" si="1"/>
        <v>0.6</v>
      </c>
      <c r="D46" s="31">
        <f t="shared" si="2"/>
        <v>1618.6499999999999</v>
      </c>
      <c r="E46" s="31">
        <f t="shared" si="3"/>
        <v>1079.1000000000001</v>
      </c>
      <c r="F46" s="11" t="str">
        <f t="shared" si="4"/>
        <v>FRONT locks first</v>
      </c>
    </row>
    <row r="47" spans="1:6" x14ac:dyDescent="0.2">
      <c r="A47" s="32">
        <v>1</v>
      </c>
      <c r="B47" s="33">
        <f t="shared" si="0"/>
        <v>0.63749999999999996</v>
      </c>
      <c r="C47" s="33">
        <f t="shared" si="1"/>
        <v>0.63749999999999996</v>
      </c>
      <c r="D47" s="34">
        <f t="shared" si="2"/>
        <v>1719.815625</v>
      </c>
      <c r="E47" s="34">
        <f t="shared" si="3"/>
        <v>977.93437500000016</v>
      </c>
      <c r="F47" s="35" t="str">
        <f t="shared" si="4"/>
        <v>FRONT locks first</v>
      </c>
    </row>
    <row r="48" spans="1:6" x14ac:dyDescent="0.2">
      <c r="A48" s="29">
        <v>1.2</v>
      </c>
      <c r="B48" s="30">
        <f t="shared" si="0"/>
        <v>0.67500000000000004</v>
      </c>
      <c r="C48" s="30">
        <f t="shared" si="1"/>
        <v>0.67500000000000004</v>
      </c>
      <c r="D48" s="31">
        <f t="shared" si="2"/>
        <v>1820.98125</v>
      </c>
      <c r="E48" s="31">
        <f t="shared" si="3"/>
        <v>876.76875000000018</v>
      </c>
      <c r="F48" s="11" t="str">
        <f t="shared" si="4"/>
        <v>FRONT locks first</v>
      </c>
    </row>
    <row r="49" spans="1:6" x14ac:dyDescent="0.2">
      <c r="A49" s="29">
        <v>1.4</v>
      </c>
      <c r="B49" s="30">
        <f t="shared" si="0"/>
        <v>0.71250000000000002</v>
      </c>
      <c r="C49" s="30">
        <f t="shared" si="1"/>
        <v>0.71250000000000002</v>
      </c>
      <c r="D49" s="31">
        <f t="shared" si="2"/>
        <v>1922.1468750000001</v>
      </c>
      <c r="E49" s="31">
        <f t="shared" si="3"/>
        <v>775.60312500000009</v>
      </c>
      <c r="F49" s="11" t="str">
        <f t="shared" si="4"/>
        <v>FRONT locks first</v>
      </c>
    </row>
    <row r="50" spans="1:6" x14ac:dyDescent="0.2">
      <c r="A50" s="29">
        <v>1.6</v>
      </c>
      <c r="B50" s="30">
        <f t="shared" si="0"/>
        <v>0.75</v>
      </c>
      <c r="C50" s="30">
        <f t="shared" si="1"/>
        <v>0.75</v>
      </c>
      <c r="D50" s="31">
        <f t="shared" si="2"/>
        <v>2023.3125</v>
      </c>
      <c r="E50" s="31">
        <f t="shared" si="3"/>
        <v>674.43750000000011</v>
      </c>
      <c r="F50" s="11" t="str">
        <f t="shared" si="4"/>
        <v>FRONT locks first</v>
      </c>
    </row>
    <row r="51" spans="1:6" x14ac:dyDescent="0.2">
      <c r="A51" s="29">
        <v>1.8</v>
      </c>
      <c r="B51" s="30">
        <f t="shared" si="0"/>
        <v>0.78750000000000009</v>
      </c>
      <c r="C51" s="30">
        <f t="shared" si="1"/>
        <v>0.78750000000000009</v>
      </c>
      <c r="D51" s="31">
        <f t="shared" si="2"/>
        <v>2124.4781250000001</v>
      </c>
      <c r="E51" s="31">
        <f t="shared" si="3"/>
        <v>573.27187500000002</v>
      </c>
      <c r="F51" s="11" t="str">
        <f t="shared" si="4"/>
        <v>FRONT locks first</v>
      </c>
    </row>
    <row r="52" spans="1:6" x14ac:dyDescent="0.2">
      <c r="A52" s="29">
        <v>2</v>
      </c>
      <c r="B52" s="30">
        <f t="shared" si="0"/>
        <v>0.82499999999999996</v>
      </c>
      <c r="C52" s="30">
        <f t="shared" si="1"/>
        <v>0.82499999999999996</v>
      </c>
      <c r="D52" s="31">
        <f t="shared" si="2"/>
        <v>2225.6437499999997</v>
      </c>
      <c r="E52" s="31">
        <f t="shared" si="3"/>
        <v>472.1062500000001</v>
      </c>
      <c r="F52" s="11" t="str">
        <f t="shared" si="4"/>
        <v>FRONT locks first</v>
      </c>
    </row>
    <row r="53" spans="1:6" x14ac:dyDescent="0.2">
      <c r="A53" s="36">
        <v>1.4</v>
      </c>
      <c r="B53" s="37">
        <f>($C$23+A53*$C$22/$C$21)</f>
        <v>0.71250000000000002</v>
      </c>
      <c r="C53" s="37">
        <f>$C$23+A53*$C$22/$C$21</f>
        <v>0.71250000000000002</v>
      </c>
      <c r="D53" s="38">
        <f>$C$20*9.81*($C$23+A53*$C$22/$C$21)</f>
        <v>1922.1468750000001</v>
      </c>
      <c r="E53" s="38">
        <f>$C$20*9.81*(1-$C$23-A53*$C$22/$C$21)</f>
        <v>775.60312500000009</v>
      </c>
      <c r="F53" s="17" t="s">
        <v>142</v>
      </c>
    </row>
    <row r="55" spans="1:6" x14ac:dyDescent="0.2">
      <c r="A55" s="7" t="s">
        <v>143</v>
      </c>
    </row>
    <row r="56" spans="1:6" x14ac:dyDescent="0.2">
      <c r="A56" s="8" t="s">
        <v>40</v>
      </c>
      <c r="B56" s="8" t="s">
        <v>95</v>
      </c>
      <c r="C56" s="9" t="s">
        <v>144</v>
      </c>
      <c r="D56" s="9" t="s">
        <v>145</v>
      </c>
      <c r="E56" s="8" t="s">
        <v>44</v>
      </c>
      <c r="F56" s="8" t="s">
        <v>96</v>
      </c>
    </row>
    <row r="57" spans="1:6" x14ac:dyDescent="0.2">
      <c r="A57" s="17" t="s">
        <v>146</v>
      </c>
      <c r="B57" s="11" t="s">
        <v>147</v>
      </c>
      <c r="C57" s="12">
        <v>100</v>
      </c>
      <c r="E57" s="11" t="s">
        <v>148</v>
      </c>
      <c r="F57" s="13" t="s">
        <v>149</v>
      </c>
    </row>
    <row r="58" spans="1:6" x14ac:dyDescent="0.2">
      <c r="A58" s="11" t="s">
        <v>150</v>
      </c>
      <c r="B58" s="11" t="s">
        <v>151</v>
      </c>
      <c r="C58" s="16">
        <f>C57/3.6</f>
        <v>27.777777777777779</v>
      </c>
      <c r="E58" s="11" t="s">
        <v>152</v>
      </c>
    </row>
    <row r="59" spans="1:6" x14ac:dyDescent="0.2">
      <c r="A59" s="11" t="s">
        <v>153</v>
      </c>
      <c r="B59" s="11" t="s">
        <v>154</v>
      </c>
      <c r="C59" s="39">
        <f>0.5*C20*(C58)^2</f>
        <v>106095.67901234569</v>
      </c>
      <c r="E59" s="11" t="s">
        <v>155</v>
      </c>
    </row>
    <row r="60" spans="1:6" x14ac:dyDescent="0.2">
      <c r="A60" s="17" t="s">
        <v>156</v>
      </c>
      <c r="B60" s="11" t="s">
        <v>157</v>
      </c>
      <c r="C60" s="40">
        <f>C59*C30/2</f>
        <v>31828.703703703704</v>
      </c>
      <c r="D60" s="40">
        <f>C59*(1-C30)/2</f>
        <v>21219.13580246914</v>
      </c>
      <c r="E60" s="11" t="s">
        <v>155</v>
      </c>
      <c r="F60" s="11" t="s">
        <v>158</v>
      </c>
    </row>
    <row r="61" spans="1:6" x14ac:dyDescent="0.2">
      <c r="A61" s="11" t="s">
        <v>159</v>
      </c>
      <c r="B61" s="11" t="s">
        <v>160</v>
      </c>
      <c r="C61" s="24">
        <v>460</v>
      </c>
      <c r="D61" s="24">
        <v>460</v>
      </c>
      <c r="E61" s="11" t="s">
        <v>161</v>
      </c>
      <c r="F61" s="11" t="s">
        <v>162</v>
      </c>
    </row>
    <row r="62" spans="1:6" x14ac:dyDescent="0.2">
      <c r="A62" s="27" t="s">
        <v>163</v>
      </c>
      <c r="B62" s="11" t="s">
        <v>164</v>
      </c>
      <c r="C62" s="41">
        <f>C60/(C11*C61)</f>
        <v>183.06996293024446</v>
      </c>
      <c r="D62" s="41">
        <f>D60/(D11*D61)</f>
        <v>122.04664195349633</v>
      </c>
      <c r="E62" s="11" t="s">
        <v>24</v>
      </c>
      <c r="F62" s="17" t="s">
        <v>165</v>
      </c>
    </row>
    <row r="63" spans="1:6" x14ac:dyDescent="0.2">
      <c r="A63" s="11" t="s">
        <v>166</v>
      </c>
      <c r="B63" s="11" t="s">
        <v>167</v>
      </c>
      <c r="C63" s="24">
        <v>600</v>
      </c>
      <c r="D63" s="24">
        <v>600</v>
      </c>
      <c r="E63" s="11" t="s">
        <v>168</v>
      </c>
      <c r="F63" s="11" t="s">
        <v>169</v>
      </c>
    </row>
    <row r="64" spans="1:6" x14ac:dyDescent="0.2">
      <c r="A64" s="11" t="s">
        <v>170</v>
      </c>
      <c r="B64" s="11" t="s">
        <v>171</v>
      </c>
      <c r="C64" s="12">
        <v>35</v>
      </c>
      <c r="E64" s="11" t="s">
        <v>168</v>
      </c>
      <c r="F64" s="13" t="s">
        <v>172</v>
      </c>
    </row>
    <row r="65" spans="1:7" x14ac:dyDescent="0.2">
      <c r="A65" s="17" t="s">
        <v>173</v>
      </c>
      <c r="B65" s="11" t="s">
        <v>174</v>
      </c>
      <c r="C65" s="26">
        <f>INT((C63-C64)/C62)</f>
        <v>3</v>
      </c>
      <c r="D65" s="26">
        <f>INT((D63-D64)/D62)</f>
        <v>4</v>
      </c>
      <c r="E65" s="11" t="s">
        <v>175</v>
      </c>
      <c r="F65" s="11" t="s">
        <v>176</v>
      </c>
    </row>
    <row r="66" spans="1:7" x14ac:dyDescent="0.2">
      <c r="A66" s="11" t="s">
        <v>177</v>
      </c>
      <c r="B66" s="11" t="s">
        <v>178</v>
      </c>
      <c r="C66" s="14">
        <f>C58^2/(2*9.81)</f>
        <v>39.32746882118272</v>
      </c>
      <c r="E66" s="11" t="s">
        <v>82</v>
      </c>
      <c r="F66" s="11" t="s">
        <v>179</v>
      </c>
    </row>
    <row r="68" spans="1:7" x14ac:dyDescent="0.2">
      <c r="A68" s="7" t="s">
        <v>180</v>
      </c>
    </row>
    <row r="69" spans="1:7" x14ac:dyDescent="0.2">
      <c r="A69" s="42" t="s">
        <v>181</v>
      </c>
      <c r="B69" s="43" t="s">
        <v>182</v>
      </c>
      <c r="C69" s="42" t="s">
        <v>183</v>
      </c>
      <c r="D69" s="42" t="s">
        <v>184</v>
      </c>
      <c r="E69" s="42" t="s">
        <v>185</v>
      </c>
      <c r="F69" s="42" t="s">
        <v>186</v>
      </c>
      <c r="G69" s="42" t="s">
        <v>187</v>
      </c>
    </row>
    <row r="70" spans="1:7" x14ac:dyDescent="0.2">
      <c r="A70" s="31">
        <v>1</v>
      </c>
      <c r="B70" s="11" t="s">
        <v>188</v>
      </c>
      <c r="C70" s="39">
        <v>0</v>
      </c>
      <c r="D70" s="11"/>
      <c r="E70" s="29">
        <v>35</v>
      </c>
      <c r="F70" s="29">
        <v>35</v>
      </c>
      <c r="G70" s="44" t="s">
        <v>189</v>
      </c>
    </row>
    <row r="71" spans="1:7" x14ac:dyDescent="0.2">
      <c r="A71" s="31">
        <v>2</v>
      </c>
      <c r="B71" s="11" t="s">
        <v>190</v>
      </c>
      <c r="C71" s="39">
        <v>0</v>
      </c>
      <c r="D71" s="11"/>
      <c r="E71" s="29">
        <v>35</v>
      </c>
      <c r="F71" s="29">
        <v>35</v>
      </c>
      <c r="G71" s="44" t="s">
        <v>189</v>
      </c>
    </row>
    <row r="72" spans="1:7" x14ac:dyDescent="0.2">
      <c r="A72" s="31">
        <v>3</v>
      </c>
      <c r="B72" s="11" t="s">
        <v>191</v>
      </c>
      <c r="C72" s="39">
        <v>11614</v>
      </c>
      <c r="D72" s="11"/>
      <c r="E72" s="29">
        <v>51.9</v>
      </c>
      <c r="F72" s="29">
        <v>46.3</v>
      </c>
      <c r="G72" s="44" t="s">
        <v>189</v>
      </c>
    </row>
    <row r="73" spans="1:7" x14ac:dyDescent="0.2">
      <c r="A73" s="31">
        <v>4</v>
      </c>
      <c r="B73" s="11" t="s">
        <v>192</v>
      </c>
      <c r="C73" s="39">
        <v>15113</v>
      </c>
      <c r="D73" s="11"/>
      <c r="E73" s="29">
        <v>73.599999999999994</v>
      </c>
      <c r="F73" s="29">
        <v>60.7</v>
      </c>
      <c r="G73" s="44" t="s">
        <v>189</v>
      </c>
    </row>
    <row r="74" spans="1:7" x14ac:dyDescent="0.2">
      <c r="A74" s="31">
        <v>5</v>
      </c>
      <c r="B74" s="11" t="s">
        <v>193</v>
      </c>
      <c r="C74" s="39">
        <v>0</v>
      </c>
      <c r="D74" s="11"/>
      <c r="E74" s="29">
        <v>73.3</v>
      </c>
      <c r="F74" s="29">
        <v>60.5</v>
      </c>
      <c r="G74" s="44" t="s">
        <v>189</v>
      </c>
    </row>
    <row r="75" spans="1:7" x14ac:dyDescent="0.2">
      <c r="A75" s="31">
        <v>6</v>
      </c>
      <c r="B75" s="11" t="s">
        <v>194</v>
      </c>
      <c r="C75" s="39">
        <v>0</v>
      </c>
      <c r="D75" s="11"/>
      <c r="E75" s="29">
        <v>73.099999999999994</v>
      </c>
      <c r="F75" s="29">
        <v>60.4</v>
      </c>
      <c r="G75" s="44" t="s">
        <v>189</v>
      </c>
    </row>
    <row r="76" spans="1:7" x14ac:dyDescent="0.2">
      <c r="A76" s="31">
        <v>7</v>
      </c>
      <c r="B76" s="11" t="s">
        <v>195</v>
      </c>
      <c r="C76" s="39">
        <v>7100</v>
      </c>
      <c r="D76" s="11"/>
      <c r="E76" s="29">
        <v>81.400000000000006</v>
      </c>
      <c r="F76" s="29">
        <v>65.900000000000006</v>
      </c>
      <c r="G76" s="44" t="s">
        <v>189</v>
      </c>
    </row>
    <row r="77" spans="1:7" x14ac:dyDescent="0.2">
      <c r="A77" s="31">
        <v>8</v>
      </c>
      <c r="B77" s="11" t="s">
        <v>196</v>
      </c>
      <c r="C77" s="39">
        <v>0</v>
      </c>
      <c r="D77" s="11"/>
      <c r="E77" s="29">
        <v>80.900000000000006</v>
      </c>
      <c r="F77" s="29">
        <v>65.599999999999994</v>
      </c>
      <c r="G77" s="44" t="s">
        <v>189</v>
      </c>
    </row>
    <row r="78" spans="1:7" x14ac:dyDescent="0.2">
      <c r="A78" s="31">
        <v>9</v>
      </c>
      <c r="B78" s="11" t="s">
        <v>197</v>
      </c>
      <c r="C78" s="39">
        <v>0</v>
      </c>
      <c r="D78" s="11"/>
      <c r="E78" s="29">
        <v>80.5</v>
      </c>
      <c r="F78" s="29">
        <v>65.3</v>
      </c>
      <c r="G78" s="44" t="s">
        <v>189</v>
      </c>
    </row>
    <row r="79" spans="1:7" x14ac:dyDescent="0.2">
      <c r="A79" s="31">
        <v>10</v>
      </c>
      <c r="B79" s="11" t="s">
        <v>198</v>
      </c>
      <c r="C79" s="39">
        <v>43191</v>
      </c>
      <c r="D79" s="11"/>
      <c r="E79" s="29">
        <v>142</v>
      </c>
      <c r="F79" s="29">
        <v>106.4</v>
      </c>
      <c r="G79" s="44" t="s">
        <v>189</v>
      </c>
    </row>
    <row r="80" spans="1:7" x14ac:dyDescent="0.2">
      <c r="A80" s="31">
        <v>11</v>
      </c>
      <c r="B80" s="11" t="s">
        <v>199</v>
      </c>
      <c r="C80" s="39">
        <v>0</v>
      </c>
      <c r="D80" s="11"/>
      <c r="E80" s="29">
        <v>138.6</v>
      </c>
      <c r="F80" s="29">
        <v>104.1</v>
      </c>
      <c r="G80" s="44" t="s">
        <v>189</v>
      </c>
    </row>
    <row r="81" spans="1:7" x14ac:dyDescent="0.2">
      <c r="A81" s="31">
        <v>12</v>
      </c>
      <c r="B81" s="11" t="s">
        <v>200</v>
      </c>
      <c r="C81" s="39">
        <v>0</v>
      </c>
      <c r="D81" s="11"/>
      <c r="E81" s="29">
        <v>137.1</v>
      </c>
      <c r="F81" s="29">
        <v>103.1</v>
      </c>
      <c r="G81" s="44" t="s">
        <v>189</v>
      </c>
    </row>
    <row r="82" spans="1:7" x14ac:dyDescent="0.2">
      <c r="A82" s="31">
        <v>13</v>
      </c>
      <c r="B82" s="11" t="s">
        <v>201</v>
      </c>
      <c r="C82" s="39">
        <v>0</v>
      </c>
      <c r="D82" s="11"/>
      <c r="E82" s="29">
        <v>136</v>
      </c>
      <c r="F82" s="29">
        <v>102.3</v>
      </c>
      <c r="G82" s="44" t="s">
        <v>189</v>
      </c>
    </row>
    <row r="83" spans="1:7" x14ac:dyDescent="0.2">
      <c r="A83" s="31">
        <v>14</v>
      </c>
      <c r="B83" s="11" t="s">
        <v>202</v>
      </c>
      <c r="C83" s="39">
        <v>15482</v>
      </c>
      <c r="D83" s="11"/>
      <c r="E83" s="29">
        <v>157.69999999999999</v>
      </c>
      <c r="F83" s="29">
        <v>116.8</v>
      </c>
      <c r="G83" s="44" t="s">
        <v>189</v>
      </c>
    </row>
    <row r="84" spans="1:7" x14ac:dyDescent="0.2">
      <c r="A84" s="31">
        <v>15</v>
      </c>
      <c r="B84" s="11" t="s">
        <v>203</v>
      </c>
      <c r="C84" s="39">
        <v>0</v>
      </c>
      <c r="D84" s="11"/>
      <c r="E84" s="29">
        <v>156.5</v>
      </c>
      <c r="F84" s="29">
        <v>116</v>
      </c>
      <c r="G84" s="44" t="s">
        <v>189</v>
      </c>
    </row>
    <row r="85" spans="1:7" x14ac:dyDescent="0.2">
      <c r="A85" s="31">
        <v>16</v>
      </c>
      <c r="B85" s="11" t="s">
        <v>204</v>
      </c>
      <c r="C85" s="39">
        <v>10292</v>
      </c>
      <c r="D85" s="11"/>
      <c r="E85" s="29">
        <v>168.7</v>
      </c>
      <c r="F85" s="29">
        <v>124.2</v>
      </c>
      <c r="G85" s="44" t="s">
        <v>189</v>
      </c>
    </row>
    <row r="86" spans="1:7" x14ac:dyDescent="0.2">
      <c r="A86" s="31">
        <v>17</v>
      </c>
      <c r="B86" s="11" t="s">
        <v>205</v>
      </c>
      <c r="C86" s="39">
        <v>0</v>
      </c>
      <c r="D86" s="11"/>
      <c r="E86" s="29">
        <v>167.2</v>
      </c>
      <c r="F86" s="29">
        <v>123.1</v>
      </c>
      <c r="G86" s="44" t="s">
        <v>189</v>
      </c>
    </row>
    <row r="87" spans="1:7" x14ac:dyDescent="0.2">
      <c r="A87" s="31">
        <v>18</v>
      </c>
      <c r="B87" s="11" t="s">
        <v>206</v>
      </c>
      <c r="C87" s="39">
        <v>0</v>
      </c>
      <c r="D87" s="11"/>
      <c r="E87" s="29">
        <v>165.9</v>
      </c>
      <c r="F87" s="29">
        <v>122.2</v>
      </c>
      <c r="G87" s="44" t="s">
        <v>189</v>
      </c>
    </row>
    <row r="88" spans="1:7" x14ac:dyDescent="0.2">
      <c r="A88" s="31">
        <v>19</v>
      </c>
      <c r="B88" s="11" t="s">
        <v>207</v>
      </c>
      <c r="C88" s="39">
        <v>16468</v>
      </c>
      <c r="D88" s="11"/>
      <c r="E88" s="29">
        <v>187.9</v>
      </c>
      <c r="F88" s="29">
        <v>136.9</v>
      </c>
      <c r="G88" s="44" t="s">
        <v>189</v>
      </c>
    </row>
    <row r="89" spans="1:7" x14ac:dyDescent="0.2">
      <c r="A89" s="31">
        <v>20</v>
      </c>
      <c r="B89" s="11" t="s">
        <v>208</v>
      </c>
      <c r="C89" s="39">
        <v>0</v>
      </c>
      <c r="D89" s="11"/>
      <c r="E89" s="29">
        <v>186.3</v>
      </c>
      <c r="F89" s="29">
        <v>135.9</v>
      </c>
      <c r="G89" s="44" t="s">
        <v>189</v>
      </c>
    </row>
    <row r="90" spans="1:7" x14ac:dyDescent="0.2">
      <c r="A90" s="31">
        <v>21</v>
      </c>
      <c r="B90" s="11" t="s">
        <v>209</v>
      </c>
      <c r="C90" s="39">
        <v>17171</v>
      </c>
      <c r="D90" s="11"/>
      <c r="E90" s="29">
        <v>210.3</v>
      </c>
      <c r="F90" s="29">
        <v>151.80000000000001</v>
      </c>
      <c r="G90" s="44" t="s">
        <v>189</v>
      </c>
    </row>
    <row r="91" spans="1:7" x14ac:dyDescent="0.2">
      <c r="A91" s="31">
        <v>22</v>
      </c>
      <c r="B91" s="11" t="s">
        <v>210</v>
      </c>
      <c r="C91" s="39">
        <v>0</v>
      </c>
      <c r="D91" s="11"/>
      <c r="E91" s="29">
        <v>208.3</v>
      </c>
      <c r="F91" s="29">
        <v>150.6</v>
      </c>
      <c r="G91" s="44" t="s">
        <v>189</v>
      </c>
    </row>
    <row r="92" spans="1:7" x14ac:dyDescent="0.2">
      <c r="A92" s="31">
        <v>23</v>
      </c>
      <c r="B92" s="11" t="s">
        <v>211</v>
      </c>
      <c r="C92" s="39">
        <v>0</v>
      </c>
      <c r="D92" s="11"/>
      <c r="E92" s="29">
        <v>204.1</v>
      </c>
      <c r="F92" s="29">
        <v>147.69999999999999</v>
      </c>
      <c r="G92" s="44" t="s">
        <v>189</v>
      </c>
    </row>
    <row r="94" spans="1:7" x14ac:dyDescent="0.2">
      <c r="A94" s="45" t="s">
        <v>212</v>
      </c>
      <c r="B94" s="5"/>
      <c r="C94" s="5"/>
      <c r="D94" s="5"/>
      <c r="E94" s="5"/>
      <c r="F94" s="5"/>
    </row>
    <row r="95" spans="1:7" x14ac:dyDescent="0.2">
      <c r="A95" s="17" t="s">
        <v>213</v>
      </c>
      <c r="C95" s="36">
        <f>MAX(E70:E92)</f>
        <v>210.3</v>
      </c>
      <c r="D95" s="11" t="s">
        <v>168</v>
      </c>
      <c r="E95" s="11" t="s">
        <v>214</v>
      </c>
      <c r="F95" s="17" t="str">
        <f>IF(C95&lt;600,"OK","OVERTEMP")</f>
        <v>OK</v>
      </c>
    </row>
    <row r="96" spans="1:7" x14ac:dyDescent="0.2">
      <c r="A96" s="17" t="s">
        <v>215</v>
      </c>
      <c r="C96" s="36">
        <f>MAX(F70:F92)</f>
        <v>151.80000000000001</v>
      </c>
      <c r="D96" s="11" t="s">
        <v>168</v>
      </c>
      <c r="E96" s="11" t="s">
        <v>214</v>
      </c>
      <c r="F96" s="17" t="str">
        <f>IF(C96&lt;600,"OK","OVERTEMP")</f>
        <v>OK</v>
      </c>
    </row>
    <row r="97" spans="1:6" x14ac:dyDescent="0.2">
      <c r="A97" s="11" t="s">
        <v>216</v>
      </c>
      <c r="C97" s="29">
        <f>E92</f>
        <v>204.1</v>
      </c>
      <c r="D97" s="11" t="s">
        <v>168</v>
      </c>
      <c r="F97" s="46" t="s">
        <v>217</v>
      </c>
    </row>
    <row r="98" spans="1:6" x14ac:dyDescent="0.2">
      <c r="A98" s="11" t="s">
        <v>218</v>
      </c>
      <c r="C98" s="29">
        <f>F92</f>
        <v>147.69999999999999</v>
      </c>
      <c r="D98" s="11" t="s">
        <v>168</v>
      </c>
      <c r="F98" s="46" t="s">
        <v>217</v>
      </c>
    </row>
    <row r="99" spans="1:6" x14ac:dyDescent="0.2">
      <c r="A99" s="17" t="s">
        <v>219</v>
      </c>
      <c r="C99" s="38">
        <f>C97+(C95-C97)*0.3</f>
        <v>205.96</v>
      </c>
      <c r="D99" s="11" t="s">
        <v>220</v>
      </c>
      <c r="E99" s="31">
        <f>C98+(C96-C98)*0.3</f>
        <v>148.93</v>
      </c>
      <c r="F99" s="11" t="s">
        <v>221</v>
      </c>
    </row>
    <row r="101" spans="1:6" x14ac:dyDescent="0.2">
      <c r="A101" s="6" t="s">
        <v>222</v>
      </c>
    </row>
    <row r="103" spans="1:6" x14ac:dyDescent="0.2">
      <c r="A103" s="7" t="s">
        <v>223</v>
      </c>
    </row>
    <row r="104" spans="1:6" x14ac:dyDescent="0.2">
      <c r="A104" s="47">
        <v>1</v>
      </c>
      <c r="B104" s="47" t="s">
        <v>224</v>
      </c>
    </row>
    <row r="105" spans="1:6" x14ac:dyDescent="0.2">
      <c r="A105" s="11">
        <v>2</v>
      </c>
      <c r="B105" s="11" t="s">
        <v>225</v>
      </c>
    </row>
    <row r="106" spans="1:6" x14ac:dyDescent="0.2">
      <c r="A106" s="11">
        <v>3</v>
      </c>
      <c r="B106" s="11" t="s">
        <v>226</v>
      </c>
    </row>
    <row r="107" spans="1:6" x14ac:dyDescent="0.2">
      <c r="A107" s="11">
        <v>4</v>
      </c>
      <c r="B107" s="11" t="s">
        <v>227</v>
      </c>
    </row>
    <row r="108" spans="1:6" x14ac:dyDescent="0.2">
      <c r="A108" s="13">
        <v>5</v>
      </c>
      <c r="B108" s="13" t="s">
        <v>228</v>
      </c>
    </row>
    <row r="109" spans="1:6" x14ac:dyDescent="0.2">
      <c r="A109" s="11">
        <v>6</v>
      </c>
      <c r="B109" s="11" t="s">
        <v>229</v>
      </c>
    </row>
    <row r="110" spans="1:6" x14ac:dyDescent="0.2">
      <c r="A110" s="11">
        <v>7</v>
      </c>
      <c r="B110" s="11" t="s">
        <v>230</v>
      </c>
    </row>
    <row r="111" spans="1:6" x14ac:dyDescent="0.2">
      <c r="A111" s="11">
        <v>8</v>
      </c>
      <c r="B111" s="47" t="s">
        <v>231</v>
      </c>
    </row>
  </sheetData>
  <conditionalFormatting sqref="F95:F96">
    <cfRule type="containsText" dxfId="4" priority="4" operator="containsText" text="OK">
      <formula>NOT(ISERROR(SEARCH("OK",F95)))</formula>
    </cfRule>
    <cfRule type="containsText" dxfId="3" priority="5" operator="containsText" text="OVERTEMP">
      <formula>NOT(ISERROR(SEARCH("OVERTEMP",F95)))</formula>
    </cfRule>
  </conditionalFormatting>
  <conditionalFormatting sqref="G70:G92">
    <cfRule type="containsText" dxfId="2" priority="1" operator="containsText" text="OVERTEMP">
      <formula>NOT(ISERROR(SEARCH("OVERTEMP",G70)))</formula>
    </cfRule>
    <cfRule type="containsText" dxfId="1" priority="2" operator="containsText" text="WARNING">
      <formula>NOT(ISERROR(SEARCH("WARNING",G70)))</formula>
    </cfRule>
    <cfRule type="containsText" dxfId="0" priority="3" operator="containsText" text="OK">
      <formula>NOT(ISERROR(SEARCH("OK",G70)))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4F2C-8FFF-D748-93A0-D071D6A38F08}">
  <dimension ref="C1:S31"/>
  <sheetViews>
    <sheetView showGridLines="0" tabSelected="1" topLeftCell="A67" zoomScale="166" zoomScaleNormal="150" workbookViewId="0">
      <selection activeCell="J31" sqref="J31"/>
    </sheetView>
  </sheetViews>
  <sheetFormatPr baseColWidth="10" defaultRowHeight="16" x14ac:dyDescent="0.2"/>
  <cols>
    <col min="9" max="9" width="17.6640625" bestFit="1" customWidth="1"/>
  </cols>
  <sheetData>
    <row r="1" spans="9:19" ht="17" thickBot="1" x14ac:dyDescent="0.25"/>
    <row r="2" spans="9:19" ht="17" thickBot="1" x14ac:dyDescent="0.25">
      <c r="I2" s="50" t="s">
        <v>232</v>
      </c>
      <c r="J2" s="51"/>
      <c r="K2" s="52"/>
      <c r="M2" s="50" t="s">
        <v>233</v>
      </c>
      <c r="N2" s="51"/>
      <c r="O2" s="52"/>
      <c r="Q2" s="50" t="s">
        <v>234</v>
      </c>
      <c r="R2" s="51"/>
      <c r="S2" s="52"/>
    </row>
    <row r="4" spans="9:19" x14ac:dyDescent="0.2">
      <c r="I4" t="s">
        <v>0</v>
      </c>
      <c r="J4">
        <v>179.5</v>
      </c>
      <c r="K4" t="s">
        <v>3</v>
      </c>
      <c r="M4" t="s">
        <v>18</v>
      </c>
      <c r="Q4" t="s">
        <v>26</v>
      </c>
      <c r="R4" t="s">
        <v>27</v>
      </c>
    </row>
    <row r="5" spans="9:19" x14ac:dyDescent="0.2">
      <c r="I5" t="s">
        <v>1</v>
      </c>
      <c r="J5">
        <v>129.6</v>
      </c>
      <c r="K5" t="s">
        <v>3</v>
      </c>
    </row>
    <row r="6" spans="9:19" x14ac:dyDescent="0.2">
      <c r="I6" t="s">
        <v>12</v>
      </c>
      <c r="J6">
        <v>4</v>
      </c>
      <c r="K6" t="s">
        <v>3</v>
      </c>
      <c r="M6" t="s">
        <v>16</v>
      </c>
      <c r="N6">
        <v>40</v>
      </c>
      <c r="O6" t="s">
        <v>22</v>
      </c>
      <c r="Q6" t="s">
        <v>28</v>
      </c>
      <c r="R6">
        <v>7700</v>
      </c>
      <c r="S6" t="s">
        <v>29</v>
      </c>
    </row>
    <row r="7" spans="9:19" x14ac:dyDescent="0.2">
      <c r="I7" t="s">
        <v>2</v>
      </c>
      <c r="J7">
        <v>8</v>
      </c>
      <c r="K7" t="s">
        <v>3</v>
      </c>
      <c r="M7" t="s">
        <v>17</v>
      </c>
      <c r="N7" s="3">
        <f>J18*10^-6</f>
        <v>2.4228103916153897E-2</v>
      </c>
      <c r="O7" t="s">
        <v>23</v>
      </c>
      <c r="Q7" t="s">
        <v>30</v>
      </c>
      <c r="R7">
        <v>475</v>
      </c>
      <c r="S7" t="s">
        <v>31</v>
      </c>
    </row>
    <row r="8" spans="9:19" x14ac:dyDescent="0.2">
      <c r="I8" t="s">
        <v>5</v>
      </c>
      <c r="J8">
        <v>36</v>
      </c>
      <c r="M8" t="s">
        <v>20</v>
      </c>
      <c r="N8">
        <f>N10+273</f>
        <v>673</v>
      </c>
      <c r="O8" t="s">
        <v>24</v>
      </c>
      <c r="Q8" t="s">
        <v>32</v>
      </c>
      <c r="R8">
        <v>25</v>
      </c>
      <c r="S8" t="s">
        <v>33</v>
      </c>
    </row>
    <row r="9" spans="9:19" x14ac:dyDescent="0.2">
      <c r="M9" t="s">
        <v>21</v>
      </c>
      <c r="N9">
        <f>N11+273</f>
        <v>293</v>
      </c>
      <c r="O9" t="s">
        <v>24</v>
      </c>
      <c r="Q9" t="s">
        <v>34</v>
      </c>
      <c r="R9">
        <f>N8</f>
        <v>673</v>
      </c>
      <c r="S9" t="s">
        <v>35</v>
      </c>
    </row>
    <row r="10" spans="9:19" x14ac:dyDescent="0.2">
      <c r="I10" t="s">
        <v>7</v>
      </c>
      <c r="J10" s="3">
        <f>((PI()*J7^2)/4)*J8</f>
        <v>1809.5573684677208</v>
      </c>
      <c r="K10" t="s">
        <v>4</v>
      </c>
      <c r="M10" t="s">
        <v>20</v>
      </c>
      <c r="N10">
        <v>400</v>
      </c>
      <c r="O10" t="s">
        <v>25</v>
      </c>
    </row>
    <row r="11" spans="9:19" x14ac:dyDescent="0.2">
      <c r="J11" s="3"/>
      <c r="M11" t="s">
        <v>21</v>
      </c>
      <c r="N11">
        <v>20</v>
      </c>
      <c r="O11" t="s">
        <v>25</v>
      </c>
      <c r="Q11" t="s">
        <v>36</v>
      </c>
    </row>
    <row r="12" spans="9:19" x14ac:dyDescent="0.2">
      <c r="I12" t="s">
        <v>9</v>
      </c>
      <c r="J12" s="3">
        <f>(PI()*(J4^2-J5^2))/4</f>
        <v>12114.051958076949</v>
      </c>
      <c r="K12" t="s">
        <v>4</v>
      </c>
      <c r="M12" t="s">
        <v>19</v>
      </c>
      <c r="N12">
        <f>N9-N8</f>
        <v>-380</v>
      </c>
      <c r="O12" t="s">
        <v>24</v>
      </c>
    </row>
    <row r="13" spans="9:19" x14ac:dyDescent="0.2">
      <c r="J13" s="3"/>
    </row>
    <row r="14" spans="9:19" x14ac:dyDescent="0.2">
      <c r="I14" t="s">
        <v>8</v>
      </c>
      <c r="J14" s="3">
        <f>J12-J10</f>
        <v>10304.494589609229</v>
      </c>
      <c r="K14" t="s">
        <v>4</v>
      </c>
      <c r="M14" t="s">
        <v>15</v>
      </c>
      <c r="N14">
        <f>N6*N7*N12</f>
        <v>-368.26717952553923</v>
      </c>
      <c r="O14" t="s">
        <v>14</v>
      </c>
    </row>
    <row r="15" spans="9:19" x14ac:dyDescent="0.2">
      <c r="J15" s="3"/>
    </row>
    <row r="16" spans="9:19" x14ac:dyDescent="0.2">
      <c r="I16" t="s">
        <v>11</v>
      </c>
      <c r="J16" s="3">
        <f>PI()*J7*J6*J8</f>
        <v>3619.1147369354417</v>
      </c>
      <c r="K16" t="s">
        <v>4</v>
      </c>
    </row>
    <row r="17" spans="3:14" x14ac:dyDescent="0.2">
      <c r="J17" s="3"/>
    </row>
    <row r="18" spans="3:14" x14ac:dyDescent="0.2">
      <c r="I18" t="s">
        <v>10</v>
      </c>
      <c r="J18" s="3">
        <f>J14*2+J16</f>
        <v>24228.103916153897</v>
      </c>
      <c r="K18" t="s">
        <v>4</v>
      </c>
      <c r="N18" t="s">
        <v>6</v>
      </c>
    </row>
    <row r="24" spans="3:14" x14ac:dyDescent="0.2">
      <c r="I24" s="4"/>
      <c r="J24" s="4"/>
    </row>
    <row r="25" spans="3:14" x14ac:dyDescent="0.2">
      <c r="I25" s="4"/>
      <c r="J25" s="4"/>
    </row>
    <row r="27" spans="3:14" x14ac:dyDescent="0.2">
      <c r="C27" s="1"/>
      <c r="E27" s="2"/>
      <c r="I27" t="s">
        <v>13</v>
      </c>
      <c r="J27">
        <f>9400</f>
        <v>9400</v>
      </c>
      <c r="K27" t="s">
        <v>4</v>
      </c>
    </row>
    <row r="30" spans="3:14" x14ac:dyDescent="0.2">
      <c r="C30" s="1"/>
      <c r="E30" s="2"/>
    </row>
    <row r="31" spans="3:14" x14ac:dyDescent="0.2">
      <c r="C31" s="1"/>
      <c r="E31" s="2"/>
    </row>
  </sheetData>
  <mergeCells count="3">
    <mergeCell ref="I2:K2"/>
    <mergeCell ref="M2:O2"/>
    <mergeCell ref="Q2:S2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f998a-1eac-4c61-8aea-389818f79c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2827614557140A30579C8021AA72A" ma:contentTypeVersion="11" ma:contentTypeDescription="Create a new document." ma:contentTypeScope="" ma:versionID="e004c3532105a749a359b755f15899f6">
  <xsd:schema xmlns:xsd="http://www.w3.org/2001/XMLSchema" xmlns:xs="http://www.w3.org/2001/XMLSchema" xmlns:p="http://schemas.microsoft.com/office/2006/metadata/properties" xmlns:ns2="d89f998a-1eac-4c61-8aea-389818f79ce4" targetNamespace="http://schemas.microsoft.com/office/2006/metadata/properties" ma:root="true" ma:fieldsID="eab648b0f23cd323f7afae0771db92a0" ns2:_="">
    <xsd:import namespace="d89f998a-1eac-4c61-8aea-389818f79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f998a-1eac-4c61-8aea-389818f79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9a7d71-2540-4888-9211-9438fa205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EBD175-57C6-4D70-9318-F39ED3929F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1C098-B257-4E1C-9B8A-7EE0B8CFB35D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d89f998a-1eac-4c61-8aea-389818f79ce4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044AC9F-7916-4270-B867-150506D09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f998a-1eac-4c61-8aea-389818f79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Brakes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ISC Formula Student Racing Team</dc:creator>
  <cp:lastModifiedBy>Jaime de Carvajal Torres</cp:lastModifiedBy>
  <dcterms:created xsi:type="dcterms:W3CDTF">2025-12-26T19:12:32Z</dcterms:created>
  <dcterms:modified xsi:type="dcterms:W3CDTF">2026-04-22T15:17:01Z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0x01010008A2827614557140A30579C8021AA72A</vt:lpwstr>
  </property>
  <property fmtid="{D5CDD505-2E9C-101B-9397-08002B2CF9AE}" pid="3" name="MediaServiceImageTags">
    <vt:lpwstr/>
  </property>
</Properties>
</file>