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" windowWidth="11340" windowHeight="6540"/>
  </bookViews>
  <sheets>
    <sheet name="CS" sheetId="38" r:id="rId1"/>
    <sheet name="S&amp;C Jun'11" sheetId="20" state="hidden" r:id="rId2"/>
    <sheet name="S&amp;C Mar'11" sheetId="19" state="hidden" r:id="rId3"/>
    <sheet name="S&amp;C Dec'10" sheetId="18" state="hidden" r:id="rId4"/>
    <sheet name="S&amp;C Sept'10 " sheetId="17" state="hidden" r:id="rId5"/>
    <sheet name="S&amp;C Jun'10" sheetId="15" state="hidden" r:id="rId6"/>
  </sheets>
  <definedNames>
    <definedName name="_xlnm.Print_Area" localSheetId="3">'S&amp;C Dec''10'!$A$1:$Q$65</definedName>
    <definedName name="_xlnm.Print_Area" localSheetId="5">'S&amp;C Jun''10'!$A$1:$M$64</definedName>
    <definedName name="_xlnm.Print_Area" localSheetId="1">'S&amp;C Jun''11'!$A$1:$T$62</definedName>
    <definedName name="_xlnm.Print_Area" localSheetId="2">'S&amp;C Mar''11'!$A$1:$Q$62</definedName>
    <definedName name="_xlnm.Print_Area" localSheetId="4">'S&amp;C Sept''10 '!$A$1:$M$64</definedName>
  </definedNames>
  <calcPr calcId="145621"/>
</workbook>
</file>

<file path=xl/calcChain.xml><?xml version="1.0" encoding="utf-8"?>
<calcChain xmlns="http://schemas.openxmlformats.org/spreadsheetml/2006/main">
  <c r="P23" i="20" l="1"/>
  <c r="P38" i="20"/>
  <c r="P33" i="20"/>
  <c r="O35" i="20"/>
  <c r="P61" i="20"/>
  <c r="L54" i="20"/>
  <c r="P54" i="20"/>
  <c r="O54" i="20"/>
  <c r="P52" i="20"/>
  <c r="P44" i="20"/>
  <c r="P42" i="20"/>
  <c r="P27" i="20"/>
  <c r="P65" i="20"/>
  <c r="P46" i="20"/>
  <c r="Q46" i="20"/>
  <c r="P36" i="20"/>
  <c r="P31" i="20"/>
  <c r="P29" i="20"/>
  <c r="R23" i="20"/>
  <c r="P10" i="20"/>
  <c r="Q60" i="20"/>
  <c r="N20" i="20"/>
  <c r="U3" i="20"/>
  <c r="E10" i="20"/>
  <c r="I10" i="20"/>
  <c r="I58" i="20"/>
  <c r="J10" i="20"/>
  <c r="E11" i="20"/>
  <c r="H11" i="20"/>
  <c r="F11" i="20"/>
  <c r="L11" i="20"/>
  <c r="A12" i="20"/>
  <c r="A14" i="20"/>
  <c r="E12" i="20"/>
  <c r="H12" i="20"/>
  <c r="F12" i="20"/>
  <c r="L12" i="20"/>
  <c r="O12" i="20"/>
  <c r="M12" i="20"/>
  <c r="Q12" i="20"/>
  <c r="E13" i="20"/>
  <c r="H13" i="20"/>
  <c r="F13" i="20"/>
  <c r="L13" i="20"/>
  <c r="P13" i="20"/>
  <c r="E14" i="20"/>
  <c r="H14" i="20"/>
  <c r="F14" i="20"/>
  <c r="L14" i="20"/>
  <c r="O14" i="20"/>
  <c r="M14" i="20"/>
  <c r="Q14" i="20"/>
  <c r="H15" i="20"/>
  <c r="F15" i="20"/>
  <c r="L15" i="20"/>
  <c r="P15" i="20"/>
  <c r="O15" i="20"/>
  <c r="E16" i="20"/>
  <c r="H16" i="20"/>
  <c r="F16" i="20"/>
  <c r="L16" i="20"/>
  <c r="O16" i="20"/>
  <c r="M16" i="20"/>
  <c r="Q16" i="20"/>
  <c r="H17" i="20"/>
  <c r="F17" i="20"/>
  <c r="L17" i="20"/>
  <c r="P17" i="20"/>
  <c r="Q17" i="20"/>
  <c r="E18" i="20"/>
  <c r="H18" i="20"/>
  <c r="F18" i="20"/>
  <c r="L18" i="20"/>
  <c r="O18" i="20"/>
  <c r="M18" i="20"/>
  <c r="Q18" i="20"/>
  <c r="T37" i="20"/>
  <c r="H19" i="20"/>
  <c r="F19" i="20"/>
  <c r="L19" i="20"/>
  <c r="P19" i="20"/>
  <c r="O19" i="20"/>
  <c r="C20" i="20"/>
  <c r="D20" i="20"/>
  <c r="G20" i="20"/>
  <c r="K20" i="20"/>
  <c r="E21" i="20"/>
  <c r="L21" i="20"/>
  <c r="Q21" i="20"/>
  <c r="E22" i="20"/>
  <c r="L22" i="20"/>
  <c r="P22" i="20"/>
  <c r="E23" i="20"/>
  <c r="I23" i="20"/>
  <c r="H23" i="20"/>
  <c r="J23" i="20"/>
  <c r="E24" i="20"/>
  <c r="H25" i="20"/>
  <c r="F25" i="20"/>
  <c r="L24" i="20"/>
  <c r="O24" i="20"/>
  <c r="Q24" i="20"/>
  <c r="R24" i="20"/>
  <c r="A25" i="20"/>
  <c r="A27" i="20"/>
  <c r="A29" i="20"/>
  <c r="A31" i="20"/>
  <c r="A33" i="20"/>
  <c r="A36" i="20"/>
  <c r="A38" i="20"/>
  <c r="A40" i="20"/>
  <c r="A42" i="20"/>
  <c r="A44" i="20"/>
  <c r="E25" i="20"/>
  <c r="H26" i="20"/>
  <c r="F26" i="20"/>
  <c r="J25" i="20"/>
  <c r="L25" i="20"/>
  <c r="O25" i="20"/>
  <c r="M25" i="20"/>
  <c r="Q25" i="20"/>
  <c r="R25" i="20"/>
  <c r="E26" i="20"/>
  <c r="L26" i="20"/>
  <c r="O26" i="20"/>
  <c r="Q26" i="20"/>
  <c r="R26" i="20"/>
  <c r="E27" i="20"/>
  <c r="G27" i="20"/>
  <c r="G56" i="20"/>
  <c r="I27" i="20"/>
  <c r="H27" i="20"/>
  <c r="J27" i="20"/>
  <c r="L27" i="20"/>
  <c r="E28" i="20"/>
  <c r="L28" i="20"/>
  <c r="O28" i="20"/>
  <c r="Q28" i="20"/>
  <c r="R28" i="20"/>
  <c r="E29" i="20"/>
  <c r="H29" i="20"/>
  <c r="F29" i="20"/>
  <c r="J29" i="20"/>
  <c r="L29" i="20"/>
  <c r="Q29" i="20"/>
  <c r="R29" i="20"/>
  <c r="E30" i="20"/>
  <c r="L30" i="20"/>
  <c r="O30" i="20"/>
  <c r="Q30" i="20"/>
  <c r="R30" i="20"/>
  <c r="E31" i="20"/>
  <c r="H31" i="20"/>
  <c r="F31" i="20"/>
  <c r="J31" i="20"/>
  <c r="L31" i="20"/>
  <c r="O31" i="20"/>
  <c r="M31" i="20"/>
  <c r="R31" i="20"/>
  <c r="E32" i="20"/>
  <c r="L32" i="20"/>
  <c r="O32" i="20"/>
  <c r="Q32" i="20"/>
  <c r="R32" i="20"/>
  <c r="E33" i="20"/>
  <c r="H34" i="20"/>
  <c r="F34" i="20"/>
  <c r="I33" i="20"/>
  <c r="H33" i="20"/>
  <c r="F33" i="20"/>
  <c r="J33" i="20"/>
  <c r="K33" i="20"/>
  <c r="L33" i="20"/>
  <c r="E34" i="20"/>
  <c r="L34" i="20"/>
  <c r="O34" i="20"/>
  <c r="M34" i="20"/>
  <c r="Q34" i="20"/>
  <c r="T34" i="20"/>
  <c r="E36" i="20"/>
  <c r="H36" i="20"/>
  <c r="F36" i="20"/>
  <c r="J36" i="20"/>
  <c r="L36" i="20"/>
  <c r="O36" i="20"/>
  <c r="M36" i="20"/>
  <c r="Q36" i="20"/>
  <c r="R36" i="20"/>
  <c r="E37" i="20"/>
  <c r="H40" i="20"/>
  <c r="F40" i="20"/>
  <c r="L37" i="20"/>
  <c r="O37" i="20"/>
  <c r="Q37" i="20"/>
  <c r="R37" i="20"/>
  <c r="E38" i="20"/>
  <c r="H38" i="20"/>
  <c r="F38" i="20"/>
  <c r="J38" i="20"/>
  <c r="L38" i="20"/>
  <c r="R38" i="20"/>
  <c r="E39" i="20"/>
  <c r="L39" i="20"/>
  <c r="O39" i="20"/>
  <c r="M39" i="20"/>
  <c r="Q39" i="20"/>
  <c r="R39" i="20"/>
  <c r="E40" i="20"/>
  <c r="H41" i="20"/>
  <c r="F41" i="20"/>
  <c r="L40" i="20"/>
  <c r="O40" i="20"/>
  <c r="M40" i="20"/>
  <c r="Q40" i="20"/>
  <c r="R40" i="20"/>
  <c r="E41" i="20"/>
  <c r="L41" i="20"/>
  <c r="O41" i="20"/>
  <c r="M41" i="20"/>
  <c r="Q41" i="20"/>
  <c r="R41" i="20"/>
  <c r="E42" i="20"/>
  <c r="H42" i="20"/>
  <c r="F42" i="20"/>
  <c r="J42" i="20"/>
  <c r="L42" i="20"/>
  <c r="O42" i="20"/>
  <c r="M42" i="20"/>
  <c r="Q42" i="20"/>
  <c r="R42" i="20"/>
  <c r="E43" i="20"/>
  <c r="L43" i="20"/>
  <c r="O43" i="20"/>
  <c r="Q43" i="20"/>
  <c r="R43" i="20"/>
  <c r="E44" i="20"/>
  <c r="I44" i="20"/>
  <c r="J44" i="20"/>
  <c r="L44" i="20"/>
  <c r="R44" i="20"/>
  <c r="H45" i="20"/>
  <c r="F45" i="20"/>
  <c r="L45" i="20"/>
  <c r="O45" i="20"/>
  <c r="M45" i="20"/>
  <c r="Q45" i="20"/>
  <c r="R45" i="20"/>
  <c r="E46" i="20"/>
  <c r="H46" i="20"/>
  <c r="F46" i="20"/>
  <c r="L46" i="20"/>
  <c r="O46" i="20"/>
  <c r="M46" i="20"/>
  <c r="R46" i="20"/>
  <c r="E47" i="20"/>
  <c r="H47" i="20"/>
  <c r="F47" i="20"/>
  <c r="L47" i="20"/>
  <c r="O47" i="20"/>
  <c r="M47" i="20"/>
  <c r="Q47" i="20"/>
  <c r="R47" i="20"/>
  <c r="E48" i="20"/>
  <c r="H48" i="20"/>
  <c r="F48" i="20"/>
  <c r="J48" i="20"/>
  <c r="L48" i="20"/>
  <c r="O48" i="20"/>
  <c r="M48" i="20"/>
  <c r="Q48" i="20"/>
  <c r="R48" i="20"/>
  <c r="E49" i="20"/>
  <c r="H49" i="20"/>
  <c r="F49" i="20"/>
  <c r="L49" i="20"/>
  <c r="O49" i="20"/>
  <c r="M49" i="20"/>
  <c r="Q49" i="20"/>
  <c r="R49" i="20"/>
  <c r="A50" i="20"/>
  <c r="A52" i="20"/>
  <c r="A54" i="20"/>
  <c r="E50" i="20"/>
  <c r="H50" i="20"/>
  <c r="F50" i="20"/>
  <c r="L50" i="20"/>
  <c r="O50" i="20"/>
  <c r="M50" i="20"/>
  <c r="Q50" i="20"/>
  <c r="R50" i="20"/>
  <c r="E51" i="20"/>
  <c r="H51" i="20"/>
  <c r="F51" i="20"/>
  <c r="L51" i="20"/>
  <c r="O51" i="20"/>
  <c r="M51" i="20"/>
  <c r="Q51" i="20"/>
  <c r="R51" i="20"/>
  <c r="C52" i="20"/>
  <c r="I52" i="20"/>
  <c r="J52" i="20"/>
  <c r="L52" i="20"/>
  <c r="R52" i="20"/>
  <c r="E53" i="20"/>
  <c r="H53" i="20"/>
  <c r="F53" i="20"/>
  <c r="L53" i="20"/>
  <c r="O53" i="20"/>
  <c r="M53" i="20"/>
  <c r="Q53" i="20"/>
  <c r="R53" i="20"/>
  <c r="E54" i="20"/>
  <c r="H54" i="20"/>
  <c r="F54" i="20"/>
  <c r="Q54" i="20"/>
  <c r="E55" i="20"/>
  <c r="H55" i="20"/>
  <c r="F55" i="20"/>
  <c r="L55" i="20"/>
  <c r="O55" i="20"/>
  <c r="M55" i="20"/>
  <c r="Q55" i="20"/>
  <c r="R55" i="20"/>
  <c r="D56" i="20"/>
  <c r="E58" i="20"/>
  <c r="L58" i="20"/>
  <c r="N60" i="20"/>
  <c r="P60" i="20"/>
  <c r="R60" i="20"/>
  <c r="I65" i="20"/>
  <c r="L65" i="20"/>
  <c r="L65" i="19"/>
  <c r="K61" i="19"/>
  <c r="J52" i="19"/>
  <c r="L52" i="19"/>
  <c r="M52" i="19"/>
  <c r="J48" i="19"/>
  <c r="L48" i="19"/>
  <c r="M48" i="19"/>
  <c r="N48" i="19"/>
  <c r="J33" i="19"/>
  <c r="K33" i="19"/>
  <c r="L33" i="19"/>
  <c r="J44" i="19"/>
  <c r="J42" i="19"/>
  <c r="L42" i="19"/>
  <c r="M42" i="19"/>
  <c r="J27" i="19"/>
  <c r="L27" i="19"/>
  <c r="M27" i="19"/>
  <c r="N27" i="19"/>
  <c r="J23" i="19"/>
  <c r="L23" i="19"/>
  <c r="R3" i="19"/>
  <c r="O23" i="19"/>
  <c r="O28" i="19"/>
  <c r="L40" i="19"/>
  <c r="L28" i="19"/>
  <c r="M28" i="19"/>
  <c r="N28" i="19"/>
  <c r="L44" i="19"/>
  <c r="L34" i="19"/>
  <c r="J38" i="19"/>
  <c r="J36" i="19"/>
  <c r="J31" i="19"/>
  <c r="L31" i="19"/>
  <c r="M31" i="19"/>
  <c r="N31" i="19"/>
  <c r="J29" i="19"/>
  <c r="J25" i="19"/>
  <c r="J10" i="19"/>
  <c r="L10" i="19"/>
  <c r="I23" i="19"/>
  <c r="I65" i="19"/>
  <c r="O24" i="19"/>
  <c r="O25" i="19"/>
  <c r="O26" i="19"/>
  <c r="O29" i="19"/>
  <c r="O30" i="19"/>
  <c r="O31" i="19"/>
  <c r="O32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E10" i="19"/>
  <c r="I10" i="19"/>
  <c r="H10" i="19"/>
  <c r="E11" i="19"/>
  <c r="H11" i="19"/>
  <c r="L11" i="19"/>
  <c r="M11" i="19"/>
  <c r="N11" i="19"/>
  <c r="A12" i="19"/>
  <c r="A14" i="19"/>
  <c r="E12" i="19"/>
  <c r="H12" i="19"/>
  <c r="F12" i="19"/>
  <c r="L12" i="19"/>
  <c r="M12" i="19"/>
  <c r="N12" i="19"/>
  <c r="E13" i="19"/>
  <c r="H13" i="19"/>
  <c r="F13" i="19"/>
  <c r="L13" i="19"/>
  <c r="M13" i="19"/>
  <c r="N13" i="19"/>
  <c r="E14" i="19"/>
  <c r="H14" i="19"/>
  <c r="F14" i="19"/>
  <c r="L14" i="19"/>
  <c r="M14" i="19"/>
  <c r="N14" i="19"/>
  <c r="H15" i="19"/>
  <c r="F15" i="19"/>
  <c r="L15" i="19"/>
  <c r="M15" i="19"/>
  <c r="N15" i="19"/>
  <c r="E16" i="19"/>
  <c r="H16" i="19"/>
  <c r="F16" i="19"/>
  <c r="L16" i="19"/>
  <c r="M16" i="19"/>
  <c r="N16" i="19"/>
  <c r="H17" i="19"/>
  <c r="F17" i="19"/>
  <c r="L17" i="19"/>
  <c r="M17" i="19"/>
  <c r="E18" i="19"/>
  <c r="H18" i="19"/>
  <c r="F18" i="19"/>
  <c r="L18" i="19"/>
  <c r="M18" i="19"/>
  <c r="N18" i="19"/>
  <c r="H19" i="19"/>
  <c r="F19" i="19"/>
  <c r="L19" i="19"/>
  <c r="M19" i="19"/>
  <c r="N19" i="19"/>
  <c r="C20" i="19"/>
  <c r="D20" i="19"/>
  <c r="G20" i="19"/>
  <c r="I20" i="19"/>
  <c r="I3" i="19"/>
  <c r="J20" i="19"/>
  <c r="K20" i="19"/>
  <c r="E21" i="19"/>
  <c r="L21" i="19"/>
  <c r="N21" i="19"/>
  <c r="E22" i="19"/>
  <c r="L22" i="19"/>
  <c r="M22" i="19"/>
  <c r="N22" i="19"/>
  <c r="E23" i="19"/>
  <c r="H23" i="19"/>
  <c r="F23" i="19"/>
  <c r="E24" i="19"/>
  <c r="H25" i="19"/>
  <c r="F25" i="19"/>
  <c r="L24" i="19"/>
  <c r="M24" i="19"/>
  <c r="N24" i="19"/>
  <c r="L29" i="19"/>
  <c r="M29" i="19"/>
  <c r="N29" i="19"/>
  <c r="L30" i="19"/>
  <c r="M30" i="19"/>
  <c r="N30" i="19"/>
  <c r="L32" i="19"/>
  <c r="M32" i="19"/>
  <c r="N32" i="19"/>
  <c r="M34" i="19"/>
  <c r="L36" i="19"/>
  <c r="M36" i="19"/>
  <c r="N36" i="19"/>
  <c r="L37" i="19"/>
  <c r="M37" i="19"/>
  <c r="N37" i="19"/>
  <c r="L38" i="19"/>
  <c r="M38" i="19"/>
  <c r="N38" i="19"/>
  <c r="L39" i="19"/>
  <c r="M39" i="19"/>
  <c r="N39" i="19"/>
  <c r="M40" i="19"/>
  <c r="N40" i="19"/>
  <c r="A25" i="19"/>
  <c r="A27" i="19"/>
  <c r="A29" i="19"/>
  <c r="A31" i="19"/>
  <c r="A33" i="19"/>
  <c r="A36" i="19"/>
  <c r="A38" i="19"/>
  <c r="A40" i="19"/>
  <c r="A42" i="19"/>
  <c r="A44" i="19"/>
  <c r="E25" i="19"/>
  <c r="H26" i="19"/>
  <c r="L25" i="19"/>
  <c r="M25" i="19"/>
  <c r="N25" i="19"/>
  <c r="L43" i="19"/>
  <c r="M43" i="19"/>
  <c r="M44" i="19"/>
  <c r="L45" i="19"/>
  <c r="M45" i="19"/>
  <c r="N45" i="19"/>
  <c r="L46" i="19"/>
  <c r="M46" i="19"/>
  <c r="N46" i="19"/>
  <c r="L47" i="19"/>
  <c r="M47" i="19"/>
  <c r="N47" i="19"/>
  <c r="L49" i="19"/>
  <c r="M49" i="19"/>
  <c r="N49" i="19"/>
  <c r="L50" i="19"/>
  <c r="M50" i="19"/>
  <c r="N50" i="19"/>
  <c r="L51" i="19"/>
  <c r="M51" i="19"/>
  <c r="N51" i="19"/>
  <c r="E26" i="19"/>
  <c r="L26" i="19"/>
  <c r="M26" i="19"/>
  <c r="N26" i="19"/>
  <c r="E27" i="19"/>
  <c r="E56" i="19"/>
  <c r="G27" i="19"/>
  <c r="O27" i="19"/>
  <c r="I27" i="19"/>
  <c r="L41" i="19"/>
  <c r="M41" i="19"/>
  <c r="N41" i="19"/>
  <c r="L53" i="19"/>
  <c r="M53" i="19"/>
  <c r="N53" i="19"/>
  <c r="E28" i="19"/>
  <c r="E29" i="19"/>
  <c r="H29" i="19"/>
  <c r="F29" i="19"/>
  <c r="E30" i="19"/>
  <c r="E31" i="19"/>
  <c r="H31" i="19"/>
  <c r="F31" i="19"/>
  <c r="E32" i="19"/>
  <c r="E33" i="19"/>
  <c r="H34" i="19"/>
  <c r="I33" i="19"/>
  <c r="H33" i="19"/>
  <c r="F33" i="19"/>
  <c r="E34" i="19"/>
  <c r="N34" i="19"/>
  <c r="Q34" i="19"/>
  <c r="Q38" i="19"/>
  <c r="Q40" i="19"/>
  <c r="E36" i="19"/>
  <c r="H36" i="19"/>
  <c r="F36" i="19"/>
  <c r="E37" i="19"/>
  <c r="H40" i="19"/>
  <c r="F40" i="19"/>
  <c r="E38" i="19"/>
  <c r="H38" i="19"/>
  <c r="F38" i="19"/>
  <c r="E39" i="19"/>
  <c r="E40" i="19"/>
  <c r="H41" i="19"/>
  <c r="F41" i="19"/>
  <c r="E41" i="19"/>
  <c r="E42" i="19"/>
  <c r="H42" i="19"/>
  <c r="F42" i="19"/>
  <c r="E43" i="19"/>
  <c r="E44" i="19"/>
  <c r="I44" i="19"/>
  <c r="H44" i="19"/>
  <c r="F44" i="19"/>
  <c r="H45" i="19"/>
  <c r="F45" i="19"/>
  <c r="E46" i="19"/>
  <c r="H46" i="19"/>
  <c r="F46" i="19"/>
  <c r="E47" i="19"/>
  <c r="H47" i="19"/>
  <c r="F47" i="19"/>
  <c r="E48" i="19"/>
  <c r="H48" i="19"/>
  <c r="F48" i="19"/>
  <c r="E49" i="19"/>
  <c r="H49" i="19"/>
  <c r="F49" i="19"/>
  <c r="A50" i="19"/>
  <c r="A52" i="19"/>
  <c r="A54" i="19"/>
  <c r="E50" i="19"/>
  <c r="H50" i="19"/>
  <c r="F50" i="19"/>
  <c r="E51" i="19"/>
  <c r="H51" i="19"/>
  <c r="F51" i="19"/>
  <c r="C52" i="19"/>
  <c r="E52" i="19"/>
  <c r="I52" i="19"/>
  <c r="N52" i="19"/>
  <c r="E53" i="19"/>
  <c r="H53" i="19"/>
  <c r="F53" i="19"/>
  <c r="O53" i="19"/>
  <c r="E54" i="19"/>
  <c r="H54" i="19"/>
  <c r="F54" i="19"/>
  <c r="E55" i="19"/>
  <c r="H55" i="19"/>
  <c r="F55" i="19"/>
  <c r="L55" i="19"/>
  <c r="N55" i="19"/>
  <c r="O55" i="19"/>
  <c r="D56" i="19"/>
  <c r="E58" i="19"/>
  <c r="I58" i="19"/>
  <c r="K60" i="19"/>
  <c r="M60" i="19"/>
  <c r="M61" i="19"/>
  <c r="Q34" i="18"/>
  <c r="Q38" i="18"/>
  <c r="Q40" i="18"/>
  <c r="J33" i="18"/>
  <c r="L33" i="18"/>
  <c r="M33" i="18"/>
  <c r="L65" i="18"/>
  <c r="J23" i="18"/>
  <c r="L23" i="18"/>
  <c r="L34" i="18"/>
  <c r="M34" i="18"/>
  <c r="N34" i="18"/>
  <c r="K38" i="18"/>
  <c r="O38" i="18"/>
  <c r="L28" i="18"/>
  <c r="M28" i="18"/>
  <c r="N28" i="18"/>
  <c r="O23" i="18"/>
  <c r="O33" i="18"/>
  <c r="O28" i="18"/>
  <c r="R3" i="18"/>
  <c r="M61" i="18"/>
  <c r="J48" i="18"/>
  <c r="L48" i="18"/>
  <c r="M48" i="18"/>
  <c r="N48" i="18"/>
  <c r="J44" i="18"/>
  <c r="L44" i="18"/>
  <c r="M44" i="18"/>
  <c r="J52" i="18"/>
  <c r="L52" i="18"/>
  <c r="M52" i="18"/>
  <c r="J40" i="18"/>
  <c r="L40" i="18"/>
  <c r="M40" i="18"/>
  <c r="N40" i="18"/>
  <c r="J29" i="18"/>
  <c r="L29" i="18"/>
  <c r="M29" i="18"/>
  <c r="N29" i="18"/>
  <c r="J42" i="18"/>
  <c r="L42" i="18"/>
  <c r="M42" i="18"/>
  <c r="J27" i="18"/>
  <c r="K33" i="17"/>
  <c r="J10" i="18"/>
  <c r="J20" i="18"/>
  <c r="L18" i="18"/>
  <c r="M18" i="18"/>
  <c r="N18" i="18"/>
  <c r="L12" i="18"/>
  <c r="M12" i="18"/>
  <c r="L13" i="18"/>
  <c r="M13" i="18"/>
  <c r="N13" i="18"/>
  <c r="L14" i="18"/>
  <c r="M14" i="18"/>
  <c r="N14" i="18"/>
  <c r="L16" i="18"/>
  <c r="M16" i="18"/>
  <c r="N16" i="18"/>
  <c r="O53" i="18"/>
  <c r="L53" i="18"/>
  <c r="M53" i="18"/>
  <c r="N53" i="18"/>
  <c r="O52" i="18"/>
  <c r="O51" i="18"/>
  <c r="L51" i="18"/>
  <c r="M51" i="18"/>
  <c r="N51" i="18"/>
  <c r="O50" i="18"/>
  <c r="L50" i="18"/>
  <c r="M50" i="18"/>
  <c r="N50" i="18"/>
  <c r="O49" i="18"/>
  <c r="L49" i="18"/>
  <c r="M49" i="18"/>
  <c r="N49" i="18"/>
  <c r="O48" i="18"/>
  <c r="O47" i="18"/>
  <c r="L47" i="18"/>
  <c r="M47" i="18"/>
  <c r="N47" i="18"/>
  <c r="O46" i="18"/>
  <c r="L46" i="18"/>
  <c r="M46" i="18"/>
  <c r="N46" i="18"/>
  <c r="O45" i="18"/>
  <c r="L45" i="18"/>
  <c r="M45" i="18"/>
  <c r="N45" i="18"/>
  <c r="O44" i="18"/>
  <c r="O43" i="18"/>
  <c r="L43" i="18"/>
  <c r="M43" i="18"/>
  <c r="N43" i="18"/>
  <c r="O42" i="18"/>
  <c r="O41" i="18"/>
  <c r="L41" i="18"/>
  <c r="M41" i="18"/>
  <c r="N41" i="18"/>
  <c r="O40" i="18"/>
  <c r="O39" i="18"/>
  <c r="L39" i="18"/>
  <c r="M39" i="18"/>
  <c r="N39" i="18"/>
  <c r="O37" i="18"/>
  <c r="L37" i="18"/>
  <c r="M37" i="18"/>
  <c r="N37" i="18"/>
  <c r="O36" i="18"/>
  <c r="L36" i="18"/>
  <c r="M36" i="18"/>
  <c r="N36" i="18"/>
  <c r="O32" i="18"/>
  <c r="L32" i="18"/>
  <c r="M32" i="18"/>
  <c r="N32" i="18"/>
  <c r="O31" i="18"/>
  <c r="L31" i="18"/>
  <c r="M31" i="18"/>
  <c r="N31" i="18"/>
  <c r="O30" i="18"/>
  <c r="L30" i="18"/>
  <c r="M30" i="18"/>
  <c r="N30" i="18"/>
  <c r="O29" i="18"/>
  <c r="O26" i="18"/>
  <c r="L26" i="18"/>
  <c r="M26" i="18"/>
  <c r="N26" i="18"/>
  <c r="O25" i="18"/>
  <c r="L25" i="18"/>
  <c r="M25" i="18"/>
  <c r="N25" i="18"/>
  <c r="O24" i="18"/>
  <c r="L24" i="18"/>
  <c r="M24" i="18"/>
  <c r="N24" i="18"/>
  <c r="L22" i="18"/>
  <c r="M22" i="18"/>
  <c r="N22" i="18"/>
  <c r="L19" i="18"/>
  <c r="M19" i="18"/>
  <c r="N19" i="18"/>
  <c r="L17" i="18"/>
  <c r="M17" i="18"/>
  <c r="N17" i="18"/>
  <c r="L15" i="18"/>
  <c r="M15" i="18"/>
  <c r="N15" i="18"/>
  <c r="L11" i="18"/>
  <c r="L21" i="18"/>
  <c r="L55" i="18"/>
  <c r="K20" i="18"/>
  <c r="E10" i="18"/>
  <c r="I10" i="18"/>
  <c r="E11" i="18"/>
  <c r="H11" i="18"/>
  <c r="A12" i="18"/>
  <c r="A14" i="18"/>
  <c r="E12" i="18"/>
  <c r="H12" i="18"/>
  <c r="F12" i="18"/>
  <c r="E13" i="18"/>
  <c r="H13" i="18"/>
  <c r="F13" i="18"/>
  <c r="E14" i="18"/>
  <c r="H14" i="18"/>
  <c r="F14" i="18"/>
  <c r="H15" i="18"/>
  <c r="F15" i="18"/>
  <c r="E16" i="18"/>
  <c r="H16" i="18"/>
  <c r="F16" i="18"/>
  <c r="H17" i="18"/>
  <c r="F17" i="18"/>
  <c r="E18" i="18"/>
  <c r="H18" i="18"/>
  <c r="F18" i="18"/>
  <c r="H19" i="18"/>
  <c r="F19" i="18"/>
  <c r="C20" i="18"/>
  <c r="D20" i="18"/>
  <c r="G20" i="18"/>
  <c r="E21" i="18"/>
  <c r="N21" i="18"/>
  <c r="E22" i="18"/>
  <c r="E23" i="18"/>
  <c r="H23" i="18"/>
  <c r="I23" i="18"/>
  <c r="E24" i="18"/>
  <c r="H25" i="18"/>
  <c r="F25" i="18"/>
  <c r="A25" i="18"/>
  <c r="A27" i="18"/>
  <c r="A29" i="18"/>
  <c r="A31" i="18"/>
  <c r="A33" i="18"/>
  <c r="A36" i="18"/>
  <c r="A38" i="18"/>
  <c r="A40" i="18"/>
  <c r="A42" i="18"/>
  <c r="A44" i="18"/>
  <c r="E25" i="18"/>
  <c r="H26" i="18"/>
  <c r="F26" i="18"/>
  <c r="E26" i="18"/>
  <c r="E27" i="18"/>
  <c r="G27" i="18"/>
  <c r="O27" i="18"/>
  <c r="I27" i="18"/>
  <c r="E28" i="18"/>
  <c r="E29" i="18"/>
  <c r="H29" i="18"/>
  <c r="F29" i="18"/>
  <c r="E30" i="18"/>
  <c r="E31" i="18"/>
  <c r="H31" i="18"/>
  <c r="F31" i="18"/>
  <c r="E32" i="18"/>
  <c r="E33" i="18"/>
  <c r="H34" i="18"/>
  <c r="F34" i="18"/>
  <c r="I33" i="18"/>
  <c r="N33" i="18"/>
  <c r="H33" i="18"/>
  <c r="F33" i="18"/>
  <c r="E34" i="18"/>
  <c r="E36" i="18"/>
  <c r="H36" i="18"/>
  <c r="F36" i="18"/>
  <c r="E37" i="18"/>
  <c r="H40" i="18"/>
  <c r="F40" i="18"/>
  <c r="E38" i="18"/>
  <c r="H38" i="18"/>
  <c r="F38" i="18"/>
  <c r="E39" i="18"/>
  <c r="E40" i="18"/>
  <c r="H41" i="18"/>
  <c r="F41" i="18"/>
  <c r="E41" i="18"/>
  <c r="E42" i="18"/>
  <c r="H42" i="18"/>
  <c r="F42" i="18"/>
  <c r="E43" i="18"/>
  <c r="E44" i="18"/>
  <c r="I44" i="18"/>
  <c r="N44" i="18"/>
  <c r="H45" i="18"/>
  <c r="F45" i="18"/>
  <c r="E46" i="18"/>
  <c r="H46" i="18"/>
  <c r="F46" i="18"/>
  <c r="E47" i="18"/>
  <c r="H47" i="18"/>
  <c r="F47" i="18"/>
  <c r="E48" i="18"/>
  <c r="H48" i="18"/>
  <c r="F48" i="18"/>
  <c r="E49" i="18"/>
  <c r="H49" i="18"/>
  <c r="F49" i="18"/>
  <c r="A50" i="18"/>
  <c r="A52" i="18"/>
  <c r="A54" i="18"/>
  <c r="E50" i="18"/>
  <c r="H50" i="18"/>
  <c r="F50" i="18"/>
  <c r="E51" i="18"/>
  <c r="H51" i="18"/>
  <c r="F51" i="18"/>
  <c r="C52" i="18"/>
  <c r="I52" i="18"/>
  <c r="N52" i="18"/>
  <c r="E53" i="18"/>
  <c r="H53" i="18"/>
  <c r="F53" i="18"/>
  <c r="E54" i="18"/>
  <c r="H54" i="18"/>
  <c r="F54" i="18"/>
  <c r="E55" i="18"/>
  <c r="H55" i="18"/>
  <c r="F55" i="18"/>
  <c r="N55" i="18"/>
  <c r="O55" i="18"/>
  <c r="D56" i="18"/>
  <c r="E58" i="18"/>
  <c r="K60" i="18"/>
  <c r="M60" i="18"/>
  <c r="N61" i="18"/>
  <c r="O61" i="18"/>
  <c r="I23" i="17"/>
  <c r="E10" i="17"/>
  <c r="I10" i="17"/>
  <c r="J59" i="17"/>
  <c r="E11" i="17"/>
  <c r="H11" i="17"/>
  <c r="F11" i="17"/>
  <c r="J11" i="17"/>
  <c r="A12" i="17"/>
  <c r="A14" i="17"/>
  <c r="E12" i="17"/>
  <c r="J12" i="17"/>
  <c r="E13" i="17"/>
  <c r="H13" i="17"/>
  <c r="J13" i="17"/>
  <c r="E14" i="17"/>
  <c r="H14" i="17"/>
  <c r="F14" i="17"/>
  <c r="J14" i="17"/>
  <c r="H15" i="17"/>
  <c r="F15" i="17"/>
  <c r="J15" i="17"/>
  <c r="E16" i="17"/>
  <c r="H16" i="17"/>
  <c r="F16" i="17"/>
  <c r="J16" i="17"/>
  <c r="H17" i="17"/>
  <c r="F17" i="17"/>
  <c r="J17" i="17"/>
  <c r="E18" i="17"/>
  <c r="H18" i="17"/>
  <c r="F18" i="17"/>
  <c r="J18" i="17"/>
  <c r="H19" i="17"/>
  <c r="F19" i="17"/>
  <c r="C20" i="17"/>
  <c r="D20" i="17"/>
  <c r="G20" i="17"/>
  <c r="E21" i="17"/>
  <c r="J21" i="17"/>
  <c r="E22" i="17"/>
  <c r="J22" i="17"/>
  <c r="E23" i="17"/>
  <c r="K23" i="17"/>
  <c r="E24" i="17"/>
  <c r="H25" i="17"/>
  <c r="F25" i="17"/>
  <c r="J24" i="17"/>
  <c r="K24" i="17"/>
  <c r="A25" i="17"/>
  <c r="A27" i="17"/>
  <c r="A29" i="17"/>
  <c r="A31" i="17"/>
  <c r="A33" i="17"/>
  <c r="A35" i="17"/>
  <c r="A37" i="17"/>
  <c r="A39" i="17"/>
  <c r="A41" i="17"/>
  <c r="A43" i="17"/>
  <c r="E25" i="17"/>
  <c r="H26" i="17"/>
  <c r="J25" i="17"/>
  <c r="K25" i="17"/>
  <c r="E26" i="17"/>
  <c r="J26" i="17"/>
  <c r="K26" i="17"/>
  <c r="E27" i="17"/>
  <c r="G27" i="17"/>
  <c r="G55" i="17"/>
  <c r="I27" i="17"/>
  <c r="E28" i="17"/>
  <c r="J28" i="17"/>
  <c r="K28" i="17"/>
  <c r="E29" i="17"/>
  <c r="H29" i="17"/>
  <c r="F29" i="17"/>
  <c r="J29" i="17"/>
  <c r="K29" i="17"/>
  <c r="E30" i="17"/>
  <c r="J30" i="17"/>
  <c r="K30" i="17"/>
  <c r="E31" i="17"/>
  <c r="H31" i="17"/>
  <c r="F31" i="17"/>
  <c r="J31" i="17"/>
  <c r="K31" i="17"/>
  <c r="E32" i="17"/>
  <c r="J32" i="17"/>
  <c r="K32" i="17"/>
  <c r="E33" i="17"/>
  <c r="H34" i="17"/>
  <c r="F34" i="17"/>
  <c r="I33" i="17"/>
  <c r="E34" i="17"/>
  <c r="J34" i="17"/>
  <c r="K34" i="17"/>
  <c r="E35" i="17"/>
  <c r="H35" i="17"/>
  <c r="F35" i="17"/>
  <c r="J35" i="17"/>
  <c r="K35" i="17"/>
  <c r="E36" i="17"/>
  <c r="H39" i="17"/>
  <c r="F39" i="17"/>
  <c r="J36" i="17"/>
  <c r="K36" i="17"/>
  <c r="E37" i="17"/>
  <c r="H37" i="17"/>
  <c r="F37" i="17"/>
  <c r="J37" i="17"/>
  <c r="K37" i="17"/>
  <c r="E38" i="17"/>
  <c r="J38" i="17"/>
  <c r="K38" i="17"/>
  <c r="E39" i="17"/>
  <c r="H40" i="17"/>
  <c r="F40" i="17"/>
  <c r="J39" i="17"/>
  <c r="K39" i="17"/>
  <c r="E40" i="17"/>
  <c r="J40" i="17"/>
  <c r="K40" i="17"/>
  <c r="E41" i="17"/>
  <c r="H41" i="17"/>
  <c r="F41" i="17"/>
  <c r="J41" i="17"/>
  <c r="K41" i="17"/>
  <c r="E42" i="17"/>
  <c r="J42" i="17"/>
  <c r="K42" i="17"/>
  <c r="E43" i="17"/>
  <c r="I43" i="17"/>
  <c r="H43" i="17"/>
  <c r="F43" i="17"/>
  <c r="K43" i="17"/>
  <c r="H44" i="17"/>
  <c r="F44" i="17"/>
  <c r="J44" i="17"/>
  <c r="E45" i="17"/>
  <c r="H45" i="17"/>
  <c r="F45" i="17"/>
  <c r="J45" i="17"/>
  <c r="E46" i="17"/>
  <c r="H46" i="17"/>
  <c r="F46" i="17"/>
  <c r="J46" i="17"/>
  <c r="K46" i="17"/>
  <c r="E47" i="17"/>
  <c r="H47" i="17"/>
  <c r="F47" i="17"/>
  <c r="J47" i="17"/>
  <c r="K47" i="17"/>
  <c r="E48" i="17"/>
  <c r="H48" i="17"/>
  <c r="F48" i="17"/>
  <c r="J48" i="17"/>
  <c r="K48" i="17"/>
  <c r="A49" i="17"/>
  <c r="A51" i="17"/>
  <c r="A53" i="17"/>
  <c r="E49" i="17"/>
  <c r="H49" i="17"/>
  <c r="F49" i="17"/>
  <c r="J49" i="17"/>
  <c r="K49" i="17"/>
  <c r="E50" i="17"/>
  <c r="H50" i="17"/>
  <c r="F50" i="17"/>
  <c r="J50" i="17"/>
  <c r="K50" i="17"/>
  <c r="C51" i="17"/>
  <c r="C55" i="17"/>
  <c r="E51" i="17"/>
  <c r="I51" i="17"/>
  <c r="J51" i="17"/>
  <c r="J55" i="17"/>
  <c r="K51" i="17"/>
  <c r="E52" i="17"/>
  <c r="H52" i="17"/>
  <c r="F52" i="17"/>
  <c r="J52" i="17"/>
  <c r="K52" i="17"/>
  <c r="E53" i="17"/>
  <c r="H53" i="17"/>
  <c r="F53" i="17"/>
  <c r="J53" i="17"/>
  <c r="K53" i="17"/>
  <c r="E54" i="17"/>
  <c r="H54" i="17"/>
  <c r="F54" i="17"/>
  <c r="J54" i="17"/>
  <c r="K54" i="17"/>
  <c r="D55" i="17"/>
  <c r="E57" i="17"/>
  <c r="I57" i="17"/>
  <c r="G59" i="17"/>
  <c r="I59" i="17"/>
  <c r="I60" i="17"/>
  <c r="I64" i="15"/>
  <c r="I51" i="15"/>
  <c r="H44" i="15"/>
  <c r="F44" i="15"/>
  <c r="I43" i="15"/>
  <c r="H43" i="15"/>
  <c r="F43" i="15"/>
  <c r="I27" i="15"/>
  <c r="I23" i="15"/>
  <c r="I55" i="15"/>
  <c r="C51" i="15"/>
  <c r="I10" i="15"/>
  <c r="I20" i="15"/>
  <c r="H19" i="15"/>
  <c r="F19" i="15"/>
  <c r="H17" i="15"/>
  <c r="F17" i="15"/>
  <c r="H15" i="15"/>
  <c r="F15" i="15"/>
  <c r="J16" i="15"/>
  <c r="G20" i="15"/>
  <c r="D20" i="15"/>
  <c r="C20" i="15"/>
  <c r="E16" i="15"/>
  <c r="H16" i="15"/>
  <c r="F16" i="15"/>
  <c r="J15" i="15"/>
  <c r="G59" i="15"/>
  <c r="I59" i="15"/>
  <c r="E57" i="15"/>
  <c r="K37" i="15"/>
  <c r="K38" i="15"/>
  <c r="J38" i="15"/>
  <c r="E38" i="15"/>
  <c r="J37" i="15"/>
  <c r="E37" i="15"/>
  <c r="H37" i="15"/>
  <c r="F37" i="15"/>
  <c r="I57" i="15"/>
  <c r="K53" i="15"/>
  <c r="K27" i="15"/>
  <c r="K23" i="15"/>
  <c r="E53" i="15"/>
  <c r="H53" i="15"/>
  <c r="F53" i="15"/>
  <c r="E43" i="15"/>
  <c r="E41" i="15"/>
  <c r="H41" i="15"/>
  <c r="F41" i="15"/>
  <c r="E35" i="15"/>
  <c r="H35" i="15"/>
  <c r="F35" i="15"/>
  <c r="E31" i="15"/>
  <c r="H31" i="15"/>
  <c r="F31" i="15"/>
  <c r="E29" i="15"/>
  <c r="H29" i="15"/>
  <c r="F29" i="15"/>
  <c r="E27" i="15"/>
  <c r="H27" i="15"/>
  <c r="F27" i="15"/>
  <c r="E23" i="15"/>
  <c r="H23" i="15"/>
  <c r="I60" i="15"/>
  <c r="M24" i="15"/>
  <c r="M23" i="15"/>
  <c r="J54" i="15"/>
  <c r="J53" i="15"/>
  <c r="J52" i="15"/>
  <c r="J51" i="15"/>
  <c r="J50" i="15"/>
  <c r="J49" i="15"/>
  <c r="J48" i="15"/>
  <c r="J47" i="15"/>
  <c r="J46" i="15"/>
  <c r="J45" i="15"/>
  <c r="J44" i="15"/>
  <c r="J42" i="15"/>
  <c r="J41" i="15"/>
  <c r="J40" i="15"/>
  <c r="J39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18" i="15"/>
  <c r="J17" i="15"/>
  <c r="J14" i="15"/>
  <c r="J13" i="15"/>
  <c r="J12" i="15"/>
  <c r="J11" i="15"/>
  <c r="G55" i="15"/>
  <c r="D55" i="15"/>
  <c r="K54" i="15"/>
  <c r="E54" i="15"/>
  <c r="H54" i="15"/>
  <c r="F54" i="15"/>
  <c r="K52" i="15"/>
  <c r="E52" i="15"/>
  <c r="H52" i="15"/>
  <c r="F52" i="15"/>
  <c r="K51" i="15"/>
  <c r="E51" i="15"/>
  <c r="H51" i="15"/>
  <c r="F51" i="15"/>
  <c r="K50" i="15"/>
  <c r="E50" i="15"/>
  <c r="H50" i="15"/>
  <c r="F50" i="15"/>
  <c r="K49" i="15"/>
  <c r="E49" i="15"/>
  <c r="H49" i="15"/>
  <c r="F49" i="15"/>
  <c r="A49" i="15"/>
  <c r="A51" i="15"/>
  <c r="A53" i="15"/>
  <c r="K48" i="15"/>
  <c r="E48" i="15"/>
  <c r="H48" i="15"/>
  <c r="F48" i="15"/>
  <c r="K47" i="15"/>
  <c r="E47" i="15"/>
  <c r="H47" i="15"/>
  <c r="F47" i="15"/>
  <c r="K46" i="15"/>
  <c r="E46" i="15"/>
  <c r="H46" i="15"/>
  <c r="F46" i="15"/>
  <c r="E45" i="15"/>
  <c r="H45" i="15"/>
  <c r="F45" i="15"/>
  <c r="K43" i="15"/>
  <c r="K42" i="15"/>
  <c r="E42" i="15"/>
  <c r="K41" i="15"/>
  <c r="K40" i="15"/>
  <c r="E40" i="15"/>
  <c r="K39" i="15"/>
  <c r="E39" i="15"/>
  <c r="H40" i="15"/>
  <c r="F40" i="15"/>
  <c r="K36" i="15"/>
  <c r="E36" i="15"/>
  <c r="H39" i="15"/>
  <c r="F39" i="15"/>
  <c r="K35" i="15"/>
  <c r="K34" i="15"/>
  <c r="E34" i="15"/>
  <c r="K33" i="15"/>
  <c r="E33" i="15"/>
  <c r="H34" i="15"/>
  <c r="F34" i="15"/>
  <c r="K32" i="15"/>
  <c r="E32" i="15"/>
  <c r="H33" i="15"/>
  <c r="F33" i="15"/>
  <c r="K31" i="15"/>
  <c r="K30" i="15"/>
  <c r="E30" i="15"/>
  <c r="K29" i="15"/>
  <c r="K28" i="15"/>
  <c r="E28" i="15"/>
  <c r="K26" i="15"/>
  <c r="E26" i="15"/>
  <c r="K25" i="15"/>
  <c r="E25" i="15"/>
  <c r="H26" i="15"/>
  <c r="F26" i="15"/>
  <c r="A25" i="15"/>
  <c r="A27" i="15"/>
  <c r="A29" i="15"/>
  <c r="A31" i="15"/>
  <c r="A33" i="15"/>
  <c r="A35" i="15"/>
  <c r="A37" i="15"/>
  <c r="A39" i="15"/>
  <c r="A41" i="15"/>
  <c r="A43" i="15"/>
  <c r="K24" i="15"/>
  <c r="K55" i="15"/>
  <c r="E24" i="15"/>
  <c r="H25" i="15"/>
  <c r="F25" i="15"/>
  <c r="C55" i="15"/>
  <c r="E22" i="15"/>
  <c r="E21" i="15"/>
  <c r="E18" i="15"/>
  <c r="H18" i="15"/>
  <c r="F18" i="15"/>
  <c r="E14" i="15"/>
  <c r="H14" i="15"/>
  <c r="F14" i="15"/>
  <c r="E13" i="15"/>
  <c r="H13" i="15"/>
  <c r="F13" i="15"/>
  <c r="E12" i="15"/>
  <c r="H12" i="15"/>
  <c r="F12" i="15"/>
  <c r="A12" i="15"/>
  <c r="A14" i="15"/>
  <c r="E11" i="15"/>
  <c r="H11" i="15"/>
  <c r="F11" i="15"/>
  <c r="E10" i="15"/>
  <c r="H10" i="15"/>
  <c r="M15" i="20"/>
  <c r="Q15" i="20"/>
  <c r="Q52" i="20"/>
  <c r="I56" i="20"/>
  <c r="I64" i="20"/>
  <c r="I66" i="20"/>
  <c r="Q44" i="20"/>
  <c r="Q27" i="20"/>
  <c r="M19" i="20"/>
  <c r="H44" i="18"/>
  <c r="F44" i="18"/>
  <c r="J33" i="17"/>
  <c r="M23" i="17"/>
  <c r="G56" i="18"/>
  <c r="Q33" i="20"/>
  <c r="M10" i="19"/>
  <c r="M20" i="19"/>
  <c r="M3" i="19"/>
  <c r="N17" i="19"/>
  <c r="N43" i="19"/>
  <c r="F26" i="19"/>
  <c r="M25" i="17"/>
  <c r="H27" i="19"/>
  <c r="F27" i="19"/>
  <c r="G56" i="19"/>
  <c r="N44" i="19"/>
  <c r="H51" i="17"/>
  <c r="F51" i="17"/>
  <c r="M11" i="18"/>
  <c r="O33" i="19"/>
  <c r="O5" i="19"/>
  <c r="R4" i="19"/>
  <c r="N11" i="18"/>
  <c r="E20" i="20"/>
  <c r="I20" i="17"/>
  <c r="H27" i="18"/>
  <c r="F27" i="18"/>
  <c r="I56" i="19"/>
  <c r="I57" i="19"/>
  <c r="E20" i="15"/>
  <c r="K27" i="17"/>
  <c r="K55" i="17"/>
  <c r="H12" i="17"/>
  <c r="F12" i="17"/>
  <c r="H10" i="17"/>
  <c r="L27" i="18"/>
  <c r="M27" i="18"/>
  <c r="N27" i="18"/>
  <c r="I56" i="18"/>
  <c r="I64" i="18"/>
  <c r="I66" i="18"/>
  <c r="C56" i="20"/>
  <c r="E52" i="20"/>
  <c r="H52" i="20"/>
  <c r="F52" i="20"/>
  <c r="Q38" i="20"/>
  <c r="O38" i="20"/>
  <c r="M38" i="20"/>
  <c r="J59" i="15"/>
  <c r="J10" i="17"/>
  <c r="J20" i="17"/>
  <c r="J43" i="17"/>
  <c r="J10" i="15"/>
  <c r="J20" i="15"/>
  <c r="L38" i="18"/>
  <c r="M38" i="18"/>
  <c r="F10" i="17"/>
  <c r="F23" i="20"/>
  <c r="F11" i="19"/>
  <c r="M23" i="19"/>
  <c r="N23" i="19"/>
  <c r="Q13" i="20"/>
  <c r="O13" i="20"/>
  <c r="M13" i="20"/>
  <c r="I20" i="18"/>
  <c r="I57" i="18"/>
  <c r="H10" i="18"/>
  <c r="K54" i="19"/>
  <c r="L20" i="19"/>
  <c r="H23" i="17"/>
  <c r="J23" i="17"/>
  <c r="K56" i="20"/>
  <c r="R33" i="20"/>
  <c r="E52" i="18"/>
  <c r="E56" i="18"/>
  <c r="H52" i="18"/>
  <c r="F52" i="18"/>
  <c r="C56" i="18"/>
  <c r="Q61" i="20"/>
  <c r="R61" i="20"/>
  <c r="T23" i="20"/>
  <c r="Q23" i="20"/>
  <c r="E55" i="17"/>
  <c r="K5" i="17"/>
  <c r="I20" i="20"/>
  <c r="K5" i="15"/>
  <c r="I58" i="18"/>
  <c r="R27" i="20"/>
  <c r="R5" i="20"/>
  <c r="U4" i="20"/>
  <c r="P11" i="20"/>
  <c r="O52" i="20"/>
  <c r="M52" i="20"/>
  <c r="E56" i="20"/>
  <c r="E57" i="20"/>
  <c r="P56" i="20"/>
  <c r="E20" i="19"/>
  <c r="E57" i="19"/>
  <c r="E55" i="15"/>
  <c r="E56" i="15"/>
  <c r="J43" i="15"/>
  <c r="J55" i="15"/>
  <c r="L10" i="18"/>
  <c r="H44" i="20"/>
  <c r="H56" i="20"/>
  <c r="O44" i="20"/>
  <c r="M44" i="20"/>
  <c r="M24" i="17"/>
  <c r="M26" i="17"/>
  <c r="H27" i="17"/>
  <c r="F27" i="17"/>
  <c r="J27" i="17"/>
  <c r="Q10" i="20"/>
  <c r="H10" i="20"/>
  <c r="N42" i="19"/>
  <c r="Q25" i="19"/>
  <c r="J56" i="20"/>
  <c r="L23" i="20"/>
  <c r="O23" i="20"/>
  <c r="M23" i="20"/>
  <c r="Q22" i="20"/>
  <c r="Q56" i="20"/>
  <c r="O22" i="20"/>
  <c r="P58" i="20"/>
  <c r="N60" i="19"/>
  <c r="E20" i="18"/>
  <c r="E57" i="18"/>
  <c r="N10" i="19"/>
  <c r="N20" i="19"/>
  <c r="Q19" i="20"/>
  <c r="I55" i="17"/>
  <c r="J56" i="19"/>
  <c r="T25" i="20"/>
  <c r="M25" i="15"/>
  <c r="M26" i="15"/>
  <c r="O17" i="20"/>
  <c r="M17" i="20"/>
  <c r="H33" i="17"/>
  <c r="F33" i="17"/>
  <c r="J56" i="18"/>
  <c r="Q31" i="20"/>
  <c r="F27" i="20"/>
  <c r="M10" i="18"/>
  <c r="K54" i="18"/>
  <c r="L58" i="18"/>
  <c r="L20" i="18"/>
  <c r="F23" i="17"/>
  <c r="K56" i="19"/>
  <c r="L54" i="19"/>
  <c r="L56" i="19"/>
  <c r="L64" i="19"/>
  <c r="L66" i="19"/>
  <c r="L58" i="19"/>
  <c r="O54" i="19"/>
  <c r="O56" i="19"/>
  <c r="O11" i="20"/>
  <c r="M11" i="20"/>
  <c r="Q11" i="20"/>
  <c r="Q20" i="20"/>
  <c r="I57" i="20"/>
  <c r="I3" i="20"/>
  <c r="M27" i="17"/>
  <c r="I63" i="17"/>
  <c r="I65" i="17"/>
  <c r="I56" i="17"/>
  <c r="H20" i="20"/>
  <c r="F10" i="20"/>
  <c r="F20" i="20"/>
  <c r="T27" i="20"/>
  <c r="F10" i="18"/>
  <c r="P20" i="20"/>
  <c r="P3" i="20"/>
  <c r="J57" i="17"/>
  <c r="P57" i="20"/>
  <c r="Q62" i="20"/>
  <c r="N60" i="18"/>
  <c r="N10" i="18"/>
  <c r="M54" i="19"/>
  <c r="N54" i="19"/>
  <c r="O54" i="18"/>
  <c r="L54" i="18"/>
  <c r="M54" i="18"/>
  <c r="M58" i="18"/>
  <c r="Q23" i="19"/>
  <c r="N54" i="18"/>
  <c r="F10" i="19"/>
  <c r="F20" i="19"/>
  <c r="H20" i="19"/>
  <c r="M33" i="19"/>
  <c r="N33" i="19"/>
  <c r="O33" i="20"/>
  <c r="M33" i="20"/>
  <c r="L56" i="20"/>
  <c r="L64" i="20"/>
  <c r="L66" i="20"/>
  <c r="J56" i="17"/>
  <c r="F10" i="15"/>
  <c r="F20" i="15"/>
  <c r="H20" i="15"/>
  <c r="F23" i="15"/>
  <c r="F55" i="15"/>
  <c r="H55" i="15"/>
  <c r="F13" i="17"/>
  <c r="H20" i="17"/>
  <c r="O56" i="18"/>
  <c r="O5" i="18"/>
  <c r="R4" i="18"/>
  <c r="H56" i="18"/>
  <c r="F23" i="18"/>
  <c r="F56" i="18"/>
  <c r="Q57" i="20"/>
  <c r="F20" i="17"/>
  <c r="N38" i="18"/>
  <c r="Q24" i="18"/>
  <c r="K59" i="17"/>
  <c r="J60" i="17"/>
  <c r="K60" i="17"/>
  <c r="H55" i="17"/>
  <c r="F26" i="17"/>
  <c r="F55" i="17"/>
  <c r="F11" i="18"/>
  <c r="F20" i="18"/>
  <c r="H20" i="18"/>
  <c r="H57" i="18"/>
  <c r="E20" i="17"/>
  <c r="E56" i="17"/>
  <c r="M56" i="19"/>
  <c r="Q24" i="19"/>
  <c r="Q26" i="19"/>
  <c r="Q28" i="19"/>
  <c r="O60" i="18"/>
  <c r="F44" i="20"/>
  <c r="F56" i="20"/>
  <c r="L10" i="20"/>
  <c r="L20" i="20"/>
  <c r="L57" i="20"/>
  <c r="J20" i="20"/>
  <c r="T24" i="20"/>
  <c r="T26" i="20"/>
  <c r="T28" i="20"/>
  <c r="O27" i="20"/>
  <c r="C56" i="19"/>
  <c r="T38" i="20"/>
  <c r="T40" i="20"/>
  <c r="O29" i="20"/>
  <c r="M29" i="20"/>
  <c r="M27" i="20"/>
  <c r="M57" i="19"/>
  <c r="Q27" i="19"/>
  <c r="J61" i="17"/>
  <c r="H56" i="17"/>
  <c r="H56" i="15"/>
  <c r="J56" i="15"/>
  <c r="M27" i="15"/>
  <c r="I63" i="15"/>
  <c r="I65" i="15"/>
  <c r="M20" i="18"/>
  <c r="M57" i="18"/>
  <c r="N62" i="18"/>
  <c r="N12" i="18"/>
  <c r="N20" i="18"/>
  <c r="O56" i="20"/>
  <c r="H57" i="20"/>
  <c r="Q25" i="18"/>
  <c r="N42" i="18"/>
  <c r="L56" i="18"/>
  <c r="L57" i="18"/>
  <c r="M23" i="18"/>
  <c r="O60" i="19"/>
  <c r="N61" i="19"/>
  <c r="O61" i="19"/>
  <c r="F34" i="19"/>
  <c r="F56" i="19"/>
  <c r="L57" i="19"/>
  <c r="H52" i="19"/>
  <c r="F52" i="19"/>
  <c r="H56" i="19"/>
  <c r="H57" i="19"/>
  <c r="N58" i="19"/>
  <c r="Q23" i="18"/>
  <c r="Q26" i="18"/>
  <c r="N23" i="18"/>
  <c r="N56" i="18"/>
  <c r="M56" i="18"/>
  <c r="L64" i="18"/>
  <c r="L66" i="18"/>
  <c r="N57" i="18"/>
  <c r="N58" i="18"/>
  <c r="O58" i="18"/>
  <c r="Q28" i="18"/>
  <c r="Q27" i="18"/>
  <c r="N62" i="19"/>
  <c r="O10" i="20"/>
  <c r="J60" i="15"/>
  <c r="K60" i="15"/>
  <c r="K59" i="15"/>
  <c r="I56" i="15"/>
  <c r="N56" i="19"/>
  <c r="N57" i="19"/>
  <c r="O58" i="19"/>
  <c r="M58" i="19"/>
  <c r="K56" i="18"/>
  <c r="I64" i="19"/>
  <c r="I66" i="19"/>
  <c r="J57" i="15"/>
  <c r="J61" i="15"/>
  <c r="O20" i="20"/>
  <c r="O57" i="20"/>
  <c r="Q58" i="20"/>
  <c r="R58" i="20"/>
  <c r="M10" i="20"/>
  <c r="M20" i="20"/>
  <c r="N54" i="20"/>
  <c r="R54" i="20"/>
  <c r="R56" i="20"/>
  <c r="N56" i="20"/>
  <c r="P64" i="20"/>
  <c r="P66" i="20"/>
  <c r="M54" i="20"/>
  <c r="M56" i="20"/>
</calcChain>
</file>

<file path=xl/sharedStrings.xml><?xml version="1.0" encoding="utf-8"?>
<sst xmlns="http://schemas.openxmlformats.org/spreadsheetml/2006/main" count="392" uniqueCount="82">
  <si>
    <t>ISGEC JOHN THOMPSON</t>
  </si>
  <si>
    <t>Sl.</t>
  </si>
  <si>
    <t>Todate</t>
  </si>
  <si>
    <t>No.</t>
  </si>
  <si>
    <t>Particulars</t>
  </si>
  <si>
    <t>Total</t>
  </si>
  <si>
    <t>Remarks</t>
  </si>
  <si>
    <t>Rs.</t>
  </si>
  <si>
    <t>A.</t>
  </si>
  <si>
    <t>Sales:-</t>
  </si>
  <si>
    <t xml:space="preserve">Materials </t>
  </si>
  <si>
    <t>Total of "A"</t>
  </si>
  <si>
    <t>B.</t>
  </si>
  <si>
    <t>Cost:-</t>
  </si>
  <si>
    <t>Packing &amp; Forwarding</t>
  </si>
  <si>
    <t>Freight</t>
  </si>
  <si>
    <t>Inspection charges</t>
  </si>
  <si>
    <t>Bank Charges</t>
  </si>
  <si>
    <t>Travelling &amp; Conveyance</t>
  </si>
  <si>
    <t>Printing &amp; Stationery</t>
  </si>
  <si>
    <t>General Exp.</t>
  </si>
  <si>
    <t>Total of "B"</t>
  </si>
  <si>
    <t>C.</t>
  </si>
  <si>
    <t>Gross Margin (A-B)</t>
  </si>
  <si>
    <t>Detail of Sales and Cost booked</t>
  </si>
  <si>
    <t>Design &amp; Drawing Exp.</t>
  </si>
  <si>
    <t>Provision</t>
  </si>
  <si>
    <t>Material</t>
  </si>
  <si>
    <t>Direct</t>
  </si>
  <si>
    <t>OH</t>
  </si>
  <si>
    <t>To book</t>
  </si>
  <si>
    <t>Margin</t>
  </si>
  <si>
    <t>Basic sales</t>
  </si>
  <si>
    <t>Other Direct Exp.</t>
  </si>
  <si>
    <t>Books</t>
  </si>
  <si>
    <t>FOREX variance</t>
  </si>
  <si>
    <t>Service Charges</t>
  </si>
  <si>
    <t>F2010</t>
  </si>
  <si>
    <t>Upto Sep.'09</t>
  </si>
  <si>
    <t>Bal-1.10.09</t>
  </si>
  <si>
    <t>Bkd in F10</t>
  </si>
  <si>
    <t>Civil &amp; Erection</t>
  </si>
  <si>
    <t>Oct.'09 to Mar'10</t>
  </si>
  <si>
    <t>Insurance</t>
  </si>
  <si>
    <t>Excise Duty</t>
  </si>
  <si>
    <t>Sale Tax</t>
  </si>
  <si>
    <t>Erection Sales</t>
  </si>
  <si>
    <t>Royalty</t>
  </si>
  <si>
    <t>27.07.2010</t>
  </si>
  <si>
    <t>Apr.'10 to Jun.'10</t>
  </si>
  <si>
    <t>Warranty - 3%</t>
  </si>
  <si>
    <t>Project: BLA Power Projects Ltd. (1x190 TPH CFBC Boiler)</t>
  </si>
  <si>
    <t>Ix135 TPH CFBC Boiler. Supply-Rs. 4,490 L + Erection-Rs.550 L.</t>
  </si>
  <si>
    <t>Contract No. JB0772 &amp; JE1275</t>
  </si>
  <si>
    <t>Apr.'10 to Sept'10</t>
  </si>
  <si>
    <t>Final</t>
  </si>
  <si>
    <t>Erection</t>
  </si>
  <si>
    <t>19.01.2011</t>
  </si>
  <si>
    <t>Oct.'10 to Dec'10</t>
  </si>
  <si>
    <t>F2011</t>
  </si>
  <si>
    <t>Bal-1.10.10</t>
  </si>
  <si>
    <t>Upto Sep.'10</t>
  </si>
  <si>
    <t>Bkd in F11</t>
  </si>
  <si>
    <t>(Trns.to WIP)</t>
  </si>
  <si>
    <t>01.02.2011</t>
  </si>
  <si>
    <t>E&amp;C</t>
  </si>
  <si>
    <t>Total Sale</t>
  </si>
  <si>
    <t>Total Cost</t>
  </si>
  <si>
    <t>Ratio</t>
  </si>
  <si>
    <t>Act.Sale</t>
  </si>
  <si>
    <t>Prop.Cost</t>
  </si>
  <si>
    <t>Act.Cost</t>
  </si>
  <si>
    <t>Short/Exc(-)</t>
  </si>
  <si>
    <t>Oct.'10 to Mar'11</t>
  </si>
  <si>
    <t>sales+erection</t>
  </si>
  <si>
    <t>Apr.'11 to Jun'11</t>
  </si>
  <si>
    <t>26.07.2011</t>
  </si>
  <si>
    <t>05.08.2011</t>
  </si>
  <si>
    <t>ISGEC - Noida</t>
  </si>
  <si>
    <t>S.N.</t>
  </si>
  <si>
    <t>Project Group:</t>
  </si>
  <si>
    <t>Project List: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</si>
</sst>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General_)"/>
    <numFmt numFmtId="165" formatCode="0.00_)"/>
    <numFmt numFmtId="166" formatCode="0_)"/>
  </numFmts>
  <fonts count="50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b/>
      <u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u/>
      <sz val="18"/>
      <name val="Times New Roman"/>
      <family val="1"/>
    </font>
    <font>
      <b/>
      <sz val="18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0"/>
      <color indexed="10"/>
      <name val="Times New Roman"/>
      <family val="1"/>
    </font>
    <font>
      <sz val="8"/>
      <name val="Arial"/>
      <family val="2"/>
    </font>
    <font>
      <sz val="10"/>
      <color indexed="9"/>
      <name val="Times New Roman"/>
      <family val="1"/>
    </font>
    <font>
      <b/>
      <sz val="10"/>
      <color indexed="10"/>
      <name val="Arial"/>
      <family val="2"/>
    </font>
    <font>
      <b/>
      <u/>
      <sz val="14"/>
      <color indexed="10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5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 style="double">
        <color indexed="8"/>
      </right>
      <top/>
      <bottom style="double">
        <color indexed="64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64"/>
      </bottom>
      <diagonal/>
    </border>
    <border>
      <left/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 style="double">
        <color indexed="64"/>
      </top>
      <bottom/>
      <diagonal/>
    </border>
    <border>
      <left style="thin">
        <color indexed="8"/>
      </left>
      <right style="double">
        <color indexed="8"/>
      </right>
      <top style="double">
        <color indexed="64"/>
      </top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8"/>
      </left>
      <right style="double">
        <color indexed="8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13">
    <xf numFmtId="0" fontId="0" fillId="0" borderId="0"/>
    <xf numFmtId="0" fontId="9" fillId="2" borderId="0" applyNumberFormat="0" applyBorder="0" applyAlignment="0" applyProtection="0"/>
    <xf numFmtId="0" fontId="33" fillId="24" borderId="0" applyNumberFormat="0" applyBorder="0" applyAlignment="0" applyProtection="0"/>
    <xf numFmtId="0" fontId="33" fillId="24" borderId="0" applyNumberFormat="0" applyBorder="0" applyAlignment="0" applyProtection="0"/>
    <xf numFmtId="0" fontId="33" fillId="24" borderId="0" applyNumberFormat="0" applyBorder="0" applyAlignment="0" applyProtection="0"/>
    <xf numFmtId="0" fontId="33" fillId="24" borderId="0" applyNumberFormat="0" applyBorder="0" applyAlignment="0" applyProtection="0"/>
    <xf numFmtId="0" fontId="9" fillId="4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9" fillId="3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9" fillId="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9" fillId="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9" fillId="5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9" fillId="9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9" fillId="1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9" fillId="1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9" fillId="7" borderId="0" applyNumberFormat="0" applyBorder="0" applyAlignment="0" applyProtection="0"/>
    <xf numFmtId="0" fontId="33" fillId="33" borderId="0" applyNumberFormat="0" applyBorder="0" applyAlignment="0" applyProtection="0"/>
    <xf numFmtId="0" fontId="33" fillId="33" borderId="0" applyNumberFormat="0" applyBorder="0" applyAlignment="0" applyProtection="0"/>
    <xf numFmtId="0" fontId="33" fillId="33" borderId="0" applyNumberFormat="0" applyBorder="0" applyAlignment="0" applyProtection="0"/>
    <xf numFmtId="0" fontId="33" fillId="33" borderId="0" applyNumberFormat="0" applyBorder="0" applyAlignment="0" applyProtection="0"/>
    <xf numFmtId="0" fontId="9" fillId="9" borderId="0" applyNumberFormat="0" applyBorder="0" applyAlignment="0" applyProtection="0"/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9" fillId="14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10" fillId="1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10" fillId="11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10" fillId="12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10" fillId="17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10" fillId="16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10" fillId="18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10" fillId="19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10" fillId="20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10" fillId="21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10" fillId="17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10" fillId="1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10" fillId="22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11" fillId="4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12" fillId="10" borderId="1" applyNumberFormat="0" applyAlignment="0" applyProtection="0"/>
    <xf numFmtId="0" fontId="36" fillId="49" borderId="46" applyNumberFormat="0" applyAlignment="0" applyProtection="0"/>
    <xf numFmtId="0" fontId="36" fillId="49" borderId="46" applyNumberFormat="0" applyAlignment="0" applyProtection="0"/>
    <xf numFmtId="0" fontId="36" fillId="49" borderId="46" applyNumberFormat="0" applyAlignment="0" applyProtection="0"/>
    <xf numFmtId="0" fontId="36" fillId="49" borderId="46" applyNumberFormat="0" applyAlignment="0" applyProtection="0"/>
    <xf numFmtId="0" fontId="13" fillId="23" borderId="2" applyNumberFormat="0" applyAlignment="0" applyProtection="0"/>
    <xf numFmtId="0" fontId="37" fillId="50" borderId="47" applyNumberFormat="0" applyAlignment="0" applyProtection="0"/>
    <xf numFmtId="0" fontId="37" fillId="50" borderId="47" applyNumberFormat="0" applyAlignment="0" applyProtection="0"/>
    <xf numFmtId="0" fontId="37" fillId="50" borderId="47" applyNumberFormat="0" applyAlignment="0" applyProtection="0"/>
    <xf numFmtId="0" fontId="37" fillId="50" borderId="47" applyNumberFormat="0" applyAlignment="0" applyProtection="0"/>
    <xf numFmtId="43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5" fillId="3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16" fillId="0" borderId="3" applyNumberFormat="0" applyFill="0" applyAlignment="0" applyProtection="0"/>
    <xf numFmtId="0" fontId="40" fillId="0" borderId="48" applyNumberFormat="0" applyFill="0" applyAlignment="0" applyProtection="0"/>
    <xf numFmtId="0" fontId="40" fillId="0" borderId="48" applyNumberFormat="0" applyFill="0" applyAlignment="0" applyProtection="0"/>
    <xf numFmtId="0" fontId="40" fillId="0" borderId="48" applyNumberFormat="0" applyFill="0" applyAlignment="0" applyProtection="0"/>
    <xf numFmtId="0" fontId="40" fillId="0" borderId="48" applyNumberFormat="0" applyFill="0" applyAlignment="0" applyProtection="0"/>
    <xf numFmtId="0" fontId="17" fillId="0" borderId="4" applyNumberFormat="0" applyFill="0" applyAlignment="0" applyProtection="0"/>
    <xf numFmtId="0" fontId="41" fillId="0" borderId="49" applyNumberFormat="0" applyFill="0" applyAlignment="0" applyProtection="0"/>
    <xf numFmtId="0" fontId="41" fillId="0" borderId="49" applyNumberFormat="0" applyFill="0" applyAlignment="0" applyProtection="0"/>
    <xf numFmtId="0" fontId="41" fillId="0" borderId="49" applyNumberFormat="0" applyFill="0" applyAlignment="0" applyProtection="0"/>
    <xf numFmtId="0" fontId="41" fillId="0" borderId="49" applyNumberFormat="0" applyFill="0" applyAlignment="0" applyProtection="0"/>
    <xf numFmtId="0" fontId="18" fillId="0" borderId="5" applyNumberFormat="0" applyFill="0" applyAlignment="0" applyProtection="0"/>
    <xf numFmtId="0" fontId="42" fillId="0" borderId="50" applyNumberFormat="0" applyFill="0" applyAlignment="0" applyProtection="0"/>
    <xf numFmtId="0" fontId="42" fillId="0" borderId="50" applyNumberFormat="0" applyFill="0" applyAlignment="0" applyProtection="0"/>
    <xf numFmtId="0" fontId="42" fillId="0" borderId="50" applyNumberFormat="0" applyFill="0" applyAlignment="0" applyProtection="0"/>
    <xf numFmtId="0" fontId="42" fillId="0" borderId="50" applyNumberFormat="0" applyFill="0" applyAlignment="0" applyProtection="0"/>
    <xf numFmtId="0" fontId="18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9" fillId="5" borderId="1" applyNumberFormat="0" applyAlignment="0" applyProtection="0"/>
    <xf numFmtId="0" fontId="43" fillId="52" borderId="46" applyNumberFormat="0" applyAlignment="0" applyProtection="0"/>
    <xf numFmtId="0" fontId="43" fillId="52" borderId="46" applyNumberFormat="0" applyAlignment="0" applyProtection="0"/>
    <xf numFmtId="0" fontId="43" fillId="52" borderId="46" applyNumberFormat="0" applyAlignment="0" applyProtection="0"/>
    <xf numFmtId="0" fontId="43" fillId="52" borderId="46" applyNumberFormat="0" applyAlignment="0" applyProtection="0"/>
    <xf numFmtId="0" fontId="20" fillId="0" borderId="6" applyNumberFormat="0" applyFill="0" applyAlignment="0" applyProtection="0"/>
    <xf numFmtId="0" fontId="44" fillId="0" borderId="51" applyNumberFormat="0" applyFill="0" applyAlignment="0" applyProtection="0"/>
    <xf numFmtId="0" fontId="44" fillId="0" borderId="51" applyNumberFormat="0" applyFill="0" applyAlignment="0" applyProtection="0"/>
    <xf numFmtId="0" fontId="44" fillId="0" borderId="51" applyNumberFormat="0" applyFill="0" applyAlignment="0" applyProtection="0"/>
    <xf numFmtId="0" fontId="44" fillId="0" borderId="51" applyNumberFormat="0" applyFill="0" applyAlignment="0" applyProtection="0"/>
    <xf numFmtId="0" fontId="21" fillId="1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33" fillId="0" borderId="0"/>
    <xf numFmtId="0" fontId="9" fillId="0" borderId="0"/>
    <xf numFmtId="0" fontId="33" fillId="0" borderId="0"/>
    <xf numFmtId="0" fontId="33" fillId="0" borderId="0"/>
    <xf numFmtId="0" fontId="33" fillId="0" borderId="0"/>
    <xf numFmtId="0" fontId="22" fillId="6" borderId="7" applyNumberFormat="0" applyFont="0" applyAlignment="0" applyProtection="0"/>
    <xf numFmtId="0" fontId="27" fillId="54" borderId="52" applyNumberFormat="0" applyFont="0" applyAlignment="0" applyProtection="0"/>
    <xf numFmtId="0" fontId="33" fillId="54" borderId="52" applyNumberFormat="0" applyFont="0" applyAlignment="0" applyProtection="0"/>
    <xf numFmtId="0" fontId="33" fillId="54" borderId="52" applyNumberFormat="0" applyFont="0" applyAlignment="0" applyProtection="0"/>
    <xf numFmtId="0" fontId="33" fillId="54" borderId="52" applyNumberFormat="0" applyFont="0" applyAlignment="0" applyProtection="0"/>
    <xf numFmtId="0" fontId="23" fillId="10" borderId="8" applyNumberFormat="0" applyAlignment="0" applyProtection="0"/>
    <xf numFmtId="0" fontId="46" fillId="49" borderId="53" applyNumberFormat="0" applyAlignment="0" applyProtection="0"/>
    <xf numFmtId="0" fontId="46" fillId="49" borderId="53" applyNumberFormat="0" applyAlignment="0" applyProtection="0"/>
    <xf numFmtId="0" fontId="46" fillId="49" borderId="53" applyNumberFormat="0" applyAlignment="0" applyProtection="0"/>
    <xf numFmtId="0" fontId="46" fillId="49" borderId="53" applyNumberFormat="0" applyAlignment="0" applyProtection="0"/>
    <xf numFmtId="9" fontId="1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48" fillId="0" borderId="54" applyNumberFormat="0" applyFill="0" applyAlignment="0" applyProtection="0"/>
    <xf numFmtId="0" fontId="48" fillId="0" borderId="54" applyNumberFormat="0" applyFill="0" applyAlignment="0" applyProtection="0"/>
    <xf numFmtId="0" fontId="48" fillId="0" borderId="54" applyNumberFormat="0" applyFill="0" applyAlignment="0" applyProtection="0"/>
    <xf numFmtId="0" fontId="48" fillId="0" borderId="54" applyNumberFormat="0" applyFill="0" applyAlignment="0" applyProtection="0"/>
    <xf numFmtId="0" fontId="26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101">
    <xf numFmtId="0" fontId="0" fillId="0" borderId="0" xfId="0"/>
    <xf numFmtId="40" fontId="2" fillId="0" borderId="0" xfId="0" applyNumberFormat="1" applyFont="1"/>
    <xf numFmtId="4" fontId="3" fillId="0" borderId="0" xfId="0" applyNumberFormat="1" applyFont="1" applyAlignment="1" applyProtection="1">
      <alignment horizontal="right"/>
    </xf>
    <xf numFmtId="0" fontId="2" fillId="0" borderId="0" xfId="0" applyFont="1"/>
    <xf numFmtId="164" fontId="7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/>
    <xf numFmtId="165" fontId="4" fillId="0" borderId="0" xfId="0" applyNumberFormat="1" applyFont="1" applyProtection="1"/>
    <xf numFmtId="0" fontId="3" fillId="0" borderId="0" xfId="0" applyFont="1" applyAlignment="1">
      <alignment horizontal="left"/>
    </xf>
    <xf numFmtId="165" fontId="3" fillId="0" borderId="0" xfId="0" applyNumberFormat="1" applyFont="1" applyAlignment="1" applyProtection="1">
      <alignment horizontal="left"/>
    </xf>
    <xf numFmtId="165" fontId="5" fillId="0" borderId="10" xfId="0" applyNumberFormat="1" applyFont="1" applyBorder="1" applyAlignment="1" applyProtection="1">
      <alignment horizontal="center"/>
    </xf>
    <xf numFmtId="165" fontId="5" fillId="0" borderId="11" xfId="0" applyNumberFormat="1" applyFont="1" applyBorder="1" applyProtection="1"/>
    <xf numFmtId="165" fontId="5" fillId="0" borderId="12" xfId="0" applyNumberFormat="1" applyFont="1" applyBorder="1" applyAlignment="1" applyProtection="1">
      <alignment horizontal="center"/>
    </xf>
    <xf numFmtId="165" fontId="5" fillId="0" borderId="13" xfId="0" applyNumberFormat="1" applyFont="1" applyBorder="1" applyProtection="1"/>
    <xf numFmtId="165" fontId="5" fillId="0" borderId="14" xfId="0" applyNumberFormat="1" applyFont="1" applyBorder="1" applyAlignment="1" applyProtection="1">
      <alignment horizontal="center"/>
    </xf>
    <xf numFmtId="165" fontId="5" fillId="0" borderId="15" xfId="0" applyNumberFormat="1" applyFont="1" applyBorder="1" applyAlignment="1" applyProtection="1">
      <alignment horizontal="center"/>
    </xf>
    <xf numFmtId="165" fontId="5" fillId="0" borderId="16" xfId="0" applyNumberFormat="1" applyFont="1" applyBorder="1" applyAlignment="1" applyProtection="1">
      <alignment horizontal="center"/>
    </xf>
    <xf numFmtId="165" fontId="5" fillId="0" borderId="17" xfId="0" applyNumberFormat="1" applyFont="1" applyBorder="1" applyAlignment="1" applyProtection="1">
      <alignment horizontal="center"/>
    </xf>
    <xf numFmtId="165" fontId="5" fillId="0" borderId="18" xfId="0" applyNumberFormat="1" applyFont="1" applyBorder="1" applyAlignment="1" applyProtection="1">
      <alignment horizontal="center"/>
    </xf>
    <xf numFmtId="165" fontId="5" fillId="0" borderId="19" xfId="0" applyNumberFormat="1" applyFont="1" applyBorder="1" applyAlignment="1" applyProtection="1">
      <alignment horizontal="center"/>
    </xf>
    <xf numFmtId="165" fontId="5" fillId="0" borderId="20" xfId="0" applyNumberFormat="1" applyFont="1" applyBorder="1" applyAlignment="1" applyProtection="1">
      <alignment horizontal="center"/>
    </xf>
    <xf numFmtId="165" fontId="5" fillId="0" borderId="21" xfId="0" applyNumberFormat="1" applyFont="1" applyBorder="1" applyAlignment="1" applyProtection="1">
      <alignment horizontal="center"/>
    </xf>
    <xf numFmtId="165" fontId="5" fillId="0" borderId="22" xfId="0" applyNumberFormat="1" applyFont="1" applyBorder="1" applyAlignment="1" applyProtection="1">
      <alignment horizontal="center"/>
    </xf>
    <xf numFmtId="165" fontId="5" fillId="0" borderId="19" xfId="0" applyNumberFormat="1" applyFont="1" applyBorder="1" applyAlignment="1" applyProtection="1">
      <alignment horizontal="left"/>
    </xf>
    <xf numFmtId="165" fontId="6" fillId="0" borderId="20" xfId="0" applyNumberFormat="1" applyFont="1" applyBorder="1" applyAlignment="1" applyProtection="1">
      <alignment horizontal="left"/>
    </xf>
    <xf numFmtId="165" fontId="5" fillId="0" borderId="22" xfId="0" applyNumberFormat="1" applyFont="1" applyBorder="1" applyProtection="1"/>
    <xf numFmtId="166" fontId="2" fillId="0" borderId="19" xfId="0" applyNumberFormat="1" applyFont="1" applyBorder="1" applyProtection="1"/>
    <xf numFmtId="165" fontId="2" fillId="0" borderId="20" xfId="0" applyNumberFormat="1" applyFont="1" applyBorder="1" applyAlignment="1" applyProtection="1">
      <alignment horizontal="left"/>
    </xf>
    <xf numFmtId="4" fontId="2" fillId="0" borderId="23" xfId="0" applyNumberFormat="1" applyFont="1" applyBorder="1" applyProtection="1"/>
    <xf numFmtId="165" fontId="2" fillId="0" borderId="22" xfId="0" applyNumberFormat="1" applyFont="1" applyBorder="1" applyProtection="1"/>
    <xf numFmtId="165" fontId="2" fillId="0" borderId="19" xfId="0" applyNumberFormat="1" applyFont="1" applyBorder="1" applyProtection="1"/>
    <xf numFmtId="165" fontId="6" fillId="0" borderId="20" xfId="0" applyNumberFormat="1" applyFont="1" applyBorder="1" applyAlignment="1" applyProtection="1">
      <alignment horizontal="center"/>
    </xf>
    <xf numFmtId="4" fontId="2" fillId="0" borderId="24" xfId="0" applyNumberFormat="1" applyFont="1" applyBorder="1" applyProtection="1"/>
    <xf numFmtId="4" fontId="2" fillId="0" borderId="25" xfId="0" applyNumberFormat="1" applyFont="1" applyBorder="1" applyProtection="1"/>
    <xf numFmtId="166" fontId="5" fillId="0" borderId="19" xfId="0" applyNumberFormat="1" applyFont="1" applyBorder="1" applyAlignment="1" applyProtection="1">
      <alignment horizontal="left"/>
    </xf>
    <xf numFmtId="165" fontId="2" fillId="0" borderId="20" xfId="0" applyNumberFormat="1" applyFont="1" applyBorder="1" applyProtection="1"/>
    <xf numFmtId="4" fontId="2" fillId="0" borderId="22" xfId="0" applyNumberFormat="1" applyFont="1" applyBorder="1" applyProtection="1"/>
    <xf numFmtId="1" fontId="2" fillId="0" borderId="19" xfId="0" applyNumberFormat="1" applyFont="1" applyBorder="1" applyProtection="1"/>
    <xf numFmtId="166" fontId="5" fillId="0" borderId="14" xfId="0" applyNumberFormat="1" applyFont="1" applyBorder="1" applyAlignment="1" applyProtection="1">
      <alignment horizontal="left"/>
    </xf>
    <xf numFmtId="165" fontId="5" fillId="0" borderId="15" xfId="0" applyNumberFormat="1" applyFont="1" applyBorder="1" applyAlignment="1" applyProtection="1">
      <alignment horizontal="left"/>
    </xf>
    <xf numFmtId="4" fontId="2" fillId="0" borderId="26" xfId="0" applyNumberFormat="1" applyFont="1" applyBorder="1" applyProtection="1"/>
    <xf numFmtId="4" fontId="2" fillId="0" borderId="27" xfId="0" applyNumberFormat="1" applyFont="1" applyBorder="1" applyProtection="1"/>
    <xf numFmtId="165" fontId="2" fillId="0" borderId="18" xfId="0" applyNumberFormat="1" applyFont="1" applyBorder="1" applyProtection="1"/>
    <xf numFmtId="165" fontId="4" fillId="0" borderId="0" xfId="0" applyNumberFormat="1" applyFont="1" applyBorder="1" applyAlignment="1" applyProtection="1">
      <alignment horizontal="left"/>
    </xf>
    <xf numFmtId="4" fontId="2" fillId="0" borderId="0" xfId="0" applyNumberFormat="1" applyFont="1"/>
    <xf numFmtId="4" fontId="2" fillId="0" borderId="21" xfId="0" applyNumberFormat="1" applyFont="1" applyBorder="1" applyAlignment="1" applyProtection="1"/>
    <xf numFmtId="4" fontId="5" fillId="0" borderId="21" xfId="0" applyNumberFormat="1" applyFont="1" applyBorder="1" applyAlignment="1" applyProtection="1">
      <alignment horizontal="center"/>
    </xf>
    <xf numFmtId="165" fontId="5" fillId="0" borderId="13" xfId="0" applyNumberFormat="1" applyFont="1" applyBorder="1" applyAlignment="1" applyProtection="1">
      <alignment horizontal="center"/>
    </xf>
    <xf numFmtId="165" fontId="5" fillId="0" borderId="28" xfId="0" applyNumberFormat="1" applyFont="1" applyBorder="1" applyAlignment="1" applyProtection="1">
      <alignment horizontal="center"/>
    </xf>
    <xf numFmtId="4" fontId="2" fillId="0" borderId="29" xfId="0" applyNumberFormat="1" applyFont="1" applyBorder="1" applyProtection="1"/>
    <xf numFmtId="165" fontId="5" fillId="0" borderId="30" xfId="0" applyNumberFormat="1" applyFont="1" applyBorder="1" applyAlignment="1" applyProtection="1">
      <alignment horizontal="center"/>
    </xf>
    <xf numFmtId="165" fontId="5" fillId="0" borderId="31" xfId="0" applyNumberFormat="1" applyFont="1" applyBorder="1" applyAlignment="1" applyProtection="1">
      <alignment horizontal="center"/>
    </xf>
    <xf numFmtId="165" fontId="5" fillId="0" borderId="32" xfId="0" applyNumberFormat="1" applyFont="1" applyBorder="1" applyAlignment="1" applyProtection="1">
      <alignment horizontal="center"/>
    </xf>
    <xf numFmtId="165" fontId="5" fillId="0" borderId="33" xfId="0" applyNumberFormat="1" applyFont="1" applyBorder="1" applyAlignment="1" applyProtection="1">
      <alignment horizontal="center"/>
    </xf>
    <xf numFmtId="165" fontId="5" fillId="0" borderId="34" xfId="0" applyNumberFormat="1" applyFont="1" applyBorder="1" applyAlignment="1" applyProtection="1">
      <alignment horizontal="center"/>
    </xf>
    <xf numFmtId="4" fontId="2" fillId="0" borderId="35" xfId="0" applyNumberFormat="1" applyFont="1" applyBorder="1" applyProtection="1"/>
    <xf numFmtId="4" fontId="2" fillId="0" borderId="36" xfId="0" applyNumberFormat="1" applyFont="1" applyBorder="1" applyProtection="1"/>
    <xf numFmtId="4" fontId="2" fillId="0" borderId="37" xfId="0" applyNumberFormat="1" applyFont="1" applyBorder="1" applyProtection="1"/>
    <xf numFmtId="4" fontId="2" fillId="0" borderId="38" xfId="0" applyNumberFormat="1" applyFont="1" applyBorder="1" applyProtection="1"/>
    <xf numFmtId="4" fontId="2" fillId="0" borderId="39" xfId="0" applyNumberFormat="1" applyFont="1" applyBorder="1" applyProtection="1"/>
    <xf numFmtId="4" fontId="2" fillId="0" borderId="40" xfId="0" applyNumberFormat="1" applyFont="1" applyBorder="1" applyProtection="1"/>
    <xf numFmtId="4" fontId="2" fillId="0" borderId="41" xfId="0" applyNumberFormat="1" applyFont="1" applyBorder="1"/>
    <xf numFmtId="0" fontId="6" fillId="0" borderId="0" xfId="0" applyFont="1" applyAlignment="1">
      <alignment horizontal="center"/>
    </xf>
    <xf numFmtId="4" fontId="6" fillId="0" borderId="0" xfId="0" applyNumberFormat="1" applyFont="1" applyAlignment="1">
      <alignment horizontal="center"/>
    </xf>
    <xf numFmtId="4" fontId="5" fillId="0" borderId="0" xfId="0" applyNumberFormat="1" applyFont="1"/>
    <xf numFmtId="0" fontId="5" fillId="0" borderId="0" xfId="0" applyFont="1"/>
    <xf numFmtId="4" fontId="2" fillId="0" borderId="42" xfId="0" applyNumberFormat="1" applyFont="1" applyBorder="1" applyProtection="1"/>
    <xf numFmtId="4" fontId="6" fillId="0" borderId="0" xfId="0" applyNumberFormat="1" applyFont="1" applyAlignment="1">
      <alignment horizontal="center" shrinkToFit="1"/>
    </xf>
    <xf numFmtId="14" fontId="5" fillId="0" borderId="0" xfId="0" applyNumberFormat="1" applyFont="1" applyAlignment="1">
      <alignment horizontal="right"/>
    </xf>
    <xf numFmtId="4" fontId="28" fillId="0" borderId="36" xfId="0" applyNumberFormat="1" applyFont="1" applyBorder="1" applyProtection="1"/>
    <xf numFmtId="0" fontId="33" fillId="0" borderId="0" xfId="182"/>
    <xf numFmtId="165" fontId="2" fillId="0" borderId="35" xfId="0" applyNumberFormat="1" applyFont="1" applyBorder="1" applyAlignment="1" applyProtection="1"/>
    <xf numFmtId="165" fontId="2" fillId="0" borderId="36" xfId="0" applyNumberFormat="1" applyFont="1" applyBorder="1" applyAlignment="1" applyProtection="1"/>
    <xf numFmtId="165" fontId="2" fillId="0" borderId="23" xfId="0" applyNumberFormat="1" applyFont="1" applyBorder="1" applyAlignment="1" applyProtection="1"/>
    <xf numFmtId="165" fontId="2" fillId="0" borderId="22" xfId="0" applyNumberFormat="1" applyFont="1" applyBorder="1" applyAlignment="1" applyProtection="1"/>
    <xf numFmtId="4" fontId="2" fillId="0" borderId="37" xfId="0" applyNumberFormat="1" applyFont="1" applyFill="1" applyBorder="1" applyProtection="1"/>
    <xf numFmtId="4" fontId="2" fillId="0" borderId="43" xfId="0" applyNumberFormat="1" applyFont="1" applyBorder="1" applyProtection="1"/>
    <xf numFmtId="4" fontId="2" fillId="0" borderId="44" xfId="0" applyNumberFormat="1" applyFont="1" applyBorder="1" applyProtection="1"/>
    <xf numFmtId="10" fontId="2" fillId="0" borderId="0" xfId="197" applyNumberFormat="1" applyFont="1"/>
    <xf numFmtId="4" fontId="2" fillId="0" borderId="22" xfId="0" applyNumberFormat="1" applyFont="1" applyBorder="1" applyAlignment="1" applyProtection="1"/>
    <xf numFmtId="0" fontId="9" fillId="0" borderId="0" xfId="183"/>
    <xf numFmtId="4" fontId="30" fillId="0" borderId="0" xfId="0" applyNumberFormat="1" applyFont="1"/>
    <xf numFmtId="0" fontId="30" fillId="0" borderId="0" xfId="0" applyFont="1"/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4" fontId="6" fillId="0" borderId="0" xfId="0" applyNumberFormat="1" applyFont="1" applyAlignment="1">
      <alignment horizontal="right" shrinkToFit="1"/>
    </xf>
    <xf numFmtId="4" fontId="28" fillId="0" borderId="36" xfId="0" applyNumberFormat="1" applyFont="1" applyBorder="1" applyAlignment="1" applyProtection="1">
      <alignment horizontal="center"/>
    </xf>
    <xf numFmtId="0" fontId="6" fillId="0" borderId="0" xfId="0" applyFont="1"/>
    <xf numFmtId="4" fontId="2" fillId="0" borderId="36" xfId="0" applyNumberFormat="1" applyFont="1" applyBorder="1" applyAlignment="1" applyProtection="1">
      <alignment horizontal="center"/>
    </xf>
    <xf numFmtId="0" fontId="31" fillId="0" borderId="0" xfId="0" applyFont="1"/>
    <xf numFmtId="0" fontId="32" fillId="0" borderId="0" xfId="0" applyFont="1"/>
    <xf numFmtId="165" fontId="4" fillId="0" borderId="0" xfId="0" applyNumberFormat="1" applyFont="1" applyBorder="1" applyProtection="1"/>
    <xf numFmtId="43" fontId="2" fillId="0" borderId="0" xfId="136" applyFont="1"/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165" fontId="3" fillId="0" borderId="0" xfId="0" applyNumberFormat="1" applyFont="1" applyBorder="1" applyAlignment="1" applyProtection="1">
      <alignment horizontal="left"/>
    </xf>
    <xf numFmtId="0" fontId="6" fillId="0" borderId="0" xfId="0" applyFont="1" applyBorder="1" applyAlignment="1">
      <alignment horizontal="center"/>
    </xf>
    <xf numFmtId="165" fontId="5" fillId="0" borderId="10" xfId="0" applyNumberFormat="1" applyFont="1" applyBorder="1" applyAlignment="1" applyProtection="1">
      <alignment horizontal="center"/>
    </xf>
    <xf numFmtId="165" fontId="5" fillId="0" borderId="45" xfId="0" applyNumberFormat="1" applyFont="1" applyBorder="1" applyAlignment="1" applyProtection="1">
      <alignment horizontal="center"/>
    </xf>
    <xf numFmtId="165" fontId="5" fillId="0" borderId="13" xfId="0" applyNumberFormat="1" applyFont="1" applyBorder="1" applyAlignment="1" applyProtection="1">
      <alignment horizontal="center"/>
    </xf>
    <xf numFmtId="0" fontId="5" fillId="0" borderId="0" xfId="0" applyFont="1" applyAlignment="1">
      <alignment horizontal="center"/>
    </xf>
    <xf numFmtId="164" fontId="7" fillId="0" borderId="0" xfId="0" applyNumberFormat="1" applyFont="1" applyBorder="1" applyAlignment="1" applyProtection="1"/>
  </cellXfs>
  <cellStyles count="213">
    <cellStyle name="20% - Accent1" xfId="1" builtinId="30" customBuiltin="1"/>
    <cellStyle name="20% - Accent1 2" xfId="2"/>
    <cellStyle name="20% - Accent1 3" xfId="3"/>
    <cellStyle name="20% - Accent1 4" xfId="4"/>
    <cellStyle name="20% - Accent1 5" xfId="5"/>
    <cellStyle name="20% - Accent2" xfId="6" builtinId="34" customBuiltin="1"/>
    <cellStyle name="20% - Accent2 2" xfId="7"/>
    <cellStyle name="20% - Accent2 3" xfId="8"/>
    <cellStyle name="20% - Accent2 4" xfId="9"/>
    <cellStyle name="20% - Accent2 5" xfId="10"/>
    <cellStyle name="20% - Accent3" xfId="11" builtinId="38" customBuiltin="1"/>
    <cellStyle name="20% - Accent3 2" xfId="12"/>
    <cellStyle name="20% - Accent3 3" xfId="13"/>
    <cellStyle name="20% - Accent3 4" xfId="14"/>
    <cellStyle name="20% - Accent3 5" xfId="15"/>
    <cellStyle name="20% - Accent4" xfId="16" builtinId="42" customBuiltin="1"/>
    <cellStyle name="20% - Accent4 2" xfId="17"/>
    <cellStyle name="20% - Accent4 3" xfId="18"/>
    <cellStyle name="20% - Accent4 4" xfId="19"/>
    <cellStyle name="20% - Accent4 5" xfId="20"/>
    <cellStyle name="20% - Accent5" xfId="21" builtinId="46" customBuiltin="1"/>
    <cellStyle name="20% - Accent5 2" xfId="22"/>
    <cellStyle name="20% - Accent5 3" xfId="23"/>
    <cellStyle name="20% - Accent5 4" xfId="24"/>
    <cellStyle name="20% - Accent5 5" xfId="25"/>
    <cellStyle name="20% - Accent6" xfId="26" builtinId="50" customBuiltin="1"/>
    <cellStyle name="20% - Accent6 2" xfId="27"/>
    <cellStyle name="20% - Accent6 3" xfId="28"/>
    <cellStyle name="20% - Accent6 4" xfId="29"/>
    <cellStyle name="20% - Accent6 5" xfId="30"/>
    <cellStyle name="40% - Accent1" xfId="31" builtinId="31" customBuiltin="1"/>
    <cellStyle name="40% - Accent1 2" xfId="32"/>
    <cellStyle name="40% - Accent1 3" xfId="33"/>
    <cellStyle name="40% - Accent1 4" xfId="34"/>
    <cellStyle name="40% - Accent1 5" xfId="35"/>
    <cellStyle name="40% - Accent2" xfId="36" builtinId="35" customBuiltin="1"/>
    <cellStyle name="40% - Accent2 2" xfId="37"/>
    <cellStyle name="40% - Accent2 3" xfId="38"/>
    <cellStyle name="40% - Accent2 4" xfId="39"/>
    <cellStyle name="40% - Accent2 5" xfId="40"/>
    <cellStyle name="40% - Accent3" xfId="41" builtinId="39" customBuiltin="1"/>
    <cellStyle name="40% - Accent3 2" xfId="42"/>
    <cellStyle name="40% - Accent3 3" xfId="43"/>
    <cellStyle name="40% - Accent3 4" xfId="44"/>
    <cellStyle name="40% - Accent3 5" xfId="45"/>
    <cellStyle name="40% - Accent4" xfId="46" builtinId="43" customBuiltin="1"/>
    <cellStyle name="40% - Accent4 2" xfId="47"/>
    <cellStyle name="40% - Accent4 3" xfId="48"/>
    <cellStyle name="40% - Accent4 4" xfId="49"/>
    <cellStyle name="40% - Accent4 5" xfId="50"/>
    <cellStyle name="40% - Accent5" xfId="51" builtinId="47" customBuiltin="1"/>
    <cellStyle name="40% - Accent5 2" xfId="52"/>
    <cellStyle name="40% - Accent5 3" xfId="53"/>
    <cellStyle name="40% - Accent5 4" xfId="54"/>
    <cellStyle name="40% - Accent5 5" xfId="55"/>
    <cellStyle name="40% - Accent6" xfId="56" builtinId="51" customBuiltin="1"/>
    <cellStyle name="40% - Accent6 2" xfId="57"/>
    <cellStyle name="40% - Accent6 3" xfId="58"/>
    <cellStyle name="40% - Accent6 4" xfId="59"/>
    <cellStyle name="40% - Accent6 5" xfId="60"/>
    <cellStyle name="60% - Accent1" xfId="61" builtinId="32" customBuiltin="1"/>
    <cellStyle name="60% - Accent1 2" xfId="62"/>
    <cellStyle name="60% - Accent1 3" xfId="63"/>
    <cellStyle name="60% - Accent1 4" xfId="64"/>
    <cellStyle name="60% - Accent1 5" xfId="65"/>
    <cellStyle name="60% - Accent2" xfId="66" builtinId="36" customBuiltin="1"/>
    <cellStyle name="60% - Accent2 2" xfId="67"/>
    <cellStyle name="60% - Accent2 3" xfId="68"/>
    <cellStyle name="60% - Accent2 4" xfId="69"/>
    <cellStyle name="60% - Accent2 5" xfId="70"/>
    <cellStyle name="60% - Accent3" xfId="71" builtinId="40" customBuiltin="1"/>
    <cellStyle name="60% - Accent3 2" xfId="72"/>
    <cellStyle name="60% - Accent3 3" xfId="73"/>
    <cellStyle name="60% - Accent3 4" xfId="74"/>
    <cellStyle name="60% - Accent3 5" xfId="75"/>
    <cellStyle name="60% - Accent4" xfId="76" builtinId="44" customBuiltin="1"/>
    <cellStyle name="60% - Accent4 2" xfId="77"/>
    <cellStyle name="60% - Accent4 3" xfId="78"/>
    <cellStyle name="60% - Accent4 4" xfId="79"/>
    <cellStyle name="60% - Accent4 5" xfId="80"/>
    <cellStyle name="60% - Accent5" xfId="81" builtinId="48" customBuiltin="1"/>
    <cellStyle name="60% - Accent5 2" xfId="82"/>
    <cellStyle name="60% - Accent5 3" xfId="83"/>
    <cellStyle name="60% - Accent5 4" xfId="84"/>
    <cellStyle name="60% - Accent5 5" xfId="85"/>
    <cellStyle name="60% - Accent6" xfId="86" builtinId="52" customBuiltin="1"/>
    <cellStyle name="60% - Accent6 2" xfId="87"/>
    <cellStyle name="60% - Accent6 3" xfId="88"/>
    <cellStyle name="60% - Accent6 4" xfId="89"/>
    <cellStyle name="60% - Accent6 5" xfId="90"/>
    <cellStyle name="Accent1" xfId="91" builtinId="29" customBuiltin="1"/>
    <cellStyle name="Accent1 2" xfId="92"/>
    <cellStyle name="Accent1 3" xfId="93"/>
    <cellStyle name="Accent1 4" xfId="94"/>
    <cellStyle name="Accent1 5" xfId="95"/>
    <cellStyle name="Accent2" xfId="96" builtinId="33" customBuiltin="1"/>
    <cellStyle name="Accent2 2" xfId="97"/>
    <cellStyle name="Accent2 3" xfId="98"/>
    <cellStyle name="Accent2 4" xfId="99"/>
    <cellStyle name="Accent2 5" xfId="100"/>
    <cellStyle name="Accent3" xfId="101" builtinId="37" customBuiltin="1"/>
    <cellStyle name="Accent3 2" xfId="102"/>
    <cellStyle name="Accent3 3" xfId="103"/>
    <cellStyle name="Accent3 4" xfId="104"/>
    <cellStyle name="Accent3 5" xfId="105"/>
    <cellStyle name="Accent4" xfId="106" builtinId="41" customBuiltin="1"/>
    <cellStyle name="Accent4 2" xfId="107"/>
    <cellStyle name="Accent4 3" xfId="108"/>
    <cellStyle name="Accent4 4" xfId="109"/>
    <cellStyle name="Accent4 5" xfId="110"/>
    <cellStyle name="Accent5" xfId="111" builtinId="45" customBuiltin="1"/>
    <cellStyle name="Accent5 2" xfId="112"/>
    <cellStyle name="Accent5 3" xfId="113"/>
    <cellStyle name="Accent5 4" xfId="114"/>
    <cellStyle name="Accent5 5" xfId="115"/>
    <cellStyle name="Accent6" xfId="116" builtinId="49" customBuiltin="1"/>
    <cellStyle name="Accent6 2" xfId="117"/>
    <cellStyle name="Accent6 3" xfId="118"/>
    <cellStyle name="Accent6 4" xfId="119"/>
    <cellStyle name="Accent6 5" xfId="120"/>
    <cellStyle name="Bad" xfId="121" builtinId="27" customBuiltin="1"/>
    <cellStyle name="Bad 2" xfId="122"/>
    <cellStyle name="Bad 3" xfId="123"/>
    <cellStyle name="Bad 4" xfId="124"/>
    <cellStyle name="Bad 5" xfId="125"/>
    <cellStyle name="Calculation" xfId="126" builtinId="22" customBuiltin="1"/>
    <cellStyle name="Calculation 2" xfId="127"/>
    <cellStyle name="Calculation 3" xfId="128"/>
    <cellStyle name="Calculation 4" xfId="129"/>
    <cellStyle name="Calculation 5" xfId="130"/>
    <cellStyle name="Check Cell" xfId="131" builtinId="23" customBuiltin="1"/>
    <cellStyle name="Check Cell 2" xfId="132"/>
    <cellStyle name="Check Cell 3" xfId="133"/>
    <cellStyle name="Check Cell 4" xfId="134"/>
    <cellStyle name="Check Cell 5" xfId="135"/>
    <cellStyle name="Comma" xfId="136" builtinId="3"/>
    <cellStyle name="Explanatory Text" xfId="137" builtinId="53" customBuiltin="1"/>
    <cellStyle name="Explanatory Text 2" xfId="138"/>
    <cellStyle name="Explanatory Text 3" xfId="139"/>
    <cellStyle name="Explanatory Text 4" xfId="140"/>
    <cellStyle name="Explanatory Text 5" xfId="141"/>
    <cellStyle name="Good" xfId="142" builtinId="26" customBuiltin="1"/>
    <cellStyle name="Good 2" xfId="143"/>
    <cellStyle name="Good 3" xfId="144"/>
    <cellStyle name="Good 4" xfId="145"/>
    <cellStyle name="Good 5" xfId="146"/>
    <cellStyle name="Heading 1" xfId="147" builtinId="16" customBuiltin="1"/>
    <cellStyle name="Heading 1 2" xfId="148"/>
    <cellStyle name="Heading 1 3" xfId="149"/>
    <cellStyle name="Heading 1 4" xfId="150"/>
    <cellStyle name="Heading 1 5" xfId="151"/>
    <cellStyle name="Heading 2" xfId="152" builtinId="17" customBuiltin="1"/>
    <cellStyle name="Heading 2 2" xfId="153"/>
    <cellStyle name="Heading 2 3" xfId="154"/>
    <cellStyle name="Heading 2 4" xfId="155"/>
    <cellStyle name="Heading 2 5" xfId="156"/>
    <cellStyle name="Heading 3" xfId="157" builtinId="18" customBuiltin="1"/>
    <cellStyle name="Heading 3 2" xfId="158"/>
    <cellStyle name="Heading 3 3" xfId="159"/>
    <cellStyle name="Heading 3 4" xfId="160"/>
    <cellStyle name="Heading 3 5" xfId="161"/>
    <cellStyle name="Heading 4" xfId="162" builtinId="19" customBuiltin="1"/>
    <cellStyle name="Heading 4 2" xfId="163"/>
    <cellStyle name="Heading 4 3" xfId="164"/>
    <cellStyle name="Heading 4 4" xfId="165"/>
    <cellStyle name="Heading 4 5" xfId="166"/>
    <cellStyle name="Input" xfId="167" builtinId="20" customBuiltin="1"/>
    <cellStyle name="Input 2" xfId="168"/>
    <cellStyle name="Input 3" xfId="169"/>
    <cellStyle name="Input 4" xfId="170"/>
    <cellStyle name="Input 5" xfId="171"/>
    <cellStyle name="Linked Cell" xfId="172" builtinId="24" customBuiltin="1"/>
    <cellStyle name="Linked Cell 2" xfId="173"/>
    <cellStyle name="Linked Cell 3" xfId="174"/>
    <cellStyle name="Linked Cell 4" xfId="175"/>
    <cellStyle name="Linked Cell 5" xfId="176"/>
    <cellStyle name="Neutral" xfId="177" builtinId="28" customBuiltin="1"/>
    <cellStyle name="Neutral 2" xfId="178"/>
    <cellStyle name="Neutral 3" xfId="179"/>
    <cellStyle name="Neutral 4" xfId="180"/>
    <cellStyle name="Neutral 5" xfId="181"/>
    <cellStyle name="Normal" xfId="0" builtinId="0"/>
    <cellStyle name="Normal 2" xfId="182"/>
    <cellStyle name="Normal 2_BLA Power-JB0772-25.10.10" xfId="183"/>
    <cellStyle name="Normal 3" xfId="184"/>
    <cellStyle name="Normal 4" xfId="185"/>
    <cellStyle name="Normal 5" xfId="186"/>
    <cellStyle name="Note" xfId="187" builtinId="10" customBuiltin="1"/>
    <cellStyle name="Note 2" xfId="188"/>
    <cellStyle name="Note 3" xfId="189"/>
    <cellStyle name="Note 4" xfId="190"/>
    <cellStyle name="Note 5" xfId="191"/>
    <cellStyle name="Output" xfId="192" builtinId="21" customBuiltin="1"/>
    <cellStyle name="Output 2" xfId="193"/>
    <cellStyle name="Output 3" xfId="194"/>
    <cellStyle name="Output 4" xfId="195"/>
    <cellStyle name="Output 5" xfId="196"/>
    <cellStyle name="Percent" xfId="197" builtinId="5"/>
    <cellStyle name="Title" xfId="198" builtinId="15" customBuiltin="1"/>
    <cellStyle name="Title 2" xfId="199"/>
    <cellStyle name="Title 3" xfId="200"/>
    <cellStyle name="Title 4" xfId="201"/>
    <cellStyle name="Title 5" xfId="202"/>
    <cellStyle name="Total" xfId="203" builtinId="25" customBuiltin="1"/>
    <cellStyle name="Total 2" xfId="204"/>
    <cellStyle name="Total 3" xfId="205"/>
    <cellStyle name="Total 4" xfId="206"/>
    <cellStyle name="Total 5" xfId="207"/>
    <cellStyle name="Warning Text" xfId="208" builtinId="11" customBuiltin="1"/>
    <cellStyle name="Warning Text 2" xfId="209"/>
    <cellStyle name="Warning Text 3" xfId="210"/>
    <cellStyle name="Warning Text 4" xfId="211"/>
    <cellStyle name="Warning Text 5" xfId="21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5F5F5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FFFFF"/>
      <rgbColor rgb="00DCDCD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showZeros="0" tabSelected="1" zoomScale="90" zoomScaleNormal="90" workbookViewId="0">
      <selection activeCell="B9" sqref="B9"/>
    </sheetView>
  </sheetViews>
  <sheetFormatPr defaultRowHeight="12.75" x14ac:dyDescent="0.2"/>
  <cols>
    <col min="1" max="1" width="8.140625" style="92" customWidth="1"/>
    <col min="2" max="2" width="27" style="3" customWidth="1"/>
    <col min="3" max="3" width="15.42578125" style="3" customWidth="1"/>
    <col min="4" max="4" width="15" style="3" bestFit="1" customWidth="1"/>
    <col min="5" max="5" width="16.7109375" style="3" customWidth="1"/>
    <col min="6" max="6" width="17.42578125" style="3" bestFit="1" customWidth="1"/>
    <col min="7" max="7" width="17.42578125" style="3" customWidth="1"/>
    <col min="8" max="8" width="34" style="3" customWidth="1"/>
    <col min="9" max="9" width="23.42578125" style="3" customWidth="1"/>
    <col min="10" max="10" width="14.28515625" style="3" bestFit="1" customWidth="1"/>
    <col min="11" max="16384" width="9.140625" style="3"/>
  </cols>
  <sheetData>
    <row r="1" spans="1:8" ht="22.5" x14ac:dyDescent="0.3">
      <c r="A1" s="100" t="s">
        <v>78</v>
      </c>
      <c r="B1" s="100"/>
      <c r="C1" s="100"/>
      <c r="D1" s="100"/>
      <c r="E1" s="100"/>
      <c r="F1" s="100"/>
      <c r="G1" s="100"/>
      <c r="H1" s="100"/>
    </row>
    <row r="2" spans="1:8" ht="15.75" x14ac:dyDescent="0.25">
      <c r="B2" s="90" t="s">
        <v>80</v>
      </c>
      <c r="F2" s="91"/>
      <c r="G2" s="91"/>
    </row>
    <row r="3" spans="1:8" ht="18.75" x14ac:dyDescent="0.3">
      <c r="A3" s="93"/>
      <c r="B3" s="90" t="s">
        <v>81</v>
      </c>
      <c r="F3" s="91"/>
      <c r="G3" s="91"/>
      <c r="H3" s="67"/>
    </row>
    <row r="4" spans="1:8" ht="18.75" x14ac:dyDescent="0.3">
      <c r="A4" s="94" t="s">
        <v>24</v>
      </c>
      <c r="B4" s="90"/>
      <c r="C4" s="61"/>
      <c r="D4" s="95"/>
      <c r="E4" s="61"/>
      <c r="F4" s="61"/>
      <c r="G4" s="61"/>
      <c r="H4" s="43"/>
    </row>
    <row r="6" spans="1:8" x14ac:dyDescent="0.2">
      <c r="A6" s="99" t="s">
        <v>79</v>
      </c>
      <c r="B6" s="64" t="s">
        <v>4</v>
      </c>
    </row>
    <row r="11" spans="1:8" x14ac:dyDescent="0.2">
      <c r="D11" s="92"/>
    </row>
  </sheetData>
  <printOptions horizontalCentered="1"/>
  <pageMargins left="0.2" right="0.2" top="0.24" bottom="0.24" header="0.2" footer="0.19"/>
  <pageSetup paperSize="9" orientation="landscape" horizontalDpi="4294967295" vertic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6"/>
  <sheetViews>
    <sheetView showZeros="0" zoomScale="75" workbookViewId="0">
      <pane xSplit="2" ySplit="8" topLeftCell="I27" activePane="bottomRight" state="frozen"/>
      <selection pane="topRight" activeCell="C1" sqref="C1"/>
      <selection pane="bottomLeft" activeCell="A9" sqref="A9"/>
      <selection pane="bottomRight" activeCell="N27" sqref="N27"/>
    </sheetView>
  </sheetViews>
  <sheetFormatPr defaultRowHeight="12.75" x14ac:dyDescent="0.2"/>
  <cols>
    <col min="1" max="1" width="5.7109375" style="3" customWidth="1"/>
    <col min="2" max="2" width="24.140625" style="3" customWidth="1"/>
    <col min="3" max="8" width="14.85546875" style="3" hidden="1" customWidth="1"/>
    <col min="9" max="16" width="14.85546875" style="3" customWidth="1"/>
    <col min="17" max="17" width="16.28515625" style="3" customWidth="1"/>
    <col min="18" max="18" width="15" style="3" customWidth="1"/>
    <col min="19" max="19" width="11.7109375" style="3" customWidth="1"/>
    <col min="20" max="20" width="13.42578125" style="43" customWidth="1"/>
    <col min="21" max="21" width="14.7109375" style="81" customWidth="1"/>
    <col min="22" max="16384" width="9.140625" style="3"/>
  </cols>
  <sheetData>
    <row r="1" spans="1:21" ht="22.5" x14ac:dyDescent="0.3">
      <c r="A1" s="4" t="s">
        <v>0</v>
      </c>
      <c r="B1" s="5"/>
      <c r="U1" s="88">
        <v>-27299106</v>
      </c>
    </row>
    <row r="2" spans="1:21" ht="17.25" customHeight="1" x14ac:dyDescent="0.3">
      <c r="A2" s="4"/>
      <c r="B2" s="5"/>
      <c r="M2" s="89"/>
      <c r="R2" s="2" t="s">
        <v>53</v>
      </c>
      <c r="U2" s="43">
        <v>0</v>
      </c>
    </row>
    <row r="3" spans="1:21" ht="18.75" x14ac:dyDescent="0.3">
      <c r="A3" s="7" t="s">
        <v>51</v>
      </c>
      <c r="B3" s="6"/>
      <c r="I3" s="43">
        <f>225773147.37-I20</f>
        <v>0</v>
      </c>
      <c r="M3" s="89"/>
      <c r="P3" s="43">
        <f>-274987194.39-34608000+P20</f>
        <v>0</v>
      </c>
      <c r="R3" s="67" t="s">
        <v>77</v>
      </c>
      <c r="U3" s="43">
        <f>+U2+U1</f>
        <v>-27299106</v>
      </c>
    </row>
    <row r="4" spans="1:21" ht="17.25" customHeight="1" x14ac:dyDescent="0.3">
      <c r="A4" s="7" t="s">
        <v>52</v>
      </c>
      <c r="B4" s="6"/>
      <c r="J4" s="43"/>
      <c r="U4" s="43">
        <f>+U3+R5</f>
        <v>16270000</v>
      </c>
    </row>
    <row r="5" spans="1:21" ht="19.5" thickBot="1" x14ac:dyDescent="0.35">
      <c r="A5" s="8" t="s">
        <v>24</v>
      </c>
      <c r="B5" s="6"/>
      <c r="C5" s="61"/>
      <c r="D5" s="61"/>
      <c r="E5" s="61" t="s">
        <v>55</v>
      </c>
      <c r="F5" s="61"/>
      <c r="G5" s="61"/>
      <c r="H5" s="61"/>
      <c r="I5" s="61" t="s">
        <v>55</v>
      </c>
      <c r="J5" s="61"/>
      <c r="K5" s="61"/>
      <c r="L5" s="61" t="s">
        <v>55</v>
      </c>
      <c r="M5" s="61"/>
      <c r="N5" s="61"/>
      <c r="O5" s="61"/>
      <c r="P5" s="61"/>
      <c r="R5" s="43">
        <f>SUM(R23:R52)</f>
        <v>43569106</v>
      </c>
      <c r="U5" s="43"/>
    </row>
    <row r="6" spans="1:21" ht="16.5" customHeight="1" thickTop="1" x14ac:dyDescent="0.2">
      <c r="A6" s="9" t="s">
        <v>1</v>
      </c>
      <c r="B6" s="10"/>
      <c r="C6" s="96" t="s">
        <v>42</v>
      </c>
      <c r="D6" s="97"/>
      <c r="E6" s="98"/>
      <c r="F6" s="96" t="s">
        <v>54</v>
      </c>
      <c r="G6" s="97"/>
      <c r="H6" s="98"/>
      <c r="I6" s="46" t="s">
        <v>5</v>
      </c>
      <c r="J6" s="96" t="s">
        <v>73</v>
      </c>
      <c r="K6" s="97"/>
      <c r="L6" s="98"/>
      <c r="M6" s="96" t="s">
        <v>75</v>
      </c>
      <c r="N6" s="97"/>
      <c r="O6" s="98"/>
      <c r="P6" s="46" t="s">
        <v>5</v>
      </c>
      <c r="Q6" s="11" t="s">
        <v>2</v>
      </c>
      <c r="R6" s="12"/>
    </row>
    <row r="7" spans="1:21" ht="13.5" thickBot="1" x14ac:dyDescent="0.25">
      <c r="A7" s="13" t="s">
        <v>3</v>
      </c>
      <c r="B7" s="14" t="s">
        <v>4</v>
      </c>
      <c r="C7" s="49" t="s">
        <v>34</v>
      </c>
      <c r="D7" s="50" t="s">
        <v>26</v>
      </c>
      <c r="E7" s="15" t="s">
        <v>5</v>
      </c>
      <c r="F7" s="49" t="s">
        <v>34</v>
      </c>
      <c r="G7" s="50" t="s">
        <v>26</v>
      </c>
      <c r="H7" s="15" t="s">
        <v>5</v>
      </c>
      <c r="I7" s="47" t="s">
        <v>37</v>
      </c>
      <c r="J7" s="49" t="s">
        <v>34</v>
      </c>
      <c r="K7" s="50" t="s">
        <v>26</v>
      </c>
      <c r="L7" s="15" t="s">
        <v>5</v>
      </c>
      <c r="M7" s="49" t="s">
        <v>34</v>
      </c>
      <c r="N7" s="50" t="s">
        <v>26</v>
      </c>
      <c r="O7" s="15" t="s">
        <v>5</v>
      </c>
      <c r="P7" s="47" t="s">
        <v>59</v>
      </c>
      <c r="Q7" s="16" t="s">
        <v>5</v>
      </c>
      <c r="R7" s="17" t="s">
        <v>6</v>
      </c>
    </row>
    <row r="8" spans="1:21" ht="13.5" thickTop="1" x14ac:dyDescent="0.2">
      <c r="A8" s="18"/>
      <c r="B8" s="19"/>
      <c r="C8" s="51" t="s">
        <v>7</v>
      </c>
      <c r="D8" s="52" t="s">
        <v>7</v>
      </c>
      <c r="E8" s="53" t="s">
        <v>7</v>
      </c>
      <c r="F8" s="51"/>
      <c r="G8" s="52"/>
      <c r="H8" s="53"/>
      <c r="I8" s="21"/>
      <c r="J8" s="51" t="s">
        <v>7</v>
      </c>
      <c r="K8" s="52" t="s">
        <v>7</v>
      </c>
      <c r="L8" s="53" t="s">
        <v>7</v>
      </c>
      <c r="M8" s="51"/>
      <c r="N8" s="52"/>
      <c r="O8" s="53"/>
      <c r="P8" s="21"/>
      <c r="Q8" s="20"/>
      <c r="R8" s="21"/>
    </row>
    <row r="9" spans="1:21" x14ac:dyDescent="0.2">
      <c r="A9" s="22" t="s">
        <v>8</v>
      </c>
      <c r="B9" s="23" t="s">
        <v>9</v>
      </c>
      <c r="C9" s="54"/>
      <c r="D9" s="55"/>
      <c r="E9" s="27"/>
      <c r="F9" s="70"/>
      <c r="G9" s="71"/>
      <c r="H9" s="72"/>
      <c r="I9" s="73"/>
      <c r="J9" s="54"/>
      <c r="K9" s="55"/>
      <c r="L9" s="27"/>
      <c r="M9" s="70"/>
      <c r="N9" s="71"/>
      <c r="O9" s="72"/>
      <c r="P9" s="73"/>
      <c r="Q9" s="45"/>
      <c r="R9" s="24"/>
    </row>
    <row r="10" spans="1:21" x14ac:dyDescent="0.2">
      <c r="A10" s="25">
        <v>1</v>
      </c>
      <c r="B10" s="26" t="s">
        <v>10</v>
      </c>
      <c r="C10" s="54"/>
      <c r="D10" s="55"/>
      <c r="E10" s="27">
        <f>SUM(C10:D10)</f>
        <v>0</v>
      </c>
      <c r="F10" s="54">
        <f t="shared" ref="F10:F19" si="0">+H10-G10</f>
        <v>198981290</v>
      </c>
      <c r="G10" s="55"/>
      <c r="H10" s="27">
        <f t="shared" ref="H10:H19" si="1">+I10-E10</f>
        <v>198981290</v>
      </c>
      <c r="I10" s="35">
        <f>87693000+111288290</f>
        <v>198981290</v>
      </c>
      <c r="J10" s="54">
        <f>134054000+21229695.79</f>
        <v>155283695.78999999</v>
      </c>
      <c r="K10" s="55"/>
      <c r="L10" s="27">
        <f t="shared" ref="L10:L19" si="2">SUM(J10:K10)</f>
        <v>155283695.78999999</v>
      </c>
      <c r="M10" s="54">
        <f t="shared" ref="M10:M19" si="3">+O10-N10</f>
        <v>90832390</v>
      </c>
      <c r="N10" s="55"/>
      <c r="O10" s="27">
        <f>+P10-L10</f>
        <v>90832390</v>
      </c>
      <c r="P10" s="35">
        <f>197417000+48699085.79</f>
        <v>246116085.78999999</v>
      </c>
      <c r="Q10" s="44">
        <f t="shared" ref="Q10:Q19" si="4">+I10+P10</f>
        <v>445097375.78999996</v>
      </c>
      <c r="R10" s="28"/>
    </row>
    <row r="11" spans="1:21" x14ac:dyDescent="0.2">
      <c r="A11" s="25"/>
      <c r="B11" s="26"/>
      <c r="C11" s="54"/>
      <c r="D11" s="55"/>
      <c r="E11" s="27">
        <f>SUM(C11:D11)</f>
        <v>0</v>
      </c>
      <c r="F11" s="54">
        <f t="shared" si="0"/>
        <v>0</v>
      </c>
      <c r="G11" s="55"/>
      <c r="H11" s="27">
        <f t="shared" si="1"/>
        <v>0</v>
      </c>
      <c r="I11" s="35"/>
      <c r="J11" s="54"/>
      <c r="K11" s="55"/>
      <c r="L11" s="27">
        <f t="shared" si="2"/>
        <v>0</v>
      </c>
      <c r="M11" s="54">
        <f t="shared" si="3"/>
        <v>0</v>
      </c>
      <c r="N11" s="55"/>
      <c r="O11" s="27">
        <f t="shared" ref="O11:O19" si="5">+P11-L11</f>
        <v>0</v>
      </c>
      <c r="P11" s="35">
        <f t="shared" ref="P11:P19" si="6">+L11</f>
        <v>0</v>
      </c>
      <c r="Q11" s="44">
        <f t="shared" si="4"/>
        <v>0</v>
      </c>
      <c r="R11" s="28"/>
    </row>
    <row r="12" spans="1:21" x14ac:dyDescent="0.2">
      <c r="A12" s="25">
        <f>A10+1</f>
        <v>2</v>
      </c>
      <c r="B12" s="26" t="s">
        <v>44</v>
      </c>
      <c r="C12" s="54"/>
      <c r="D12" s="55"/>
      <c r="E12" s="27">
        <f>SUM(C12:D12)</f>
        <v>0</v>
      </c>
      <c r="F12" s="54">
        <f t="shared" si="0"/>
        <v>18254020.190000001</v>
      </c>
      <c r="G12" s="55"/>
      <c r="H12" s="27">
        <f t="shared" si="1"/>
        <v>18254020.190000001</v>
      </c>
      <c r="I12" s="35">
        <v>18254020.190000001</v>
      </c>
      <c r="J12" s="54">
        <v>11389222</v>
      </c>
      <c r="K12" s="55"/>
      <c r="L12" s="27">
        <f t="shared" si="2"/>
        <v>11389222</v>
      </c>
      <c r="M12" s="54">
        <f t="shared" si="3"/>
        <v>5991739.379999999</v>
      </c>
      <c r="N12" s="55"/>
      <c r="O12" s="27">
        <f t="shared" si="5"/>
        <v>5991739.379999999</v>
      </c>
      <c r="P12" s="35">
        <v>17380961.379999999</v>
      </c>
      <c r="Q12" s="44">
        <f t="shared" si="4"/>
        <v>35634981.57</v>
      </c>
      <c r="R12" s="28"/>
    </row>
    <row r="13" spans="1:21" x14ac:dyDescent="0.2">
      <c r="A13" s="25"/>
      <c r="B13" s="26"/>
      <c r="C13" s="54"/>
      <c r="D13" s="55"/>
      <c r="E13" s="27">
        <f>SUM(C13:D13)</f>
        <v>0</v>
      </c>
      <c r="F13" s="54">
        <f t="shared" si="0"/>
        <v>0</v>
      </c>
      <c r="G13" s="55"/>
      <c r="H13" s="27">
        <f t="shared" si="1"/>
        <v>0</v>
      </c>
      <c r="I13" s="35"/>
      <c r="J13" s="54"/>
      <c r="K13" s="55"/>
      <c r="L13" s="27">
        <f t="shared" si="2"/>
        <v>0</v>
      </c>
      <c r="M13" s="54">
        <f t="shared" si="3"/>
        <v>0</v>
      </c>
      <c r="N13" s="55"/>
      <c r="O13" s="27">
        <f t="shared" si="5"/>
        <v>0</v>
      </c>
      <c r="P13" s="35">
        <f t="shared" si="6"/>
        <v>0</v>
      </c>
      <c r="Q13" s="44">
        <f t="shared" si="4"/>
        <v>0</v>
      </c>
      <c r="R13" s="28"/>
    </row>
    <row r="14" spans="1:21" x14ac:dyDescent="0.2">
      <c r="A14" s="25">
        <f>A12+1</f>
        <v>3</v>
      </c>
      <c r="B14" s="26" t="s">
        <v>45</v>
      </c>
      <c r="C14" s="54"/>
      <c r="D14" s="55"/>
      <c r="E14" s="27">
        <f>SUM(C14:D14)</f>
        <v>0</v>
      </c>
      <c r="F14" s="54">
        <f t="shared" si="0"/>
        <v>1454103.24</v>
      </c>
      <c r="G14" s="55"/>
      <c r="H14" s="27">
        <f t="shared" si="1"/>
        <v>1454103.24</v>
      </c>
      <c r="I14" s="35">
        <v>1454103.24</v>
      </c>
      <c r="J14" s="54">
        <v>1910593.34</v>
      </c>
      <c r="K14" s="55"/>
      <c r="L14" s="27">
        <f t="shared" si="2"/>
        <v>1910593.34</v>
      </c>
      <c r="M14" s="54">
        <f t="shared" si="3"/>
        <v>817821.22</v>
      </c>
      <c r="N14" s="55"/>
      <c r="O14" s="27">
        <f t="shared" si="5"/>
        <v>817821.22</v>
      </c>
      <c r="P14" s="35">
        <v>2728414.56</v>
      </c>
      <c r="Q14" s="44">
        <f t="shared" si="4"/>
        <v>4182517.8</v>
      </c>
      <c r="R14" s="28"/>
    </row>
    <row r="15" spans="1:21" x14ac:dyDescent="0.2">
      <c r="A15" s="25"/>
      <c r="B15" s="26"/>
      <c r="C15" s="54"/>
      <c r="D15" s="55"/>
      <c r="E15" s="27"/>
      <c r="F15" s="54">
        <f t="shared" si="0"/>
        <v>0</v>
      </c>
      <c r="G15" s="55"/>
      <c r="H15" s="27">
        <f t="shared" si="1"/>
        <v>0</v>
      </c>
      <c r="I15" s="35"/>
      <c r="J15" s="54"/>
      <c r="K15" s="55"/>
      <c r="L15" s="27">
        <f t="shared" si="2"/>
        <v>0</v>
      </c>
      <c r="M15" s="54">
        <f t="shared" si="3"/>
        <v>0</v>
      </c>
      <c r="N15" s="55"/>
      <c r="O15" s="27">
        <f t="shared" si="5"/>
        <v>0</v>
      </c>
      <c r="P15" s="35">
        <f t="shared" si="6"/>
        <v>0</v>
      </c>
      <c r="Q15" s="44">
        <f t="shared" si="4"/>
        <v>0</v>
      </c>
      <c r="R15" s="28"/>
    </row>
    <row r="16" spans="1:21" x14ac:dyDescent="0.2">
      <c r="A16" s="25">
        <v>4</v>
      </c>
      <c r="B16" s="26" t="s">
        <v>15</v>
      </c>
      <c r="C16" s="54"/>
      <c r="D16" s="55"/>
      <c r="E16" s="27">
        <f>SUM(C16:D16)</f>
        <v>0</v>
      </c>
      <c r="F16" s="54">
        <f t="shared" si="0"/>
        <v>7083733.9400000004</v>
      </c>
      <c r="G16" s="55"/>
      <c r="H16" s="27">
        <f t="shared" si="1"/>
        <v>7083733.9400000004</v>
      </c>
      <c r="I16" s="35">
        <v>7083733.9400000004</v>
      </c>
      <c r="J16" s="54">
        <v>5528099.5700000003</v>
      </c>
      <c r="K16" s="55"/>
      <c r="L16" s="27">
        <f t="shared" si="2"/>
        <v>5528099.5700000003</v>
      </c>
      <c r="M16" s="54">
        <f t="shared" si="3"/>
        <v>3233633.09</v>
      </c>
      <c r="N16" s="55"/>
      <c r="O16" s="27">
        <f t="shared" si="5"/>
        <v>3233633.09</v>
      </c>
      <c r="P16" s="35">
        <v>8761732.6600000001</v>
      </c>
      <c r="Q16" s="44">
        <f t="shared" si="4"/>
        <v>15845466.600000001</v>
      </c>
      <c r="R16" s="28"/>
    </row>
    <row r="17" spans="1:20" x14ac:dyDescent="0.2">
      <c r="A17" s="25"/>
      <c r="B17" s="26"/>
      <c r="C17" s="54"/>
      <c r="D17" s="55"/>
      <c r="E17" s="27"/>
      <c r="F17" s="54">
        <f t="shared" si="0"/>
        <v>0</v>
      </c>
      <c r="G17" s="55"/>
      <c r="H17" s="27">
        <f t="shared" si="1"/>
        <v>0</v>
      </c>
      <c r="I17" s="35"/>
      <c r="J17" s="54"/>
      <c r="K17" s="55"/>
      <c r="L17" s="27">
        <f t="shared" si="2"/>
        <v>0</v>
      </c>
      <c r="M17" s="54">
        <f t="shared" si="3"/>
        <v>0</v>
      </c>
      <c r="N17" s="55"/>
      <c r="O17" s="27">
        <f t="shared" si="5"/>
        <v>0</v>
      </c>
      <c r="P17" s="35">
        <f t="shared" si="6"/>
        <v>0</v>
      </c>
      <c r="Q17" s="44">
        <f t="shared" si="4"/>
        <v>0</v>
      </c>
      <c r="R17" s="28"/>
    </row>
    <row r="18" spans="1:20" x14ac:dyDescent="0.2">
      <c r="A18" s="25">
        <v>5</v>
      </c>
      <c r="B18" s="26" t="s">
        <v>46</v>
      </c>
      <c r="C18" s="54"/>
      <c r="D18" s="55"/>
      <c r="E18" s="27">
        <f>SUM(C18:D18)</f>
        <v>0</v>
      </c>
      <c r="F18" s="54">
        <f t="shared" si="0"/>
        <v>0</v>
      </c>
      <c r="G18" s="55"/>
      <c r="H18" s="27">
        <f t="shared" si="1"/>
        <v>0</v>
      </c>
      <c r="I18" s="35"/>
      <c r="J18" s="54">
        <v>27230480</v>
      </c>
      <c r="K18" s="55"/>
      <c r="L18" s="27">
        <f t="shared" si="2"/>
        <v>27230480</v>
      </c>
      <c r="M18" s="54">
        <f t="shared" si="3"/>
        <v>7377520</v>
      </c>
      <c r="N18" s="55"/>
      <c r="O18" s="27">
        <f t="shared" si="5"/>
        <v>7377520</v>
      </c>
      <c r="P18" s="35">
        <v>34608000</v>
      </c>
      <c r="Q18" s="44">
        <f t="shared" si="4"/>
        <v>34608000</v>
      </c>
      <c r="R18" s="28"/>
    </row>
    <row r="19" spans="1:20" x14ac:dyDescent="0.2">
      <c r="A19" s="25"/>
      <c r="B19" s="26"/>
      <c r="C19" s="54"/>
      <c r="D19" s="55"/>
      <c r="E19" s="27"/>
      <c r="F19" s="54">
        <f t="shared" si="0"/>
        <v>0</v>
      </c>
      <c r="G19" s="55"/>
      <c r="H19" s="27">
        <f t="shared" si="1"/>
        <v>0</v>
      </c>
      <c r="I19" s="35"/>
      <c r="J19" s="54"/>
      <c r="K19" s="55"/>
      <c r="L19" s="27">
        <f t="shared" si="2"/>
        <v>0</v>
      </c>
      <c r="M19" s="54">
        <f t="shared" si="3"/>
        <v>0</v>
      </c>
      <c r="N19" s="55"/>
      <c r="O19" s="27">
        <f t="shared" si="5"/>
        <v>0</v>
      </c>
      <c r="P19" s="35">
        <f t="shared" si="6"/>
        <v>0</v>
      </c>
      <c r="Q19" s="44">
        <f t="shared" si="4"/>
        <v>0</v>
      </c>
      <c r="R19" s="28"/>
    </row>
    <row r="20" spans="1:20" ht="13.5" thickBot="1" x14ac:dyDescent="0.25">
      <c r="A20" s="29"/>
      <c r="B20" s="30" t="s">
        <v>11</v>
      </c>
      <c r="C20" s="56">
        <f t="shared" ref="C20:Q20" si="7">SUM(C9:C19)</f>
        <v>0</v>
      </c>
      <c r="D20" s="57">
        <f t="shared" si="7"/>
        <v>0</v>
      </c>
      <c r="E20" s="31">
        <f t="shared" si="7"/>
        <v>0</v>
      </c>
      <c r="F20" s="74">
        <f t="shared" si="7"/>
        <v>225773147.37</v>
      </c>
      <c r="G20" s="57">
        <f t="shared" si="7"/>
        <v>0</v>
      </c>
      <c r="H20" s="31">
        <f t="shared" si="7"/>
        <v>225773147.37</v>
      </c>
      <c r="I20" s="32">
        <f t="shared" si="7"/>
        <v>225773147.37</v>
      </c>
      <c r="J20" s="56">
        <f t="shared" si="7"/>
        <v>201342090.69999999</v>
      </c>
      <c r="K20" s="57">
        <f t="shared" si="7"/>
        <v>0</v>
      </c>
      <c r="L20" s="31">
        <f t="shared" si="7"/>
        <v>201342090.69999999</v>
      </c>
      <c r="M20" s="74">
        <f>SUM(M9:M19)</f>
        <v>108253103.69</v>
      </c>
      <c r="N20" s="57">
        <f>SUM(N9:N19)</f>
        <v>0</v>
      </c>
      <c r="O20" s="31">
        <f>SUM(O9:O19)</f>
        <v>108253103.69</v>
      </c>
      <c r="P20" s="32">
        <f t="shared" si="7"/>
        <v>309595194.38999999</v>
      </c>
      <c r="Q20" s="48">
        <f t="shared" si="7"/>
        <v>535368341.75999999</v>
      </c>
      <c r="R20" s="28"/>
    </row>
    <row r="21" spans="1:20" ht="13.5" thickTop="1" x14ac:dyDescent="0.2">
      <c r="A21" s="29"/>
      <c r="B21" s="30"/>
      <c r="C21" s="54"/>
      <c r="D21" s="55"/>
      <c r="E21" s="27">
        <f t="shared" ref="E21:E34" si="8">SUM(C21:D21)</f>
        <v>0</v>
      </c>
      <c r="F21" s="54"/>
      <c r="G21" s="55"/>
      <c r="H21" s="27"/>
      <c r="I21" s="35"/>
      <c r="J21" s="54"/>
      <c r="K21" s="55"/>
      <c r="L21" s="27">
        <f t="shared" ref="L21:L34" si="9">SUM(J21:K21)</f>
        <v>0</v>
      </c>
      <c r="M21" s="54"/>
      <c r="N21" s="55"/>
      <c r="O21" s="27"/>
      <c r="P21" s="35"/>
      <c r="Q21" s="44">
        <f>+I21</f>
        <v>0</v>
      </c>
      <c r="R21" s="28"/>
    </row>
    <row r="22" spans="1:20" x14ac:dyDescent="0.2">
      <c r="A22" s="33" t="s">
        <v>12</v>
      </c>
      <c r="B22" s="23" t="s">
        <v>13</v>
      </c>
      <c r="C22" s="54"/>
      <c r="D22" s="55"/>
      <c r="E22" s="27">
        <f t="shared" si="8"/>
        <v>0</v>
      </c>
      <c r="F22" s="54"/>
      <c r="G22" s="55"/>
      <c r="H22" s="27"/>
      <c r="I22" s="35"/>
      <c r="J22" s="54"/>
      <c r="K22" s="55"/>
      <c r="L22" s="27">
        <f t="shared" si="9"/>
        <v>0</v>
      </c>
      <c r="M22" s="54"/>
      <c r="N22" s="55"/>
      <c r="O22" s="27">
        <f t="shared" ref="O22:O55" si="10">+P22-L22</f>
        <v>0</v>
      </c>
      <c r="P22" s="35">
        <f>+L22</f>
        <v>0</v>
      </c>
      <c r="Q22" s="44">
        <f t="shared" ref="Q22:Q34" si="11">+I22+P22</f>
        <v>0</v>
      </c>
      <c r="R22" s="28"/>
    </row>
    <row r="23" spans="1:20" x14ac:dyDescent="0.2">
      <c r="A23" s="25">
        <v>1</v>
      </c>
      <c r="B23" s="26" t="s">
        <v>10</v>
      </c>
      <c r="C23" s="54">
        <v>9.92</v>
      </c>
      <c r="D23" s="55"/>
      <c r="E23" s="27">
        <f t="shared" si="8"/>
        <v>9.92</v>
      </c>
      <c r="F23" s="54">
        <f>+H23-G23</f>
        <v>175603085.85000002</v>
      </c>
      <c r="G23" s="55">
        <v>20001000</v>
      </c>
      <c r="H23" s="27">
        <f>+I23-E23</f>
        <v>195604085.85000002</v>
      </c>
      <c r="I23" s="35">
        <f>74287794.48-2421.71+101305207.53+12515.47+20001000</f>
        <v>195604095.77000001</v>
      </c>
      <c r="J23" s="54">
        <f>107464723.4-277217.19+17930470.1+-1490.1+2500000+0.5+49760</f>
        <v>127666246.71000001</v>
      </c>
      <c r="K23" s="55">
        <v>4288000</v>
      </c>
      <c r="L23" s="27">
        <f t="shared" si="9"/>
        <v>131954246.71000001</v>
      </c>
      <c r="M23" s="54">
        <f>+O23-N23</f>
        <v>66755752.620000005</v>
      </c>
      <c r="N23" s="68">
        <v>11632000</v>
      </c>
      <c r="O23" s="27">
        <f t="shared" si="10"/>
        <v>78387752.620000005</v>
      </c>
      <c r="P23" s="35">
        <f>149669337.22-254589.39+8946511+40201370.1+958.4+4804922.5+0.5-4658511+11632000</f>
        <v>210341999.33000001</v>
      </c>
      <c r="Q23" s="44">
        <f t="shared" si="11"/>
        <v>405946095.10000002</v>
      </c>
      <c r="R23" s="35">
        <f>+D23+G23+K23+N23</f>
        <v>35921000</v>
      </c>
      <c r="S23" s="3" t="s">
        <v>27</v>
      </c>
      <c r="T23" s="43">
        <f>P23+P54</f>
        <v>217725482.33000001</v>
      </c>
    </row>
    <row r="24" spans="1:20" x14ac:dyDescent="0.2">
      <c r="A24" s="29"/>
      <c r="B24" s="34"/>
      <c r="C24" s="54"/>
      <c r="D24" s="55"/>
      <c r="E24" s="27">
        <f t="shared" si="8"/>
        <v>0</v>
      </c>
      <c r="F24" s="54"/>
      <c r="G24" s="55"/>
      <c r="H24" s="27"/>
      <c r="I24" s="35"/>
      <c r="J24" s="54"/>
      <c r="K24" s="55"/>
      <c r="L24" s="27">
        <f t="shared" si="9"/>
        <v>0</v>
      </c>
      <c r="M24" s="54"/>
      <c r="N24" s="55"/>
      <c r="O24" s="27">
        <f t="shared" si="10"/>
        <v>0</v>
      </c>
      <c r="P24" s="35"/>
      <c r="Q24" s="44">
        <f t="shared" si="11"/>
        <v>0</v>
      </c>
      <c r="R24" s="35">
        <f t="shared" ref="R24:R32" si="12">+D24+G24+K24</f>
        <v>0</v>
      </c>
      <c r="S24" s="3" t="s">
        <v>28</v>
      </c>
      <c r="T24" s="43">
        <f>SUM(P25:P40)</f>
        <v>61968642.289999999</v>
      </c>
    </row>
    <row r="25" spans="1:20" x14ac:dyDescent="0.2">
      <c r="A25" s="25">
        <f>A23+1</f>
        <v>2</v>
      </c>
      <c r="B25" s="26" t="s">
        <v>14</v>
      </c>
      <c r="C25" s="54"/>
      <c r="D25" s="55"/>
      <c r="E25" s="27">
        <f t="shared" si="8"/>
        <v>0</v>
      </c>
      <c r="F25" s="54">
        <f>+H25-G25</f>
        <v>0</v>
      </c>
      <c r="G25" s="55"/>
      <c r="H25" s="27">
        <f>+I25-E24</f>
        <v>0</v>
      </c>
      <c r="I25" s="35"/>
      <c r="J25" s="54">
        <f>9000.48</f>
        <v>9000.48</v>
      </c>
      <c r="K25" s="55"/>
      <c r="L25" s="27">
        <f t="shared" si="9"/>
        <v>9000.48</v>
      </c>
      <c r="M25" s="54">
        <f>+O25-N25</f>
        <v>2276.1100000000006</v>
      </c>
      <c r="N25" s="55"/>
      <c r="O25" s="27">
        <f t="shared" si="10"/>
        <v>2276.1100000000006</v>
      </c>
      <c r="P25" s="35">
        <v>11276.59</v>
      </c>
      <c r="Q25" s="44">
        <f t="shared" si="11"/>
        <v>11276.59</v>
      </c>
      <c r="R25" s="35">
        <f t="shared" si="12"/>
        <v>0</v>
      </c>
      <c r="S25" s="3" t="s">
        <v>29</v>
      </c>
      <c r="T25" s="43">
        <f>SUM(P42:P52)</f>
        <v>2534820.84</v>
      </c>
    </row>
    <row r="26" spans="1:20" ht="13.5" thickBot="1" x14ac:dyDescent="0.25">
      <c r="A26" s="25"/>
      <c r="B26" s="26"/>
      <c r="C26" s="54"/>
      <c r="D26" s="55"/>
      <c r="E26" s="27">
        <f t="shared" si="8"/>
        <v>0</v>
      </c>
      <c r="F26" s="54">
        <f>+H26-G26</f>
        <v>0</v>
      </c>
      <c r="G26" s="55"/>
      <c r="H26" s="27">
        <f>+I26-E25</f>
        <v>0</v>
      </c>
      <c r="I26" s="35"/>
      <c r="J26" s="54"/>
      <c r="K26" s="55"/>
      <c r="L26" s="27">
        <f t="shared" si="9"/>
        <v>0</v>
      </c>
      <c r="M26" s="54"/>
      <c r="N26" s="55"/>
      <c r="O26" s="27">
        <f t="shared" si="10"/>
        <v>0</v>
      </c>
      <c r="P26" s="35"/>
      <c r="Q26" s="44">
        <f t="shared" si="11"/>
        <v>0</v>
      </c>
      <c r="R26" s="35">
        <f t="shared" si="12"/>
        <v>0</v>
      </c>
      <c r="T26" s="60">
        <f>SUM(T23:T25)</f>
        <v>282228945.45999998</v>
      </c>
    </row>
    <row r="27" spans="1:20" ht="13.5" thickTop="1" x14ac:dyDescent="0.2">
      <c r="A27" s="25">
        <f>A25+1</f>
        <v>3</v>
      </c>
      <c r="B27" s="26" t="s">
        <v>15</v>
      </c>
      <c r="C27" s="54"/>
      <c r="D27" s="55">
        <v>500000</v>
      </c>
      <c r="E27" s="27">
        <f t="shared" si="8"/>
        <v>500000</v>
      </c>
      <c r="F27" s="54">
        <f>+H27-G27</f>
        <v>5072914</v>
      </c>
      <c r="G27" s="55">
        <f>3500000-D27</f>
        <v>3000000</v>
      </c>
      <c r="H27" s="27">
        <f>+I27-E27</f>
        <v>8072914</v>
      </c>
      <c r="I27" s="35">
        <f>5097703-67479+3500000+42690</f>
        <v>8572914</v>
      </c>
      <c r="J27" s="54">
        <f>5602067+4201+(69736-20907)+11500</f>
        <v>5666597</v>
      </c>
      <c r="K27" s="55">
        <v>20907</v>
      </c>
      <c r="L27" s="27">
        <f t="shared" si="9"/>
        <v>5687504</v>
      </c>
      <c r="M27" s="54">
        <f>+O27-N27</f>
        <v>1623445.6500000004</v>
      </c>
      <c r="N27" s="55">
        <v>-510801</v>
      </c>
      <c r="O27" s="27">
        <f t="shared" si="10"/>
        <v>1112644.6500000004</v>
      </c>
      <c r="P27" s="35">
        <f>7198712.65+4201+-441065+11500+26800</f>
        <v>6800148.6500000004</v>
      </c>
      <c r="Q27" s="44">
        <f t="shared" si="11"/>
        <v>15373062.65</v>
      </c>
      <c r="R27" s="35">
        <f>+D27+G27+K27+N27</f>
        <v>3010106</v>
      </c>
      <c r="T27" s="43">
        <f>P56</f>
        <v>282228945.46000004</v>
      </c>
    </row>
    <row r="28" spans="1:20" x14ac:dyDescent="0.2">
      <c r="A28" s="25"/>
      <c r="B28" s="26"/>
      <c r="C28" s="54"/>
      <c r="D28" s="55"/>
      <c r="E28" s="27">
        <f t="shared" si="8"/>
        <v>0</v>
      </c>
      <c r="F28" s="54"/>
      <c r="G28" s="55"/>
      <c r="H28" s="27"/>
      <c r="I28" s="35"/>
      <c r="J28" s="54"/>
      <c r="K28" s="55"/>
      <c r="L28" s="27">
        <f t="shared" si="9"/>
        <v>0</v>
      </c>
      <c r="M28" s="54"/>
      <c r="N28" s="55"/>
      <c r="O28" s="27">
        <f t="shared" si="10"/>
        <v>0</v>
      </c>
      <c r="P28" s="35"/>
      <c r="Q28" s="44">
        <f t="shared" si="11"/>
        <v>0</v>
      </c>
      <c r="R28" s="35">
        <f t="shared" si="12"/>
        <v>0</v>
      </c>
      <c r="T28" s="43">
        <f>+T26-T27</f>
        <v>0</v>
      </c>
    </row>
    <row r="29" spans="1:20" x14ac:dyDescent="0.2">
      <c r="A29" s="25">
        <f>A27+1</f>
        <v>4</v>
      </c>
      <c r="B29" s="34" t="s">
        <v>16</v>
      </c>
      <c r="C29" s="54">
        <v>62160</v>
      </c>
      <c r="D29" s="55"/>
      <c r="E29" s="27">
        <f t="shared" si="8"/>
        <v>62160</v>
      </c>
      <c r="F29" s="54">
        <f>+H29-G29</f>
        <v>119320</v>
      </c>
      <c r="G29" s="55"/>
      <c r="H29" s="27">
        <f>+I29-E29</f>
        <v>119320</v>
      </c>
      <c r="I29" s="44">
        <v>181480</v>
      </c>
      <c r="J29" s="54">
        <f>14261+21510</f>
        <v>35771</v>
      </c>
      <c r="K29" s="55"/>
      <c r="L29" s="27">
        <f t="shared" si="9"/>
        <v>35771</v>
      </c>
      <c r="M29" s="54">
        <f>+O29-N29</f>
        <v>77400</v>
      </c>
      <c r="N29" s="55"/>
      <c r="O29" s="27">
        <f t="shared" si="10"/>
        <v>77400</v>
      </c>
      <c r="P29" s="35">
        <f>14261+98910</f>
        <v>113171</v>
      </c>
      <c r="Q29" s="44">
        <f t="shared" si="11"/>
        <v>294651</v>
      </c>
      <c r="R29" s="35">
        <f t="shared" si="12"/>
        <v>0</v>
      </c>
    </row>
    <row r="30" spans="1:20" x14ac:dyDescent="0.2">
      <c r="A30" s="36"/>
      <c r="B30" s="34"/>
      <c r="C30" s="54"/>
      <c r="D30" s="55"/>
      <c r="E30" s="27">
        <f t="shared" si="8"/>
        <v>0</v>
      </c>
      <c r="F30" s="54"/>
      <c r="G30" s="55"/>
      <c r="H30" s="27"/>
      <c r="I30" s="35"/>
      <c r="J30" s="54"/>
      <c r="K30" s="55"/>
      <c r="L30" s="27">
        <f t="shared" si="9"/>
        <v>0</v>
      </c>
      <c r="M30" s="54"/>
      <c r="N30" s="55"/>
      <c r="O30" s="27">
        <f t="shared" si="10"/>
        <v>0</v>
      </c>
      <c r="P30" s="35"/>
      <c r="Q30" s="44">
        <f t="shared" si="11"/>
        <v>0</v>
      </c>
      <c r="R30" s="35">
        <f t="shared" si="12"/>
        <v>0</v>
      </c>
    </row>
    <row r="31" spans="1:20" x14ac:dyDescent="0.2">
      <c r="A31" s="25">
        <f>A29+1</f>
        <v>5</v>
      </c>
      <c r="B31" s="34" t="s">
        <v>25</v>
      </c>
      <c r="C31" s="54"/>
      <c r="D31" s="55"/>
      <c r="E31" s="27">
        <f t="shared" si="8"/>
        <v>0</v>
      </c>
      <c r="F31" s="54">
        <f>+H31-G31</f>
        <v>378163.55</v>
      </c>
      <c r="G31" s="55"/>
      <c r="H31" s="27">
        <f>+I31-E31</f>
        <v>378163.55</v>
      </c>
      <c r="I31" s="35">
        <v>378163.55</v>
      </c>
      <c r="J31" s="54">
        <f>51675.55</f>
        <v>51675.55</v>
      </c>
      <c r="K31" s="55"/>
      <c r="L31" s="27">
        <f t="shared" si="9"/>
        <v>51675.55</v>
      </c>
      <c r="M31" s="54">
        <f>+O31-N31</f>
        <v>0</v>
      </c>
      <c r="N31" s="55"/>
      <c r="O31" s="27">
        <f t="shared" si="10"/>
        <v>0</v>
      </c>
      <c r="P31" s="35">
        <f>51675.55</f>
        <v>51675.55</v>
      </c>
      <c r="Q31" s="44">
        <f t="shared" si="11"/>
        <v>429839.1</v>
      </c>
      <c r="R31" s="35">
        <f t="shared" si="12"/>
        <v>0</v>
      </c>
      <c r="S31" s="86" t="s">
        <v>65</v>
      </c>
    </row>
    <row r="32" spans="1:20" x14ac:dyDescent="0.2">
      <c r="A32" s="29"/>
      <c r="B32" s="34"/>
      <c r="C32" s="54"/>
      <c r="D32" s="55"/>
      <c r="E32" s="27">
        <f t="shared" si="8"/>
        <v>0</v>
      </c>
      <c r="F32" s="54"/>
      <c r="G32" s="55"/>
      <c r="H32" s="27"/>
      <c r="I32" s="35"/>
      <c r="J32" s="54"/>
      <c r="K32" s="55"/>
      <c r="L32" s="27">
        <f t="shared" si="9"/>
        <v>0</v>
      </c>
      <c r="M32" s="54"/>
      <c r="N32" s="55"/>
      <c r="O32" s="27">
        <f t="shared" si="10"/>
        <v>0</v>
      </c>
      <c r="P32" s="35"/>
      <c r="Q32" s="44">
        <f t="shared" si="11"/>
        <v>0</v>
      </c>
      <c r="R32" s="35">
        <f t="shared" si="12"/>
        <v>0</v>
      </c>
      <c r="S32" s="3" t="s">
        <v>66</v>
      </c>
      <c r="T32" s="43">
        <v>550</v>
      </c>
    </row>
    <row r="33" spans="1:23" x14ac:dyDescent="0.2">
      <c r="A33" s="25">
        <f>A31+1</f>
        <v>6</v>
      </c>
      <c r="B33" s="26" t="s">
        <v>56</v>
      </c>
      <c r="C33" s="54"/>
      <c r="D33" s="55"/>
      <c r="E33" s="27">
        <f t="shared" si="8"/>
        <v>0</v>
      </c>
      <c r="F33" s="54">
        <f>+H33-G33</f>
        <v>-90000</v>
      </c>
      <c r="G33" s="55">
        <v>90000</v>
      </c>
      <c r="H33" s="27">
        <f>+I33-E32</f>
        <v>0</v>
      </c>
      <c r="I33" s="35">
        <f>-211768+7789851.1-1017203.8-20700+90000-6630179.3</f>
        <v>0</v>
      </c>
      <c r="J33" s="54">
        <f>-127061+24842571.5+-1975463.5+6630179+15340</f>
        <v>29385566</v>
      </c>
      <c r="K33" s="55">
        <f>-74660-15340</f>
        <v>-90000</v>
      </c>
      <c r="L33" s="27">
        <f t="shared" si="9"/>
        <v>29295566</v>
      </c>
      <c r="M33" s="54">
        <f>+O33-N33</f>
        <v>6211929</v>
      </c>
      <c r="N33" s="68">
        <v>4638000</v>
      </c>
      <c r="O33" s="27">
        <f t="shared" si="10"/>
        <v>10849929</v>
      </c>
      <c r="P33" s="35">
        <f>-127061+31583717.5-2443050.5+6583889-90000+4638000</f>
        <v>40145495</v>
      </c>
      <c r="Q33" s="44">
        <f t="shared" si="11"/>
        <v>40145495</v>
      </c>
      <c r="R33" s="35">
        <f>+D33+G33+K33+N33</f>
        <v>4638000</v>
      </c>
      <c r="S33" s="3" t="s">
        <v>67</v>
      </c>
      <c r="T33" s="43">
        <v>638</v>
      </c>
      <c r="W33" s="3">
        <v>6630179.2999999998</v>
      </c>
    </row>
    <row r="34" spans="1:23" x14ac:dyDescent="0.2">
      <c r="A34" s="29"/>
      <c r="B34" s="34"/>
      <c r="C34" s="54"/>
      <c r="D34" s="55"/>
      <c r="E34" s="27">
        <f t="shared" si="8"/>
        <v>0</v>
      </c>
      <c r="F34" s="54">
        <f>+H34-G34</f>
        <v>0</v>
      </c>
      <c r="G34" s="55"/>
      <c r="H34" s="27">
        <f>+I34-E33</f>
        <v>0</v>
      </c>
      <c r="I34" s="35"/>
      <c r="J34" s="54"/>
      <c r="K34" s="55"/>
      <c r="L34" s="27">
        <f t="shared" si="9"/>
        <v>0</v>
      </c>
      <c r="M34" s="54">
        <f>+O34-N34</f>
        <v>0</v>
      </c>
      <c r="N34" s="55"/>
      <c r="O34" s="27">
        <f t="shared" si="10"/>
        <v>0</v>
      </c>
      <c r="P34" s="35"/>
      <c r="Q34" s="44">
        <f t="shared" si="11"/>
        <v>0</v>
      </c>
      <c r="R34" s="35"/>
      <c r="S34" s="3" t="s">
        <v>68</v>
      </c>
      <c r="T34" s="43">
        <f>+T33/T32</f>
        <v>1.1599999999999999</v>
      </c>
    </row>
    <row r="35" spans="1:23" x14ac:dyDescent="0.2">
      <c r="A35" s="29"/>
      <c r="B35" s="34"/>
      <c r="C35" s="54"/>
      <c r="D35" s="55"/>
      <c r="E35" s="27"/>
      <c r="F35" s="54"/>
      <c r="G35" s="55"/>
      <c r="H35" s="27"/>
      <c r="I35" s="35"/>
      <c r="J35" s="54"/>
      <c r="K35" s="87"/>
      <c r="L35" s="27"/>
      <c r="M35" s="54"/>
      <c r="N35" s="55"/>
      <c r="O35" s="27">
        <f t="shared" si="10"/>
        <v>0</v>
      </c>
      <c r="P35" s="35"/>
      <c r="Q35" s="44"/>
      <c r="R35" s="35"/>
    </row>
    <row r="36" spans="1:23" x14ac:dyDescent="0.2">
      <c r="A36" s="25">
        <f>A33+1</f>
        <v>7</v>
      </c>
      <c r="B36" s="34" t="s">
        <v>36</v>
      </c>
      <c r="C36" s="54"/>
      <c r="D36" s="55"/>
      <c r="E36" s="27">
        <f t="shared" ref="E36:E44" si="13">SUM(C36:D36)</f>
        <v>0</v>
      </c>
      <c r="F36" s="54">
        <f>+H36-G36</f>
        <v>261543</v>
      </c>
      <c r="G36" s="55"/>
      <c r="H36" s="27">
        <f>+I36-E36</f>
        <v>261543</v>
      </c>
      <c r="I36" s="35">
        <v>261543</v>
      </c>
      <c r="J36" s="54">
        <f>120588.5</f>
        <v>120588.5</v>
      </c>
      <c r="K36" s="55"/>
      <c r="L36" s="27">
        <f t="shared" ref="L36:L55" si="14">SUM(J36:K36)</f>
        <v>120588.5</v>
      </c>
      <c r="M36" s="54">
        <f>+O36-N36</f>
        <v>0</v>
      </c>
      <c r="N36" s="55"/>
      <c r="O36" s="27">
        <f t="shared" si="10"/>
        <v>0</v>
      </c>
      <c r="P36" s="35">
        <f>120588.5</f>
        <v>120588.5</v>
      </c>
      <c r="Q36" s="44">
        <f t="shared" ref="Q36:Q54" si="15">+I36+P36</f>
        <v>382131.5</v>
      </c>
      <c r="R36" s="35">
        <f t="shared" ref="R36:R53" si="16">+D36+G36+K36</f>
        <v>0</v>
      </c>
    </row>
    <row r="37" spans="1:23" x14ac:dyDescent="0.2">
      <c r="A37" s="29"/>
      <c r="B37" s="34"/>
      <c r="C37" s="54"/>
      <c r="D37" s="55"/>
      <c r="E37" s="27">
        <f t="shared" si="13"/>
        <v>0</v>
      </c>
      <c r="F37" s="54"/>
      <c r="G37" s="55"/>
      <c r="H37" s="27"/>
      <c r="I37" s="35"/>
      <c r="J37" s="54"/>
      <c r="K37" s="55"/>
      <c r="L37" s="27">
        <f t="shared" si="14"/>
        <v>0</v>
      </c>
      <c r="M37" s="54"/>
      <c r="N37" s="55"/>
      <c r="O37" s="27">
        <f t="shared" si="10"/>
        <v>0</v>
      </c>
      <c r="P37" s="35"/>
      <c r="Q37" s="44">
        <f t="shared" si="15"/>
        <v>0</v>
      </c>
      <c r="R37" s="35">
        <f t="shared" si="16"/>
        <v>0</v>
      </c>
      <c r="S37" s="3" t="s">
        <v>69</v>
      </c>
      <c r="T37" s="43">
        <f>+Q18/100000</f>
        <v>346.08</v>
      </c>
    </row>
    <row r="38" spans="1:23" x14ac:dyDescent="0.2">
      <c r="A38" s="25">
        <f>A36+1</f>
        <v>8</v>
      </c>
      <c r="B38" s="34" t="s">
        <v>47</v>
      </c>
      <c r="C38" s="54"/>
      <c r="D38" s="55"/>
      <c r="E38" s="27">
        <f t="shared" si="13"/>
        <v>0</v>
      </c>
      <c r="F38" s="54">
        <f>+H38-G38</f>
        <v>1069338</v>
      </c>
      <c r="G38" s="55"/>
      <c r="H38" s="27">
        <f>+I38-E38</f>
        <v>1069338</v>
      </c>
      <c r="I38" s="35">
        <v>1069338</v>
      </c>
      <c r="J38" s="54">
        <f>10058246</f>
        <v>10058246</v>
      </c>
      <c r="K38" s="55"/>
      <c r="L38" s="27">
        <f t="shared" si="14"/>
        <v>10058246</v>
      </c>
      <c r="M38" s="54">
        <f>+O38-N38</f>
        <v>0</v>
      </c>
      <c r="N38" s="68">
        <v>4650000</v>
      </c>
      <c r="O38" s="27">
        <f t="shared" si="10"/>
        <v>4650000</v>
      </c>
      <c r="P38" s="35">
        <f>10058246+4650000</f>
        <v>14708246</v>
      </c>
      <c r="Q38" s="44">
        <f t="shared" si="15"/>
        <v>15777584</v>
      </c>
      <c r="R38" s="35">
        <f t="shared" si="16"/>
        <v>0</v>
      </c>
      <c r="S38" s="3" t="s">
        <v>70</v>
      </c>
      <c r="T38" s="43">
        <f>+T37*T34</f>
        <v>401.45279999999997</v>
      </c>
    </row>
    <row r="39" spans="1:23" x14ac:dyDescent="0.2">
      <c r="A39" s="29"/>
      <c r="B39" s="34"/>
      <c r="C39" s="54"/>
      <c r="D39" s="55"/>
      <c r="E39" s="27">
        <f t="shared" si="13"/>
        <v>0</v>
      </c>
      <c r="F39" s="54"/>
      <c r="G39" s="55"/>
      <c r="H39" s="27"/>
      <c r="I39" s="35"/>
      <c r="J39" s="54"/>
      <c r="K39" s="55"/>
      <c r="L39" s="27">
        <f t="shared" si="14"/>
        <v>0</v>
      </c>
      <c r="M39" s="54">
        <f>+O39-N39</f>
        <v>0</v>
      </c>
      <c r="N39" s="55"/>
      <c r="O39" s="27">
        <f t="shared" si="10"/>
        <v>0</v>
      </c>
      <c r="P39" s="35"/>
      <c r="Q39" s="44">
        <f t="shared" si="15"/>
        <v>0</v>
      </c>
      <c r="R39" s="35">
        <f t="shared" si="16"/>
        <v>0</v>
      </c>
      <c r="S39" s="3" t="s">
        <v>71</v>
      </c>
      <c r="T39" s="43">
        <v>355.07</v>
      </c>
    </row>
    <row r="40" spans="1:23" x14ac:dyDescent="0.2">
      <c r="A40" s="25">
        <f>+A38+1</f>
        <v>9</v>
      </c>
      <c r="B40" s="34" t="s">
        <v>33</v>
      </c>
      <c r="C40" s="54"/>
      <c r="D40" s="55"/>
      <c r="E40" s="27">
        <f t="shared" si="13"/>
        <v>0</v>
      </c>
      <c r="F40" s="54">
        <f>+H40-G40</f>
        <v>6450</v>
      </c>
      <c r="G40" s="55"/>
      <c r="H40" s="27">
        <f>+I40-E37</f>
        <v>6450</v>
      </c>
      <c r="I40" s="35">
        <v>6450</v>
      </c>
      <c r="J40" s="54">
        <v>10798</v>
      </c>
      <c r="K40" s="55"/>
      <c r="L40" s="27">
        <f t="shared" si="14"/>
        <v>10798</v>
      </c>
      <c r="M40" s="54">
        <f>+O40-N40</f>
        <v>7243</v>
      </c>
      <c r="N40" s="55"/>
      <c r="O40" s="27">
        <f t="shared" si="10"/>
        <v>7243</v>
      </c>
      <c r="P40" s="35">
        <v>18041</v>
      </c>
      <c r="Q40" s="44">
        <f t="shared" si="15"/>
        <v>24491</v>
      </c>
      <c r="R40" s="35">
        <f t="shared" si="16"/>
        <v>0</v>
      </c>
      <c r="S40" s="3" t="s">
        <v>72</v>
      </c>
      <c r="T40" s="43">
        <f>+T38-T39</f>
        <v>46.382799999999975</v>
      </c>
    </row>
    <row r="41" spans="1:23" x14ac:dyDescent="0.2">
      <c r="A41" s="29"/>
      <c r="B41" s="34"/>
      <c r="C41" s="54"/>
      <c r="D41" s="55"/>
      <c r="E41" s="27">
        <f t="shared" si="13"/>
        <v>0</v>
      </c>
      <c r="F41" s="54">
        <f>+H41-G41</f>
        <v>0</v>
      </c>
      <c r="G41" s="55"/>
      <c r="H41" s="27">
        <f>+I41-E40</f>
        <v>0</v>
      </c>
      <c r="I41" s="35"/>
      <c r="J41" s="54"/>
      <c r="K41" s="55"/>
      <c r="L41" s="27">
        <f t="shared" si="14"/>
        <v>0</v>
      </c>
      <c r="M41" s="54">
        <f>+O41-N41</f>
        <v>0</v>
      </c>
      <c r="N41" s="55"/>
      <c r="O41" s="27">
        <f t="shared" si="10"/>
        <v>0</v>
      </c>
      <c r="P41" s="35"/>
      <c r="Q41" s="44">
        <f t="shared" si="15"/>
        <v>0</v>
      </c>
      <c r="R41" s="35">
        <f t="shared" si="16"/>
        <v>0</v>
      </c>
    </row>
    <row r="42" spans="1:23" x14ac:dyDescent="0.2">
      <c r="A42" s="25">
        <f>A40+1</f>
        <v>10</v>
      </c>
      <c r="B42" s="26" t="s">
        <v>17</v>
      </c>
      <c r="C42" s="54">
        <v>581645.96</v>
      </c>
      <c r="D42" s="55"/>
      <c r="E42" s="27">
        <f t="shared" si="13"/>
        <v>581645.96</v>
      </c>
      <c r="F42" s="54">
        <f>+H42-G42</f>
        <v>358845</v>
      </c>
      <c r="G42" s="55"/>
      <c r="H42" s="27">
        <f>+I42-E42</f>
        <v>358845</v>
      </c>
      <c r="I42" s="35">
        <v>940490.96</v>
      </c>
      <c r="J42" s="54">
        <f>362657+234</f>
        <v>362891</v>
      </c>
      <c r="K42" s="55"/>
      <c r="L42" s="27">
        <f t="shared" si="14"/>
        <v>362891</v>
      </c>
      <c r="M42" s="54">
        <f>+O42-N42</f>
        <v>400871</v>
      </c>
      <c r="N42" s="55"/>
      <c r="O42" s="27">
        <f t="shared" si="10"/>
        <v>400871</v>
      </c>
      <c r="P42" s="35">
        <f>763528+234</f>
        <v>763762</v>
      </c>
      <c r="Q42" s="44">
        <f t="shared" si="15"/>
        <v>1704252.96</v>
      </c>
      <c r="R42" s="35">
        <f t="shared" si="16"/>
        <v>0</v>
      </c>
    </row>
    <row r="43" spans="1:23" x14ac:dyDescent="0.2">
      <c r="A43" s="29"/>
      <c r="B43" s="34"/>
      <c r="C43" s="54"/>
      <c r="D43" s="55"/>
      <c r="E43" s="27">
        <f t="shared" si="13"/>
        <v>0</v>
      </c>
      <c r="F43" s="54"/>
      <c r="G43" s="55"/>
      <c r="H43" s="27"/>
      <c r="I43" s="35"/>
      <c r="J43" s="54"/>
      <c r="K43" s="55"/>
      <c r="L43" s="27">
        <f t="shared" si="14"/>
        <v>0</v>
      </c>
      <c r="M43" s="54"/>
      <c r="N43" s="55"/>
      <c r="O43" s="27">
        <f t="shared" si="10"/>
        <v>0</v>
      </c>
      <c r="P43" s="35"/>
      <c r="Q43" s="44">
        <f t="shared" si="15"/>
        <v>0</v>
      </c>
      <c r="R43" s="35">
        <f t="shared" si="16"/>
        <v>0</v>
      </c>
    </row>
    <row r="44" spans="1:23" x14ac:dyDescent="0.2">
      <c r="A44" s="25">
        <f>A42+1</f>
        <v>11</v>
      </c>
      <c r="B44" s="34" t="s">
        <v>18</v>
      </c>
      <c r="C44" s="54">
        <v>179190</v>
      </c>
      <c r="D44" s="55"/>
      <c r="E44" s="27">
        <f t="shared" si="13"/>
        <v>179190</v>
      </c>
      <c r="F44" s="54">
        <f t="shared" ref="F44:F55" si="17">+H44-G44</f>
        <v>620662.19999999995</v>
      </c>
      <c r="G44" s="55"/>
      <c r="H44" s="27">
        <f t="shared" ref="H44:H55" si="18">+I44-E44</f>
        <v>620662.19999999995</v>
      </c>
      <c r="I44" s="35">
        <f>599228.2+15060+7282+84330+54382+39570</f>
        <v>799852.2</v>
      </c>
      <c r="J44" s="54">
        <f>464593.9+18592+1303+125722+82018.33+158212.5+18685</f>
        <v>869126.73</v>
      </c>
      <c r="K44" s="55"/>
      <c r="L44" s="27">
        <f t="shared" si="14"/>
        <v>869126.73</v>
      </c>
      <c r="M44" s="54">
        <f t="shared" ref="M44:M55" si="19">+O44-N44</f>
        <v>438343.5</v>
      </c>
      <c r="N44" s="55"/>
      <c r="O44" s="27">
        <f t="shared" si="10"/>
        <v>438343.5</v>
      </c>
      <c r="P44" s="35">
        <f>650407.4+39595+1423+289480+394+116431.33+209739.5+0</f>
        <v>1307470.23</v>
      </c>
      <c r="Q44" s="44">
        <f t="shared" si="15"/>
        <v>2107322.4299999997</v>
      </c>
      <c r="R44" s="35">
        <f t="shared" si="16"/>
        <v>0</v>
      </c>
    </row>
    <row r="45" spans="1:23" x14ac:dyDescent="0.2">
      <c r="A45" s="25"/>
      <c r="B45" s="34"/>
      <c r="C45" s="54"/>
      <c r="D45" s="55"/>
      <c r="E45" s="27"/>
      <c r="F45" s="54">
        <f t="shared" si="17"/>
        <v>0</v>
      </c>
      <c r="G45" s="55"/>
      <c r="H45" s="27">
        <f t="shared" si="18"/>
        <v>0</v>
      </c>
      <c r="I45" s="35"/>
      <c r="J45" s="54"/>
      <c r="K45" s="55"/>
      <c r="L45" s="27">
        <f t="shared" si="14"/>
        <v>0</v>
      </c>
      <c r="M45" s="54">
        <f t="shared" si="19"/>
        <v>0</v>
      </c>
      <c r="N45" s="55"/>
      <c r="O45" s="27">
        <f t="shared" si="10"/>
        <v>0</v>
      </c>
      <c r="P45" s="35"/>
      <c r="Q45" s="44">
        <f t="shared" si="15"/>
        <v>0</v>
      </c>
      <c r="R45" s="35">
        <f t="shared" si="16"/>
        <v>0</v>
      </c>
    </row>
    <row r="46" spans="1:23" x14ac:dyDescent="0.2">
      <c r="A46" s="25">
        <v>11</v>
      </c>
      <c r="B46" s="34" t="s">
        <v>43</v>
      </c>
      <c r="C46" s="54"/>
      <c r="D46" s="55"/>
      <c r="E46" s="27">
        <f t="shared" ref="E46:E55" si="20">SUM(C46:D46)</f>
        <v>0</v>
      </c>
      <c r="F46" s="54">
        <f t="shared" si="17"/>
        <v>87253.39</v>
      </c>
      <c r="G46" s="55"/>
      <c r="H46" s="27">
        <f t="shared" si="18"/>
        <v>87253.39</v>
      </c>
      <c r="I46" s="35">
        <v>87253.39</v>
      </c>
      <c r="J46" s="54"/>
      <c r="K46" s="55"/>
      <c r="L46" s="27">
        <f t="shared" si="14"/>
        <v>0</v>
      </c>
      <c r="M46" s="54">
        <f t="shared" si="19"/>
        <v>143418.60999999999</v>
      </c>
      <c r="N46" s="55"/>
      <c r="O46" s="27">
        <f t="shared" si="10"/>
        <v>143418.60999999999</v>
      </c>
      <c r="P46" s="35">
        <f>143418.61</f>
        <v>143418.60999999999</v>
      </c>
      <c r="Q46" s="44">
        <f t="shared" si="15"/>
        <v>230672</v>
      </c>
      <c r="R46" s="35">
        <f t="shared" si="16"/>
        <v>0</v>
      </c>
    </row>
    <row r="47" spans="1:23" x14ac:dyDescent="0.2">
      <c r="A47" s="25"/>
      <c r="B47" s="34"/>
      <c r="C47" s="54"/>
      <c r="D47" s="55"/>
      <c r="E47" s="27">
        <f t="shared" si="20"/>
        <v>0</v>
      </c>
      <c r="F47" s="54">
        <f t="shared" si="17"/>
        <v>0</v>
      </c>
      <c r="G47" s="55"/>
      <c r="H47" s="27">
        <f t="shared" si="18"/>
        <v>0</v>
      </c>
      <c r="I47" s="35"/>
      <c r="J47" s="54"/>
      <c r="K47" s="55"/>
      <c r="L47" s="27">
        <f t="shared" si="14"/>
        <v>0</v>
      </c>
      <c r="M47" s="54">
        <f t="shared" si="19"/>
        <v>0</v>
      </c>
      <c r="N47" s="55"/>
      <c r="O47" s="27">
        <f t="shared" si="10"/>
        <v>0</v>
      </c>
      <c r="P47" s="35"/>
      <c r="Q47" s="44">
        <f t="shared" si="15"/>
        <v>0</v>
      </c>
      <c r="R47" s="35">
        <f t="shared" si="16"/>
        <v>0</v>
      </c>
    </row>
    <row r="48" spans="1:23" x14ac:dyDescent="0.2">
      <c r="A48" s="25">
        <v>12</v>
      </c>
      <c r="B48" s="34" t="s">
        <v>19</v>
      </c>
      <c r="C48" s="54"/>
      <c r="D48" s="55"/>
      <c r="E48" s="27">
        <f t="shared" si="20"/>
        <v>0</v>
      </c>
      <c r="F48" s="54">
        <f t="shared" si="17"/>
        <v>8089</v>
      </c>
      <c r="G48" s="55"/>
      <c r="H48" s="27">
        <f t="shared" si="18"/>
        <v>8089</v>
      </c>
      <c r="I48" s="35">
        <v>8089</v>
      </c>
      <c r="J48" s="54">
        <f>12420</f>
        <v>12420</v>
      </c>
      <c r="K48" s="55"/>
      <c r="L48" s="27">
        <f t="shared" si="14"/>
        <v>12420</v>
      </c>
      <c r="M48" s="54">
        <f t="shared" si="19"/>
        <v>5126</v>
      </c>
      <c r="N48" s="55"/>
      <c r="O48" s="27">
        <f t="shared" si="10"/>
        <v>5126</v>
      </c>
      <c r="P48" s="35">
        <v>17546</v>
      </c>
      <c r="Q48" s="44">
        <f t="shared" si="15"/>
        <v>25635</v>
      </c>
      <c r="R48" s="35">
        <f t="shared" si="16"/>
        <v>0</v>
      </c>
    </row>
    <row r="49" spans="1:18" x14ac:dyDescent="0.2">
      <c r="A49" s="25"/>
      <c r="B49" s="34"/>
      <c r="C49" s="54"/>
      <c r="D49" s="55"/>
      <c r="E49" s="27">
        <f t="shared" si="20"/>
        <v>0</v>
      </c>
      <c r="F49" s="54">
        <f t="shared" si="17"/>
        <v>0</v>
      </c>
      <c r="G49" s="55"/>
      <c r="H49" s="27">
        <f t="shared" si="18"/>
        <v>0</v>
      </c>
      <c r="I49" s="35"/>
      <c r="J49" s="54"/>
      <c r="K49" s="55"/>
      <c r="L49" s="27">
        <f t="shared" si="14"/>
        <v>0</v>
      </c>
      <c r="M49" s="54">
        <f t="shared" si="19"/>
        <v>0</v>
      </c>
      <c r="N49" s="55"/>
      <c r="O49" s="27">
        <f t="shared" si="10"/>
        <v>0</v>
      </c>
      <c r="P49" s="35"/>
      <c r="Q49" s="44">
        <f t="shared" si="15"/>
        <v>0</v>
      </c>
      <c r="R49" s="35">
        <f t="shared" si="16"/>
        <v>0</v>
      </c>
    </row>
    <row r="50" spans="1:18" x14ac:dyDescent="0.2">
      <c r="A50" s="25">
        <f>A48+1</f>
        <v>13</v>
      </c>
      <c r="B50" s="34" t="s">
        <v>35</v>
      </c>
      <c r="C50" s="54"/>
      <c r="D50" s="55"/>
      <c r="E50" s="27">
        <f t="shared" si="20"/>
        <v>0</v>
      </c>
      <c r="F50" s="54">
        <f t="shared" si="17"/>
        <v>0</v>
      </c>
      <c r="G50" s="55"/>
      <c r="H50" s="27">
        <f t="shared" si="18"/>
        <v>0</v>
      </c>
      <c r="I50" s="35"/>
      <c r="J50" s="54"/>
      <c r="K50" s="55"/>
      <c r="L50" s="27">
        <f t="shared" si="14"/>
        <v>0</v>
      </c>
      <c r="M50" s="54">
        <f t="shared" si="19"/>
        <v>0</v>
      </c>
      <c r="N50" s="55"/>
      <c r="O50" s="27">
        <f t="shared" si="10"/>
        <v>0</v>
      </c>
      <c r="P50" s="35"/>
      <c r="Q50" s="44">
        <f t="shared" si="15"/>
        <v>0</v>
      </c>
      <c r="R50" s="35">
        <f t="shared" si="16"/>
        <v>0</v>
      </c>
    </row>
    <row r="51" spans="1:18" x14ac:dyDescent="0.2">
      <c r="A51" s="25"/>
      <c r="B51" s="34"/>
      <c r="C51" s="54"/>
      <c r="D51" s="55"/>
      <c r="E51" s="27">
        <f t="shared" si="20"/>
        <v>0</v>
      </c>
      <c r="F51" s="54">
        <f t="shared" si="17"/>
        <v>0</v>
      </c>
      <c r="G51" s="55"/>
      <c r="H51" s="27">
        <f t="shared" si="18"/>
        <v>0</v>
      </c>
      <c r="I51" s="35"/>
      <c r="J51" s="54"/>
      <c r="K51" s="55"/>
      <c r="L51" s="27">
        <f t="shared" si="14"/>
        <v>0</v>
      </c>
      <c r="M51" s="54">
        <f t="shared" si="19"/>
        <v>0</v>
      </c>
      <c r="N51" s="55"/>
      <c r="O51" s="27">
        <f t="shared" si="10"/>
        <v>0</v>
      </c>
      <c r="P51" s="35"/>
      <c r="Q51" s="44">
        <f t="shared" si="15"/>
        <v>0</v>
      </c>
      <c r="R51" s="35">
        <f t="shared" si="16"/>
        <v>0</v>
      </c>
    </row>
    <row r="52" spans="1:18" x14ac:dyDescent="0.2">
      <c r="A52" s="25">
        <f>A50+1</f>
        <v>14</v>
      </c>
      <c r="B52" s="34" t="s">
        <v>20</v>
      </c>
      <c r="C52" s="54">
        <f>1065+9826+4370</f>
        <v>15261</v>
      </c>
      <c r="D52" s="55"/>
      <c r="E52" s="27">
        <f t="shared" si="20"/>
        <v>15261</v>
      </c>
      <c r="F52" s="54">
        <f t="shared" si="17"/>
        <v>113909</v>
      </c>
      <c r="G52" s="55"/>
      <c r="H52" s="27">
        <f t="shared" si="18"/>
        <v>113909</v>
      </c>
      <c r="I52" s="35">
        <f>1065+1324+9826+4540+61558+772+7510+25582+16993</f>
        <v>129170</v>
      </c>
      <c r="J52" s="54">
        <f>109633.61+1324+2124+5500+7200+116583+1035+8082+22828+32672+1120+55066</f>
        <v>363167.61</v>
      </c>
      <c r="K52" s="55"/>
      <c r="L52" s="27">
        <f t="shared" si="14"/>
        <v>363167.61</v>
      </c>
      <c r="M52" s="54">
        <f t="shared" si="19"/>
        <v>-60543.609999999986</v>
      </c>
      <c r="N52" s="55"/>
      <c r="O52" s="27">
        <f t="shared" si="10"/>
        <v>-60543.609999999986</v>
      </c>
      <c r="P52" s="35">
        <f>1324+5500+940+2124+8290+144483+1715+11292+25958+44812+1120+55066</f>
        <v>302624</v>
      </c>
      <c r="Q52" s="44">
        <f t="shared" si="15"/>
        <v>431794</v>
      </c>
      <c r="R52" s="35">
        <f t="shared" si="16"/>
        <v>0</v>
      </c>
    </row>
    <row r="53" spans="1:18" x14ac:dyDescent="0.2">
      <c r="A53" s="36"/>
      <c r="B53" s="26"/>
      <c r="C53" s="54"/>
      <c r="D53" s="55"/>
      <c r="E53" s="27">
        <f t="shared" si="20"/>
        <v>0</v>
      </c>
      <c r="F53" s="54">
        <f t="shared" si="17"/>
        <v>0</v>
      </c>
      <c r="G53" s="55"/>
      <c r="H53" s="27">
        <f t="shared" si="18"/>
        <v>0</v>
      </c>
      <c r="I53" s="35"/>
      <c r="J53" s="54"/>
      <c r="K53" s="55"/>
      <c r="L53" s="27">
        <f t="shared" si="14"/>
        <v>0</v>
      </c>
      <c r="M53" s="54">
        <f t="shared" si="19"/>
        <v>0</v>
      </c>
      <c r="N53" s="55"/>
      <c r="O53" s="27">
        <f t="shared" si="10"/>
        <v>0</v>
      </c>
      <c r="P53" s="35"/>
      <c r="Q53" s="44">
        <f t="shared" si="15"/>
        <v>0</v>
      </c>
      <c r="R53" s="35">
        <f t="shared" si="16"/>
        <v>0</v>
      </c>
    </row>
    <row r="54" spans="1:18" x14ac:dyDescent="0.2">
      <c r="A54" s="25">
        <f>A52+1</f>
        <v>15</v>
      </c>
      <c r="B54" s="26" t="s">
        <v>50</v>
      </c>
      <c r="C54" s="54"/>
      <c r="D54" s="55"/>
      <c r="E54" s="27">
        <f t="shared" si="20"/>
        <v>0</v>
      </c>
      <c r="F54" s="54">
        <f t="shared" si="17"/>
        <v>0</v>
      </c>
      <c r="G54" s="55">
        <v>5969439</v>
      </c>
      <c r="H54" s="27">
        <f t="shared" si="18"/>
        <v>5969439</v>
      </c>
      <c r="I54" s="35">
        <v>5969439</v>
      </c>
      <c r="J54" s="54"/>
      <c r="K54" s="55">
        <v>4658511</v>
      </c>
      <c r="L54" s="27">
        <f t="shared" si="14"/>
        <v>4658511</v>
      </c>
      <c r="M54" s="54">
        <f t="shared" si="19"/>
        <v>0</v>
      </c>
      <c r="N54" s="68">
        <f>ROUND(O10*3%,)</f>
        <v>2724972</v>
      </c>
      <c r="O54" s="27">
        <f t="shared" si="10"/>
        <v>2724972</v>
      </c>
      <c r="P54" s="35">
        <f>4658511+2724972</f>
        <v>7383483</v>
      </c>
      <c r="Q54" s="44">
        <f t="shared" si="15"/>
        <v>13352922</v>
      </c>
      <c r="R54" s="35">
        <f>+D54+G54+K54+N54</f>
        <v>13352922</v>
      </c>
    </row>
    <row r="55" spans="1:18" x14ac:dyDescent="0.2">
      <c r="A55" s="36"/>
      <c r="B55" s="34"/>
      <c r="C55" s="54"/>
      <c r="D55" s="55"/>
      <c r="E55" s="27">
        <f t="shared" si="20"/>
        <v>0</v>
      </c>
      <c r="F55" s="54">
        <f t="shared" si="17"/>
        <v>0</v>
      </c>
      <c r="G55" s="55"/>
      <c r="H55" s="27">
        <f t="shared" si="18"/>
        <v>0</v>
      </c>
      <c r="I55" s="35"/>
      <c r="J55" s="54"/>
      <c r="K55" s="55"/>
      <c r="L55" s="27">
        <f t="shared" si="14"/>
        <v>0</v>
      </c>
      <c r="M55" s="54">
        <f t="shared" si="19"/>
        <v>0</v>
      </c>
      <c r="N55" s="55"/>
      <c r="O55" s="27">
        <f t="shared" si="10"/>
        <v>0</v>
      </c>
      <c r="P55" s="35"/>
      <c r="Q55" s="44">
        <f>+I55</f>
        <v>0</v>
      </c>
      <c r="R55" s="35">
        <f>+D55</f>
        <v>0</v>
      </c>
    </row>
    <row r="56" spans="1:18" ht="13.5" thickBot="1" x14ac:dyDescent="0.25">
      <c r="A56" s="29"/>
      <c r="B56" s="30" t="s">
        <v>21</v>
      </c>
      <c r="C56" s="56">
        <f t="shared" ref="C56:Q56" si="21">SUM(C21:C55)</f>
        <v>838266.88</v>
      </c>
      <c r="D56" s="57">
        <f t="shared" si="21"/>
        <v>500000</v>
      </c>
      <c r="E56" s="31">
        <f t="shared" si="21"/>
        <v>1338266.8799999999</v>
      </c>
      <c r="F56" s="56">
        <f t="shared" si="21"/>
        <v>183609572.99000001</v>
      </c>
      <c r="G56" s="57">
        <f t="shared" si="21"/>
        <v>29060439</v>
      </c>
      <c r="H56" s="31">
        <f t="shared" si="21"/>
        <v>212670011.99000001</v>
      </c>
      <c r="I56" s="32">
        <f t="shared" si="21"/>
        <v>214008278.87</v>
      </c>
      <c r="J56" s="56">
        <f t="shared" si="21"/>
        <v>174612094.58000001</v>
      </c>
      <c r="K56" s="57">
        <f t="shared" si="21"/>
        <v>8877418</v>
      </c>
      <c r="L56" s="31">
        <f t="shared" si="21"/>
        <v>183489512.58000001</v>
      </c>
      <c r="M56" s="56">
        <f>SUM(M21:M55)</f>
        <v>75605261.88000001</v>
      </c>
      <c r="N56" s="57">
        <f>SUM(N21:N55)</f>
        <v>23134171</v>
      </c>
      <c r="O56" s="31">
        <f>SUM(O21:O55)</f>
        <v>98739432.88000001</v>
      </c>
      <c r="P56" s="32">
        <f t="shared" si="21"/>
        <v>282228945.46000004</v>
      </c>
      <c r="Q56" s="32">
        <f t="shared" si="21"/>
        <v>496237224.32999998</v>
      </c>
      <c r="R56" s="65">
        <f>SUM(R22:R55)</f>
        <v>56922028</v>
      </c>
    </row>
    <row r="57" spans="1:18" ht="14.25" thickTop="1" thickBot="1" x14ac:dyDescent="0.25">
      <c r="A57" s="37" t="s">
        <v>22</v>
      </c>
      <c r="B57" s="38" t="s">
        <v>23</v>
      </c>
      <c r="C57" s="58"/>
      <c r="D57" s="59"/>
      <c r="E57" s="39">
        <f>E20-E56</f>
        <v>-1338266.8799999999</v>
      </c>
      <c r="F57" s="75"/>
      <c r="G57" s="76"/>
      <c r="H57" s="39">
        <f>H20-H56</f>
        <v>13103135.379999995</v>
      </c>
      <c r="I57" s="40">
        <f>I20-I56</f>
        <v>11764868.5</v>
      </c>
      <c r="J57" s="58"/>
      <c r="K57" s="59"/>
      <c r="L57" s="39">
        <f>L20-L56</f>
        <v>17852578.119999975</v>
      </c>
      <c r="M57" s="75"/>
      <c r="N57" s="76"/>
      <c r="O57" s="39">
        <f>O20-O56</f>
        <v>9513670.8099999875</v>
      </c>
      <c r="P57" s="40">
        <f>P20-P56</f>
        <v>27366248.929999948</v>
      </c>
      <c r="Q57" s="40">
        <f>Q20-Q56</f>
        <v>39131117.430000007</v>
      </c>
      <c r="R57" s="41"/>
    </row>
    <row r="58" spans="1:18" ht="16.5" thickTop="1" x14ac:dyDescent="0.25">
      <c r="A58" s="1"/>
      <c r="B58" s="42"/>
      <c r="E58" s="77" t="e">
        <f>+D54/C10</f>
        <v>#DIV/0!</v>
      </c>
      <c r="I58" s="77">
        <f>+I54/I10</f>
        <v>3.0000001507679442E-2</v>
      </c>
      <c r="L58" s="77">
        <f>+K54/J10</f>
        <v>3.0000000813350039E-2</v>
      </c>
      <c r="P58" s="77">
        <f>+P54/P10</f>
        <v>3.0000001732109458E-2</v>
      </c>
      <c r="Q58" s="43">
        <f>+E57+H57+L57+O57</f>
        <v>39131117.429999962</v>
      </c>
      <c r="R58" s="43">
        <f>+Q58-Q57</f>
        <v>0</v>
      </c>
    </row>
    <row r="59" spans="1:18" x14ac:dyDescent="0.2">
      <c r="N59" s="82" t="s">
        <v>5</v>
      </c>
      <c r="O59" s="82" t="s">
        <v>61</v>
      </c>
      <c r="P59" s="82" t="s">
        <v>60</v>
      </c>
      <c r="Q59" s="83" t="s">
        <v>62</v>
      </c>
      <c r="R59" s="84" t="s">
        <v>30</v>
      </c>
    </row>
    <row r="60" spans="1:18" x14ac:dyDescent="0.2">
      <c r="M60" s="64" t="s">
        <v>74</v>
      </c>
      <c r="N60" s="43">
        <f>4490+550</f>
        <v>5040</v>
      </c>
      <c r="O60" s="3">
        <v>1989.81</v>
      </c>
      <c r="P60" s="43">
        <f>+N60-O60</f>
        <v>3050.19</v>
      </c>
      <c r="Q60" s="43">
        <f>(+P10+P18)/100000</f>
        <v>2807.2408578999998</v>
      </c>
      <c r="R60" s="43">
        <f>P60-Q60</f>
        <v>242.94914210000024</v>
      </c>
    </row>
    <row r="61" spans="1:18" x14ac:dyDescent="0.2">
      <c r="M61" s="63" t="s">
        <v>31</v>
      </c>
      <c r="N61" s="43">
        <v>415</v>
      </c>
      <c r="O61" s="3">
        <v>117.65</v>
      </c>
      <c r="P61" s="43">
        <f>+N61-O61</f>
        <v>297.35000000000002</v>
      </c>
      <c r="Q61" s="43">
        <f>+P61/P60*Q60</f>
        <v>273.66592543302716</v>
      </c>
      <c r="R61" s="43">
        <f>P61-Q61</f>
        <v>23.684074566972868</v>
      </c>
    </row>
    <row r="62" spans="1:18" x14ac:dyDescent="0.2">
      <c r="Q62" s="43">
        <f>+P57/100000-Q61</f>
        <v>-3.4361330276624358E-3</v>
      </c>
    </row>
    <row r="63" spans="1:18" x14ac:dyDescent="0.2">
      <c r="C63" s="43"/>
      <c r="J63" s="43"/>
    </row>
    <row r="64" spans="1:18" x14ac:dyDescent="0.2">
      <c r="I64" s="43">
        <f>+I56</f>
        <v>214008278.87</v>
      </c>
      <c r="L64" s="43">
        <f>+L56</f>
        <v>183489512.58000001</v>
      </c>
      <c r="P64" s="43">
        <f>+P56-N54-N23-N33-N38</f>
        <v>258583973.46000004</v>
      </c>
    </row>
    <row r="65" spans="9:16" x14ac:dyDescent="0.2">
      <c r="I65" s="43">
        <f>213448584.87+559694</f>
        <v>214008278.87</v>
      </c>
      <c r="L65" s="43">
        <f>30086803.33+153402709.25</f>
        <v>183489512.57999998</v>
      </c>
      <c r="P65" s="43">
        <f>221966515.13+36617458.33</f>
        <v>258583973.45999998</v>
      </c>
    </row>
    <row r="66" spans="9:16" x14ac:dyDescent="0.2">
      <c r="I66" s="43">
        <f>+I64-I65</f>
        <v>0</v>
      </c>
      <c r="L66" s="43">
        <f>+L64-L65</f>
        <v>0</v>
      </c>
      <c r="P66" s="43">
        <f>+P64-P65</f>
        <v>0</v>
      </c>
    </row>
  </sheetData>
  <mergeCells count="4">
    <mergeCell ref="C6:E6"/>
    <mergeCell ref="F6:H6"/>
    <mergeCell ref="J6:L6"/>
    <mergeCell ref="M6:O6"/>
  </mergeCells>
  <phoneticPr fontId="29" type="noConversion"/>
  <printOptions horizontalCentered="1"/>
  <pageMargins left="0.2" right="0.2" top="0.24" bottom="0.24" header="0.2" footer="0.19"/>
  <pageSetup paperSize="9" scale="68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6"/>
  <sheetViews>
    <sheetView showZeros="0" zoomScale="75" workbookViewId="0">
      <pane xSplit="2" ySplit="8" topLeftCell="E9" activePane="bottomRight" state="frozen"/>
      <selection pane="topRight" activeCell="C1" sqref="C1"/>
      <selection pane="bottomLeft" activeCell="A9" sqref="A9"/>
      <selection pane="bottomRight" activeCell="M3" sqref="M3"/>
    </sheetView>
  </sheetViews>
  <sheetFormatPr defaultRowHeight="12.75" x14ac:dyDescent="0.2"/>
  <cols>
    <col min="1" max="1" width="5.7109375" style="3" customWidth="1"/>
    <col min="2" max="2" width="24.140625" style="3" customWidth="1"/>
    <col min="3" max="13" width="14.85546875" style="3" customWidth="1"/>
    <col min="14" max="14" width="16.28515625" style="3" customWidth="1"/>
    <col min="15" max="15" width="15" style="3" customWidth="1"/>
    <col min="16" max="16" width="11.7109375" style="3" customWidth="1"/>
    <col min="17" max="17" width="13.42578125" style="43" customWidth="1"/>
    <col min="18" max="18" width="14.7109375" style="81" customWidth="1"/>
    <col min="19" max="16384" width="9.140625" style="3"/>
  </cols>
  <sheetData>
    <row r="1" spans="1:18" ht="22.5" x14ac:dyDescent="0.3">
      <c r="A1" s="4" t="s">
        <v>0</v>
      </c>
      <c r="B1" s="5"/>
      <c r="R1" s="43">
        <v>-27809907</v>
      </c>
    </row>
    <row r="2" spans="1:18" ht="17.25" customHeight="1" x14ac:dyDescent="0.3">
      <c r="A2" s="4"/>
      <c r="B2" s="5"/>
      <c r="O2" s="2" t="s">
        <v>53</v>
      </c>
      <c r="R2" s="43">
        <v>0</v>
      </c>
    </row>
    <row r="3" spans="1:18" ht="18.75" x14ac:dyDescent="0.3">
      <c r="A3" s="7" t="s">
        <v>51</v>
      </c>
      <c r="B3" s="6"/>
      <c r="I3" s="43">
        <f>225773147.37-I20</f>
        <v>0</v>
      </c>
      <c r="M3" s="43">
        <f>-174111610.7-27230480+M20</f>
        <v>0</v>
      </c>
      <c r="O3" s="67" t="s">
        <v>76</v>
      </c>
      <c r="R3" s="43">
        <f>+R2+R1</f>
        <v>-27809907</v>
      </c>
    </row>
    <row r="4" spans="1:18" ht="17.25" customHeight="1" x14ac:dyDescent="0.3">
      <c r="A4" s="7" t="s">
        <v>52</v>
      </c>
      <c r="B4" s="6"/>
      <c r="J4" s="43"/>
      <c r="R4" s="43">
        <f>+R3+O5</f>
        <v>0</v>
      </c>
    </row>
    <row r="5" spans="1:18" ht="19.5" thickBot="1" x14ac:dyDescent="0.35">
      <c r="A5" s="8" t="s">
        <v>24</v>
      </c>
      <c r="B5" s="6"/>
      <c r="C5" s="61"/>
      <c r="D5" s="61"/>
      <c r="E5" s="61" t="s">
        <v>55</v>
      </c>
      <c r="F5" s="61"/>
      <c r="G5" s="61"/>
      <c r="H5" s="61"/>
      <c r="I5" s="61" t="s">
        <v>55</v>
      </c>
      <c r="J5" s="61"/>
      <c r="K5" s="61"/>
      <c r="L5" s="61" t="s">
        <v>55</v>
      </c>
      <c r="M5" s="61"/>
      <c r="O5" s="43">
        <f>SUM(O23:O52)</f>
        <v>27809907</v>
      </c>
      <c r="R5" s="43"/>
    </row>
    <row r="6" spans="1:18" ht="16.5" customHeight="1" thickTop="1" x14ac:dyDescent="0.2">
      <c r="A6" s="9" t="s">
        <v>1</v>
      </c>
      <c r="B6" s="10"/>
      <c r="C6" s="96" t="s">
        <v>42</v>
      </c>
      <c r="D6" s="97"/>
      <c r="E6" s="98"/>
      <c r="F6" s="96" t="s">
        <v>54</v>
      </c>
      <c r="G6" s="97"/>
      <c r="H6" s="98"/>
      <c r="I6" s="46" t="s">
        <v>5</v>
      </c>
      <c r="J6" s="96" t="s">
        <v>73</v>
      </c>
      <c r="K6" s="97"/>
      <c r="L6" s="98"/>
      <c r="M6" s="46" t="s">
        <v>5</v>
      </c>
      <c r="N6" s="11" t="s">
        <v>2</v>
      </c>
      <c r="O6" s="12"/>
    </row>
    <row r="7" spans="1:18" ht="13.5" thickBot="1" x14ac:dyDescent="0.25">
      <c r="A7" s="13" t="s">
        <v>3</v>
      </c>
      <c r="B7" s="14" t="s">
        <v>4</v>
      </c>
      <c r="C7" s="49" t="s">
        <v>34</v>
      </c>
      <c r="D7" s="50" t="s">
        <v>26</v>
      </c>
      <c r="E7" s="15" t="s">
        <v>5</v>
      </c>
      <c r="F7" s="49" t="s">
        <v>34</v>
      </c>
      <c r="G7" s="50" t="s">
        <v>26</v>
      </c>
      <c r="H7" s="15" t="s">
        <v>5</v>
      </c>
      <c r="I7" s="47" t="s">
        <v>37</v>
      </c>
      <c r="J7" s="49" t="s">
        <v>34</v>
      </c>
      <c r="K7" s="50" t="s">
        <v>26</v>
      </c>
      <c r="L7" s="15" t="s">
        <v>5</v>
      </c>
      <c r="M7" s="47" t="s">
        <v>59</v>
      </c>
      <c r="N7" s="16" t="s">
        <v>5</v>
      </c>
      <c r="O7" s="17" t="s">
        <v>6</v>
      </c>
    </row>
    <row r="8" spans="1:18" ht="13.5" thickTop="1" x14ac:dyDescent="0.2">
      <c r="A8" s="18"/>
      <c r="B8" s="19"/>
      <c r="C8" s="51" t="s">
        <v>7</v>
      </c>
      <c r="D8" s="52" t="s">
        <v>7</v>
      </c>
      <c r="E8" s="53" t="s">
        <v>7</v>
      </c>
      <c r="F8" s="51"/>
      <c r="G8" s="52"/>
      <c r="H8" s="53"/>
      <c r="I8" s="21"/>
      <c r="J8" s="51" t="s">
        <v>7</v>
      </c>
      <c r="K8" s="52" t="s">
        <v>7</v>
      </c>
      <c r="L8" s="53" t="s">
        <v>7</v>
      </c>
      <c r="M8" s="21"/>
      <c r="N8" s="20"/>
      <c r="O8" s="21"/>
    </row>
    <row r="9" spans="1:18" x14ac:dyDescent="0.2">
      <c r="A9" s="22" t="s">
        <v>8</v>
      </c>
      <c r="B9" s="23" t="s">
        <v>9</v>
      </c>
      <c r="C9" s="54"/>
      <c r="D9" s="55"/>
      <c r="E9" s="27"/>
      <c r="F9" s="70"/>
      <c r="G9" s="71"/>
      <c r="H9" s="72"/>
      <c r="I9" s="73"/>
      <c r="J9" s="54"/>
      <c r="K9" s="55"/>
      <c r="L9" s="27"/>
      <c r="M9" s="73"/>
      <c r="N9" s="45"/>
      <c r="O9" s="24"/>
    </row>
    <row r="10" spans="1:18" x14ac:dyDescent="0.2">
      <c r="A10" s="25">
        <v>1</v>
      </c>
      <c r="B10" s="26" t="s">
        <v>10</v>
      </c>
      <c r="C10" s="54"/>
      <c r="D10" s="55"/>
      <c r="E10" s="27">
        <f>SUM(C10:D10)</f>
        <v>0</v>
      </c>
      <c r="F10" s="54">
        <f t="shared" ref="F10:F19" si="0">+H10-G10</f>
        <v>198981290</v>
      </c>
      <c r="G10" s="55"/>
      <c r="H10" s="27">
        <f t="shared" ref="H10:H19" si="1">+I10-E10</f>
        <v>198981290</v>
      </c>
      <c r="I10" s="35">
        <f>87693000+111288290</f>
        <v>198981290</v>
      </c>
      <c r="J10" s="54">
        <f>134054000+21229695.79</f>
        <v>155283695.78999999</v>
      </c>
      <c r="K10" s="55"/>
      <c r="L10" s="27">
        <f t="shared" ref="L10:L19" si="2">SUM(J10:K10)</f>
        <v>155283695.78999999</v>
      </c>
      <c r="M10" s="35">
        <f t="shared" ref="M10:M19" si="3">+L10</f>
        <v>155283695.78999999</v>
      </c>
      <c r="N10" s="44">
        <f t="shared" ref="N10:N19" si="4">+I10+M10</f>
        <v>354264985.78999996</v>
      </c>
      <c r="O10" s="28"/>
    </row>
    <row r="11" spans="1:18" x14ac:dyDescent="0.2">
      <c r="A11" s="25"/>
      <c r="B11" s="26"/>
      <c r="C11" s="54"/>
      <c r="D11" s="55"/>
      <c r="E11" s="27">
        <f>SUM(C11:D11)</f>
        <v>0</v>
      </c>
      <c r="F11" s="54">
        <f t="shared" si="0"/>
        <v>0</v>
      </c>
      <c r="G11" s="55"/>
      <c r="H11" s="27">
        <f t="shared" si="1"/>
        <v>0</v>
      </c>
      <c r="I11" s="35"/>
      <c r="J11" s="54"/>
      <c r="K11" s="55"/>
      <c r="L11" s="27">
        <f t="shared" si="2"/>
        <v>0</v>
      </c>
      <c r="M11" s="35">
        <f t="shared" si="3"/>
        <v>0</v>
      </c>
      <c r="N11" s="44">
        <f t="shared" si="4"/>
        <v>0</v>
      </c>
      <c r="O11" s="28"/>
    </row>
    <row r="12" spans="1:18" x14ac:dyDescent="0.2">
      <c r="A12" s="25">
        <f>A10+1</f>
        <v>2</v>
      </c>
      <c r="B12" s="26" t="s">
        <v>44</v>
      </c>
      <c r="C12" s="54"/>
      <c r="D12" s="55"/>
      <c r="E12" s="27">
        <f>SUM(C12:D12)</f>
        <v>0</v>
      </c>
      <c r="F12" s="54">
        <f t="shared" si="0"/>
        <v>18254020.190000001</v>
      </c>
      <c r="G12" s="55"/>
      <c r="H12" s="27">
        <f t="shared" si="1"/>
        <v>18254020.190000001</v>
      </c>
      <c r="I12" s="35">
        <v>18254020.190000001</v>
      </c>
      <c r="J12" s="54">
        <v>11389222</v>
      </c>
      <c r="K12" s="55"/>
      <c r="L12" s="27">
        <f t="shared" si="2"/>
        <v>11389222</v>
      </c>
      <c r="M12" s="35">
        <f t="shared" si="3"/>
        <v>11389222</v>
      </c>
      <c r="N12" s="44">
        <f t="shared" si="4"/>
        <v>29643242.190000001</v>
      </c>
      <c r="O12" s="28"/>
    </row>
    <row r="13" spans="1:18" x14ac:dyDescent="0.2">
      <c r="A13" s="25"/>
      <c r="B13" s="26"/>
      <c r="C13" s="54"/>
      <c r="D13" s="55"/>
      <c r="E13" s="27">
        <f>SUM(C13:D13)</f>
        <v>0</v>
      </c>
      <c r="F13" s="54">
        <f t="shared" si="0"/>
        <v>0</v>
      </c>
      <c r="G13" s="55"/>
      <c r="H13" s="27">
        <f t="shared" si="1"/>
        <v>0</v>
      </c>
      <c r="I13" s="35"/>
      <c r="J13" s="54"/>
      <c r="K13" s="55"/>
      <c r="L13" s="27">
        <f t="shared" si="2"/>
        <v>0</v>
      </c>
      <c r="M13" s="35">
        <f t="shared" si="3"/>
        <v>0</v>
      </c>
      <c r="N13" s="44">
        <f t="shared" si="4"/>
        <v>0</v>
      </c>
      <c r="O13" s="28"/>
    </row>
    <row r="14" spans="1:18" x14ac:dyDescent="0.2">
      <c r="A14" s="25">
        <f>A12+1</f>
        <v>3</v>
      </c>
      <c r="B14" s="26" t="s">
        <v>45</v>
      </c>
      <c r="C14" s="54"/>
      <c r="D14" s="55"/>
      <c r="E14" s="27">
        <f>SUM(C14:D14)</f>
        <v>0</v>
      </c>
      <c r="F14" s="54">
        <f t="shared" si="0"/>
        <v>1454103.24</v>
      </c>
      <c r="G14" s="55"/>
      <c r="H14" s="27">
        <f t="shared" si="1"/>
        <v>1454103.24</v>
      </c>
      <c r="I14" s="35">
        <v>1454103.24</v>
      </c>
      <c r="J14" s="54">
        <v>1910593.34</v>
      </c>
      <c r="K14" s="55"/>
      <c r="L14" s="27">
        <f t="shared" si="2"/>
        <v>1910593.34</v>
      </c>
      <c r="M14" s="35">
        <f t="shared" si="3"/>
        <v>1910593.34</v>
      </c>
      <c r="N14" s="44">
        <f t="shared" si="4"/>
        <v>3364696.58</v>
      </c>
      <c r="O14" s="28"/>
    </row>
    <row r="15" spans="1:18" x14ac:dyDescent="0.2">
      <c r="A15" s="25"/>
      <c r="B15" s="26"/>
      <c r="C15" s="54"/>
      <c r="D15" s="55"/>
      <c r="E15" s="27"/>
      <c r="F15" s="54">
        <f t="shared" si="0"/>
        <v>0</v>
      </c>
      <c r="G15" s="55"/>
      <c r="H15" s="27">
        <f t="shared" si="1"/>
        <v>0</v>
      </c>
      <c r="I15" s="35"/>
      <c r="J15" s="54"/>
      <c r="K15" s="55"/>
      <c r="L15" s="27">
        <f t="shared" si="2"/>
        <v>0</v>
      </c>
      <c r="M15" s="35">
        <f t="shared" si="3"/>
        <v>0</v>
      </c>
      <c r="N15" s="44">
        <f t="shared" si="4"/>
        <v>0</v>
      </c>
      <c r="O15" s="28"/>
    </row>
    <row r="16" spans="1:18" x14ac:dyDescent="0.2">
      <c r="A16" s="25">
        <v>4</v>
      </c>
      <c r="B16" s="26" t="s">
        <v>15</v>
      </c>
      <c r="C16" s="54"/>
      <c r="D16" s="55"/>
      <c r="E16" s="27">
        <f>SUM(C16:D16)</f>
        <v>0</v>
      </c>
      <c r="F16" s="54">
        <f t="shared" si="0"/>
        <v>7083733.9400000004</v>
      </c>
      <c r="G16" s="55"/>
      <c r="H16" s="27">
        <f t="shared" si="1"/>
        <v>7083733.9400000004</v>
      </c>
      <c r="I16" s="35">
        <v>7083733.9400000004</v>
      </c>
      <c r="J16" s="54">
        <v>5528099.5700000003</v>
      </c>
      <c r="K16" s="55"/>
      <c r="L16" s="27">
        <f t="shared" si="2"/>
        <v>5528099.5700000003</v>
      </c>
      <c r="M16" s="35">
        <f t="shared" si="3"/>
        <v>5528099.5700000003</v>
      </c>
      <c r="N16" s="44">
        <f t="shared" si="4"/>
        <v>12611833.510000002</v>
      </c>
      <c r="O16" s="28"/>
    </row>
    <row r="17" spans="1:17" x14ac:dyDescent="0.2">
      <c r="A17" s="25"/>
      <c r="B17" s="26"/>
      <c r="C17" s="54"/>
      <c r="D17" s="55"/>
      <c r="E17" s="27"/>
      <c r="F17" s="54">
        <f t="shared" si="0"/>
        <v>0</v>
      </c>
      <c r="G17" s="55"/>
      <c r="H17" s="27">
        <f t="shared" si="1"/>
        <v>0</v>
      </c>
      <c r="I17" s="35"/>
      <c r="J17" s="54"/>
      <c r="K17" s="55"/>
      <c r="L17" s="27">
        <f t="shared" si="2"/>
        <v>0</v>
      </c>
      <c r="M17" s="35">
        <f t="shared" si="3"/>
        <v>0</v>
      </c>
      <c r="N17" s="44">
        <f t="shared" si="4"/>
        <v>0</v>
      </c>
      <c r="O17" s="28"/>
    </row>
    <row r="18" spans="1:17" x14ac:dyDescent="0.2">
      <c r="A18" s="25">
        <v>5</v>
      </c>
      <c r="B18" s="26" t="s">
        <v>46</v>
      </c>
      <c r="C18" s="54"/>
      <c r="D18" s="55"/>
      <c r="E18" s="27">
        <f>SUM(C18:D18)</f>
        <v>0</v>
      </c>
      <c r="F18" s="54">
        <f t="shared" si="0"/>
        <v>0</v>
      </c>
      <c r="G18" s="55"/>
      <c r="H18" s="27">
        <f t="shared" si="1"/>
        <v>0</v>
      </c>
      <c r="I18" s="35"/>
      <c r="J18" s="54">
        <v>27230480</v>
      </c>
      <c r="K18" s="55"/>
      <c r="L18" s="27">
        <f t="shared" si="2"/>
        <v>27230480</v>
      </c>
      <c r="M18" s="35">
        <f t="shared" si="3"/>
        <v>27230480</v>
      </c>
      <c r="N18" s="44">
        <f t="shared" si="4"/>
        <v>27230480</v>
      </c>
      <c r="O18" s="28"/>
    </row>
    <row r="19" spans="1:17" x14ac:dyDescent="0.2">
      <c r="A19" s="25"/>
      <c r="B19" s="26"/>
      <c r="C19" s="54"/>
      <c r="D19" s="55"/>
      <c r="E19" s="27"/>
      <c r="F19" s="54">
        <f t="shared" si="0"/>
        <v>0</v>
      </c>
      <c r="G19" s="55"/>
      <c r="H19" s="27">
        <f t="shared" si="1"/>
        <v>0</v>
      </c>
      <c r="I19" s="35"/>
      <c r="J19" s="54"/>
      <c r="K19" s="55"/>
      <c r="L19" s="27">
        <f t="shared" si="2"/>
        <v>0</v>
      </c>
      <c r="M19" s="35">
        <f t="shared" si="3"/>
        <v>0</v>
      </c>
      <c r="N19" s="44">
        <f t="shared" si="4"/>
        <v>0</v>
      </c>
      <c r="O19" s="28"/>
    </row>
    <row r="20" spans="1:17" ht="13.5" thickBot="1" x14ac:dyDescent="0.25">
      <c r="A20" s="29"/>
      <c r="B20" s="30" t="s">
        <v>11</v>
      </c>
      <c r="C20" s="56">
        <f t="shared" ref="C20:N20" si="5">SUM(C9:C19)</f>
        <v>0</v>
      </c>
      <c r="D20" s="57">
        <f t="shared" si="5"/>
        <v>0</v>
      </c>
      <c r="E20" s="31">
        <f t="shared" si="5"/>
        <v>0</v>
      </c>
      <c r="F20" s="74">
        <f t="shared" si="5"/>
        <v>225773147.37</v>
      </c>
      <c r="G20" s="57">
        <f t="shared" si="5"/>
        <v>0</v>
      </c>
      <c r="H20" s="31">
        <f t="shared" si="5"/>
        <v>225773147.37</v>
      </c>
      <c r="I20" s="32">
        <f t="shared" si="5"/>
        <v>225773147.37</v>
      </c>
      <c r="J20" s="56">
        <f t="shared" si="5"/>
        <v>201342090.69999999</v>
      </c>
      <c r="K20" s="57">
        <f t="shared" si="5"/>
        <v>0</v>
      </c>
      <c r="L20" s="31">
        <f t="shared" si="5"/>
        <v>201342090.69999999</v>
      </c>
      <c r="M20" s="32">
        <f t="shared" si="5"/>
        <v>201342090.69999999</v>
      </c>
      <c r="N20" s="48">
        <f t="shared" si="5"/>
        <v>427115238.06999993</v>
      </c>
      <c r="O20" s="28"/>
    </row>
    <row r="21" spans="1:17" ht="13.5" thickTop="1" x14ac:dyDescent="0.2">
      <c r="A21" s="29"/>
      <c r="B21" s="30"/>
      <c r="C21" s="54"/>
      <c r="D21" s="55"/>
      <c r="E21" s="27">
        <f t="shared" ref="E21:E34" si="6">SUM(C21:D21)</f>
        <v>0</v>
      </c>
      <c r="F21" s="54"/>
      <c r="G21" s="55"/>
      <c r="H21" s="27"/>
      <c r="I21" s="35"/>
      <c r="J21" s="54"/>
      <c r="K21" s="55"/>
      <c r="L21" s="27">
        <f t="shared" ref="L21:L34" si="7">SUM(J21:K21)</f>
        <v>0</v>
      </c>
      <c r="M21" s="35"/>
      <c r="N21" s="44">
        <f>+I21</f>
        <v>0</v>
      </c>
      <c r="O21" s="28"/>
    </row>
    <row r="22" spans="1:17" x14ac:dyDescent="0.2">
      <c r="A22" s="33" t="s">
        <v>12</v>
      </c>
      <c r="B22" s="23" t="s">
        <v>13</v>
      </c>
      <c r="C22" s="54"/>
      <c r="D22" s="55"/>
      <c r="E22" s="27">
        <f t="shared" si="6"/>
        <v>0</v>
      </c>
      <c r="F22" s="54"/>
      <c r="G22" s="55"/>
      <c r="H22" s="27"/>
      <c r="I22" s="35"/>
      <c r="J22" s="54"/>
      <c r="K22" s="55"/>
      <c r="L22" s="27">
        <f t="shared" si="7"/>
        <v>0</v>
      </c>
      <c r="M22" s="35">
        <f t="shared" ref="M22:M34" si="8">+L22</f>
        <v>0</v>
      </c>
      <c r="N22" s="44">
        <f t="shared" ref="N22:N34" si="9">+I22+M22</f>
        <v>0</v>
      </c>
      <c r="O22" s="28"/>
    </row>
    <row r="23" spans="1:17" x14ac:dyDescent="0.2">
      <c r="A23" s="25">
        <v>1</v>
      </c>
      <c r="B23" s="26" t="s">
        <v>10</v>
      </c>
      <c r="C23" s="54">
        <v>9.92</v>
      </c>
      <c r="D23" s="55"/>
      <c r="E23" s="27">
        <f t="shared" si="6"/>
        <v>9.92</v>
      </c>
      <c r="F23" s="54">
        <f>+H23-G23</f>
        <v>175603085.85000002</v>
      </c>
      <c r="G23" s="55">
        <v>20001000</v>
      </c>
      <c r="H23" s="27">
        <f>+I23-E23</f>
        <v>195604085.85000002</v>
      </c>
      <c r="I23" s="35">
        <f>74287794.48-2421.71+101305207.53+12515.47+20001000</f>
        <v>195604095.77000001</v>
      </c>
      <c r="J23" s="54">
        <f>107464723.4-277217.19+17930470.1+-1490.1+2500000+0.5+49760</f>
        <v>127666246.71000001</v>
      </c>
      <c r="K23" s="55">
        <v>4288000</v>
      </c>
      <c r="L23" s="27">
        <f t="shared" si="7"/>
        <v>131954246.71000001</v>
      </c>
      <c r="M23" s="35">
        <f t="shared" si="8"/>
        <v>131954246.71000001</v>
      </c>
      <c r="N23" s="44">
        <f t="shared" si="9"/>
        <v>327558342.48000002</v>
      </c>
      <c r="O23" s="35">
        <f t="shared" ref="O23:O33" si="10">+D23+G23+K23</f>
        <v>24289000</v>
      </c>
      <c r="P23" s="3" t="s">
        <v>27</v>
      </c>
      <c r="Q23" s="43">
        <f>M23+M54</f>
        <v>136612757.71000001</v>
      </c>
    </row>
    <row r="24" spans="1:17" x14ac:dyDescent="0.2">
      <c r="A24" s="29"/>
      <c r="B24" s="34"/>
      <c r="C24" s="54"/>
      <c r="D24" s="55"/>
      <c r="E24" s="27">
        <f t="shared" si="6"/>
        <v>0</v>
      </c>
      <c r="F24" s="54"/>
      <c r="G24" s="55"/>
      <c r="H24" s="27"/>
      <c r="I24" s="35"/>
      <c r="J24" s="54"/>
      <c r="K24" s="55"/>
      <c r="L24" s="27">
        <f t="shared" si="7"/>
        <v>0</v>
      </c>
      <c r="M24" s="35">
        <f t="shared" si="8"/>
        <v>0</v>
      </c>
      <c r="N24" s="44">
        <f t="shared" si="9"/>
        <v>0</v>
      </c>
      <c r="O24" s="35">
        <f t="shared" si="10"/>
        <v>0</v>
      </c>
      <c r="P24" s="3" t="s">
        <v>28</v>
      </c>
      <c r="Q24" s="43">
        <f>SUM(M25:M40)</f>
        <v>45269149.530000001</v>
      </c>
    </row>
    <row r="25" spans="1:17" x14ac:dyDescent="0.2">
      <c r="A25" s="25">
        <f>A23+1</f>
        <v>2</v>
      </c>
      <c r="B25" s="26" t="s">
        <v>14</v>
      </c>
      <c r="C25" s="54"/>
      <c r="D25" s="55"/>
      <c r="E25" s="27">
        <f t="shared" si="6"/>
        <v>0</v>
      </c>
      <c r="F25" s="54">
        <f>+H25-G25</f>
        <v>0</v>
      </c>
      <c r="G25" s="55"/>
      <c r="H25" s="27">
        <f>+I25-E24</f>
        <v>0</v>
      </c>
      <c r="I25" s="35"/>
      <c r="J25" s="54">
        <f>9000.48</f>
        <v>9000.48</v>
      </c>
      <c r="K25" s="55"/>
      <c r="L25" s="27">
        <f t="shared" si="7"/>
        <v>9000.48</v>
      </c>
      <c r="M25" s="35">
        <f t="shared" si="8"/>
        <v>9000.48</v>
      </c>
      <c r="N25" s="44">
        <f t="shared" si="9"/>
        <v>9000.48</v>
      </c>
      <c r="O25" s="35">
        <f t="shared" si="10"/>
        <v>0</v>
      </c>
      <c r="P25" s="3" t="s">
        <v>29</v>
      </c>
      <c r="Q25" s="43">
        <f>SUM(M42:M52)</f>
        <v>1607605.3399999999</v>
      </c>
    </row>
    <row r="26" spans="1:17" ht="13.5" thickBot="1" x14ac:dyDescent="0.25">
      <c r="A26" s="25"/>
      <c r="B26" s="26"/>
      <c r="C26" s="54"/>
      <c r="D26" s="55"/>
      <c r="E26" s="27">
        <f t="shared" si="6"/>
        <v>0</v>
      </c>
      <c r="F26" s="54">
        <f>+H26-G26</f>
        <v>0</v>
      </c>
      <c r="G26" s="55"/>
      <c r="H26" s="27">
        <f>+I26-E25</f>
        <v>0</v>
      </c>
      <c r="I26" s="35"/>
      <c r="J26" s="54"/>
      <c r="K26" s="55"/>
      <c r="L26" s="27">
        <f t="shared" si="7"/>
        <v>0</v>
      </c>
      <c r="M26" s="35">
        <f t="shared" si="8"/>
        <v>0</v>
      </c>
      <c r="N26" s="44">
        <f t="shared" si="9"/>
        <v>0</v>
      </c>
      <c r="O26" s="35">
        <f t="shared" si="10"/>
        <v>0</v>
      </c>
      <c r="Q26" s="60">
        <f>SUM(Q23:Q25)</f>
        <v>183489512.58000001</v>
      </c>
    </row>
    <row r="27" spans="1:17" ht="13.5" thickTop="1" x14ac:dyDescent="0.2">
      <c r="A27" s="25">
        <f>A25+1</f>
        <v>3</v>
      </c>
      <c r="B27" s="26" t="s">
        <v>15</v>
      </c>
      <c r="C27" s="54"/>
      <c r="D27" s="55">
        <v>500000</v>
      </c>
      <c r="E27" s="27">
        <f t="shared" si="6"/>
        <v>500000</v>
      </c>
      <c r="F27" s="54">
        <f>+H27-G27</f>
        <v>5072914</v>
      </c>
      <c r="G27" s="55">
        <f>3500000-D27</f>
        <v>3000000</v>
      </c>
      <c r="H27" s="27">
        <f>+I27-E27</f>
        <v>8072914</v>
      </c>
      <c r="I27" s="35">
        <f>5097703-67479+3500000+42690</f>
        <v>8572914</v>
      </c>
      <c r="J27" s="54">
        <f>5602067+4201+(69736-20907)+11500</f>
        <v>5666597</v>
      </c>
      <c r="K27" s="55">
        <v>20907</v>
      </c>
      <c r="L27" s="27">
        <f t="shared" si="7"/>
        <v>5687504</v>
      </c>
      <c r="M27" s="35">
        <f t="shared" si="8"/>
        <v>5687504</v>
      </c>
      <c r="N27" s="44">
        <f t="shared" si="9"/>
        <v>14260418</v>
      </c>
      <c r="O27" s="35">
        <f t="shared" si="10"/>
        <v>3520907</v>
      </c>
      <c r="Q27" s="43">
        <f>M56</f>
        <v>183489512.58000001</v>
      </c>
    </row>
    <row r="28" spans="1:17" x14ac:dyDescent="0.2">
      <c r="A28" s="25"/>
      <c r="B28" s="26"/>
      <c r="C28" s="54"/>
      <c r="D28" s="55"/>
      <c r="E28" s="27">
        <f t="shared" si="6"/>
        <v>0</v>
      </c>
      <c r="F28" s="54"/>
      <c r="G28" s="55"/>
      <c r="H28" s="27"/>
      <c r="I28" s="35"/>
      <c r="J28" s="54"/>
      <c r="K28" s="55"/>
      <c r="L28" s="27">
        <f t="shared" si="7"/>
        <v>0</v>
      </c>
      <c r="M28" s="35">
        <f t="shared" si="8"/>
        <v>0</v>
      </c>
      <c r="N28" s="44">
        <f t="shared" si="9"/>
        <v>0</v>
      </c>
      <c r="O28" s="35">
        <f t="shared" si="10"/>
        <v>0</v>
      </c>
      <c r="Q28" s="43">
        <f>+Q26-Q27</f>
        <v>0</v>
      </c>
    </row>
    <row r="29" spans="1:17" x14ac:dyDescent="0.2">
      <c r="A29" s="25">
        <f>A27+1</f>
        <v>4</v>
      </c>
      <c r="B29" s="34" t="s">
        <v>16</v>
      </c>
      <c r="C29" s="54">
        <v>62160</v>
      </c>
      <c r="D29" s="55"/>
      <c r="E29" s="27">
        <f t="shared" si="6"/>
        <v>62160</v>
      </c>
      <c r="F29" s="54">
        <f>+H29-G29</f>
        <v>119320</v>
      </c>
      <c r="G29" s="55"/>
      <c r="H29" s="27">
        <f>+I29-E29</f>
        <v>119320</v>
      </c>
      <c r="I29" s="44">
        <v>181480</v>
      </c>
      <c r="J29" s="54">
        <f>14261+21510</f>
        <v>35771</v>
      </c>
      <c r="K29" s="55"/>
      <c r="L29" s="27">
        <f t="shared" si="7"/>
        <v>35771</v>
      </c>
      <c r="M29" s="35">
        <f t="shared" si="8"/>
        <v>35771</v>
      </c>
      <c r="N29" s="44">
        <f t="shared" si="9"/>
        <v>217251</v>
      </c>
      <c r="O29" s="35">
        <f t="shared" si="10"/>
        <v>0</v>
      </c>
    </row>
    <row r="30" spans="1:17" x14ac:dyDescent="0.2">
      <c r="A30" s="36"/>
      <c r="B30" s="34"/>
      <c r="C30" s="54"/>
      <c r="D30" s="55"/>
      <c r="E30" s="27">
        <f t="shared" si="6"/>
        <v>0</v>
      </c>
      <c r="F30" s="54"/>
      <c r="G30" s="55"/>
      <c r="H30" s="27"/>
      <c r="I30" s="35"/>
      <c r="J30" s="54"/>
      <c r="K30" s="55"/>
      <c r="L30" s="27">
        <f t="shared" si="7"/>
        <v>0</v>
      </c>
      <c r="M30" s="35">
        <f t="shared" si="8"/>
        <v>0</v>
      </c>
      <c r="N30" s="44">
        <f t="shared" si="9"/>
        <v>0</v>
      </c>
      <c r="O30" s="35">
        <f t="shared" si="10"/>
        <v>0</v>
      </c>
    </row>
    <row r="31" spans="1:17" x14ac:dyDescent="0.2">
      <c r="A31" s="25">
        <f>A29+1</f>
        <v>5</v>
      </c>
      <c r="B31" s="34" t="s">
        <v>25</v>
      </c>
      <c r="C31" s="54"/>
      <c r="D31" s="55"/>
      <c r="E31" s="27">
        <f t="shared" si="6"/>
        <v>0</v>
      </c>
      <c r="F31" s="54">
        <f>+H31-G31</f>
        <v>378163.55</v>
      </c>
      <c r="G31" s="55"/>
      <c r="H31" s="27">
        <f>+I31-E31</f>
        <v>378163.55</v>
      </c>
      <c r="I31" s="35">
        <v>378163.55</v>
      </c>
      <c r="J31" s="54">
        <f>51675.55</f>
        <v>51675.55</v>
      </c>
      <c r="K31" s="55"/>
      <c r="L31" s="27">
        <f t="shared" si="7"/>
        <v>51675.55</v>
      </c>
      <c r="M31" s="35">
        <f t="shared" si="8"/>
        <v>51675.55</v>
      </c>
      <c r="N31" s="44">
        <f t="shared" si="9"/>
        <v>429839.1</v>
      </c>
      <c r="O31" s="35">
        <f t="shared" si="10"/>
        <v>0</v>
      </c>
      <c r="P31" s="86" t="s">
        <v>65</v>
      </c>
    </row>
    <row r="32" spans="1:17" x14ac:dyDescent="0.2">
      <c r="A32" s="29"/>
      <c r="B32" s="34"/>
      <c r="C32" s="54"/>
      <c r="D32" s="55"/>
      <c r="E32" s="27">
        <f t="shared" si="6"/>
        <v>0</v>
      </c>
      <c r="F32" s="54"/>
      <c r="G32" s="55"/>
      <c r="H32" s="27"/>
      <c r="I32" s="35"/>
      <c r="J32" s="54"/>
      <c r="K32" s="55"/>
      <c r="L32" s="27">
        <f t="shared" si="7"/>
        <v>0</v>
      </c>
      <c r="M32" s="35">
        <f t="shared" si="8"/>
        <v>0</v>
      </c>
      <c r="N32" s="44">
        <f t="shared" si="9"/>
        <v>0</v>
      </c>
      <c r="O32" s="35">
        <f t="shared" si="10"/>
        <v>0</v>
      </c>
      <c r="P32" s="3" t="s">
        <v>66</v>
      </c>
      <c r="Q32" s="43">
        <v>550</v>
      </c>
    </row>
    <row r="33" spans="1:20" x14ac:dyDescent="0.2">
      <c r="A33" s="25">
        <f>A31+1</f>
        <v>6</v>
      </c>
      <c r="B33" s="26" t="s">
        <v>56</v>
      </c>
      <c r="C33" s="54"/>
      <c r="D33" s="55"/>
      <c r="E33" s="27">
        <f t="shared" si="6"/>
        <v>0</v>
      </c>
      <c r="F33" s="54">
        <f>+H33-G33</f>
        <v>-90000</v>
      </c>
      <c r="G33" s="55">
        <v>90000</v>
      </c>
      <c r="H33" s="27">
        <f>+I33-E32</f>
        <v>0</v>
      </c>
      <c r="I33" s="35">
        <f>-211768+7789851.1-1017203.8-20700+90000-6630179.3</f>
        <v>0</v>
      </c>
      <c r="J33" s="54">
        <f>-127061+24842571.5+-1975463.5+6630179+15340</f>
        <v>29385566</v>
      </c>
      <c r="K33" s="55">
        <f>-74660-15340</f>
        <v>-90000</v>
      </c>
      <c r="L33" s="27">
        <f t="shared" si="7"/>
        <v>29295566</v>
      </c>
      <c r="M33" s="35">
        <f t="shared" si="8"/>
        <v>29295566</v>
      </c>
      <c r="N33" s="44">
        <f t="shared" si="9"/>
        <v>29295566</v>
      </c>
      <c r="O33" s="35">
        <f t="shared" si="10"/>
        <v>0</v>
      </c>
      <c r="P33" s="3" t="s">
        <v>67</v>
      </c>
      <c r="Q33" s="43">
        <v>638</v>
      </c>
      <c r="T33" s="3">
        <v>6630179.2999999998</v>
      </c>
    </row>
    <row r="34" spans="1:20" x14ac:dyDescent="0.2">
      <c r="A34" s="29"/>
      <c r="B34" s="34"/>
      <c r="C34" s="54"/>
      <c r="D34" s="55"/>
      <c r="E34" s="27">
        <f t="shared" si="6"/>
        <v>0</v>
      </c>
      <c r="F34" s="54">
        <f>+H34-G34</f>
        <v>0</v>
      </c>
      <c r="G34" s="55"/>
      <c r="H34" s="27">
        <f>+I34-E33</f>
        <v>0</v>
      </c>
      <c r="I34" s="35"/>
      <c r="J34" s="54"/>
      <c r="K34" s="55"/>
      <c r="L34" s="27">
        <f t="shared" si="7"/>
        <v>0</v>
      </c>
      <c r="M34" s="35">
        <f t="shared" si="8"/>
        <v>0</v>
      </c>
      <c r="N34" s="44">
        <f t="shared" si="9"/>
        <v>0</v>
      </c>
      <c r="O34" s="35"/>
      <c r="P34" s="3" t="s">
        <v>68</v>
      </c>
      <c r="Q34" s="43">
        <f>+Q33/Q32</f>
        <v>1.1599999999999999</v>
      </c>
    </row>
    <row r="35" spans="1:20" x14ac:dyDescent="0.2">
      <c r="A35" s="29"/>
      <c r="B35" s="34"/>
      <c r="C35" s="54"/>
      <c r="D35" s="55"/>
      <c r="E35" s="27"/>
      <c r="F35" s="54"/>
      <c r="G35" s="55"/>
      <c r="H35" s="27"/>
      <c r="I35" s="35"/>
      <c r="J35" s="54"/>
      <c r="K35" s="87"/>
      <c r="L35" s="27"/>
      <c r="M35" s="35"/>
      <c r="N35" s="44"/>
      <c r="O35" s="35"/>
    </row>
    <row r="36" spans="1:20" x14ac:dyDescent="0.2">
      <c r="A36" s="25">
        <f>A33+1</f>
        <v>7</v>
      </c>
      <c r="B36" s="34" t="s">
        <v>36</v>
      </c>
      <c r="C36" s="54"/>
      <c r="D36" s="55"/>
      <c r="E36" s="27">
        <f t="shared" ref="E36:E44" si="11">SUM(C36:D36)</f>
        <v>0</v>
      </c>
      <c r="F36" s="54">
        <f>+H36-G36</f>
        <v>261543</v>
      </c>
      <c r="G36" s="55"/>
      <c r="H36" s="27">
        <f>+I36-E36</f>
        <v>261543</v>
      </c>
      <c r="I36" s="35">
        <v>261543</v>
      </c>
      <c r="J36" s="54">
        <f>120588.5</f>
        <v>120588.5</v>
      </c>
      <c r="K36" s="55"/>
      <c r="L36" s="27">
        <f t="shared" ref="L36:L55" si="12">SUM(J36:K36)</f>
        <v>120588.5</v>
      </c>
      <c r="M36" s="35">
        <f t="shared" ref="M36:M54" si="13">+L36</f>
        <v>120588.5</v>
      </c>
      <c r="N36" s="44">
        <f t="shared" ref="N36:N54" si="14">+I36+M36</f>
        <v>382131.5</v>
      </c>
      <c r="O36" s="35">
        <f t="shared" ref="O36:O54" si="15">+D36+G36+K36</f>
        <v>0</v>
      </c>
    </row>
    <row r="37" spans="1:20" x14ac:dyDescent="0.2">
      <c r="A37" s="29"/>
      <c r="B37" s="34"/>
      <c r="C37" s="54"/>
      <c r="D37" s="55"/>
      <c r="E37" s="27">
        <f t="shared" si="11"/>
        <v>0</v>
      </c>
      <c r="F37" s="54"/>
      <c r="G37" s="55"/>
      <c r="H37" s="27"/>
      <c r="I37" s="35"/>
      <c r="J37" s="54"/>
      <c r="K37" s="55"/>
      <c r="L37" s="27">
        <f t="shared" si="12"/>
        <v>0</v>
      </c>
      <c r="M37" s="35">
        <f t="shared" si="13"/>
        <v>0</v>
      </c>
      <c r="N37" s="44">
        <f t="shared" si="14"/>
        <v>0</v>
      </c>
      <c r="O37" s="35">
        <f t="shared" si="15"/>
        <v>0</v>
      </c>
      <c r="P37" s="3" t="s">
        <v>69</v>
      </c>
      <c r="Q37" s="43">
        <v>272.3</v>
      </c>
    </row>
    <row r="38" spans="1:20" x14ac:dyDescent="0.2">
      <c r="A38" s="25">
        <f>A36+1</f>
        <v>8</v>
      </c>
      <c r="B38" s="34" t="s">
        <v>47</v>
      </c>
      <c r="C38" s="54"/>
      <c r="D38" s="55"/>
      <c r="E38" s="27">
        <f t="shared" si="11"/>
        <v>0</v>
      </c>
      <c r="F38" s="54">
        <f>+H38-G38</f>
        <v>1069338</v>
      </c>
      <c r="G38" s="55"/>
      <c r="H38" s="27">
        <f>+I38-E38</f>
        <v>1069338</v>
      </c>
      <c r="I38" s="35">
        <v>1069338</v>
      </c>
      <c r="J38" s="54">
        <f>10058246</f>
        <v>10058246</v>
      </c>
      <c r="K38" s="55"/>
      <c r="L38" s="27">
        <f t="shared" si="12"/>
        <v>10058246</v>
      </c>
      <c r="M38" s="35">
        <f t="shared" si="13"/>
        <v>10058246</v>
      </c>
      <c r="N38" s="44">
        <f t="shared" si="14"/>
        <v>11127584</v>
      </c>
      <c r="O38" s="35">
        <f t="shared" si="15"/>
        <v>0</v>
      </c>
      <c r="P38" s="3" t="s">
        <v>70</v>
      </c>
      <c r="Q38" s="43">
        <f>+Q37*Q34</f>
        <v>315.86799999999999</v>
      </c>
    </row>
    <row r="39" spans="1:20" x14ac:dyDescent="0.2">
      <c r="A39" s="29"/>
      <c r="B39" s="34"/>
      <c r="C39" s="54"/>
      <c r="D39" s="55"/>
      <c r="E39" s="27">
        <f t="shared" si="11"/>
        <v>0</v>
      </c>
      <c r="F39" s="54"/>
      <c r="G39" s="55"/>
      <c r="H39" s="27"/>
      <c r="I39" s="35"/>
      <c r="J39" s="54"/>
      <c r="K39" s="55"/>
      <c r="L39" s="27">
        <f t="shared" si="12"/>
        <v>0</v>
      </c>
      <c r="M39" s="35">
        <f t="shared" si="13"/>
        <v>0</v>
      </c>
      <c r="N39" s="44">
        <f t="shared" si="14"/>
        <v>0</v>
      </c>
      <c r="O39" s="35">
        <f t="shared" si="15"/>
        <v>0</v>
      </c>
      <c r="P39" s="3" t="s">
        <v>71</v>
      </c>
      <c r="Q39" s="43">
        <v>292.95999999999998</v>
      </c>
    </row>
    <row r="40" spans="1:20" x14ac:dyDescent="0.2">
      <c r="A40" s="25">
        <f>+A38+1</f>
        <v>9</v>
      </c>
      <c r="B40" s="34" t="s">
        <v>33</v>
      </c>
      <c r="C40" s="54"/>
      <c r="D40" s="55"/>
      <c r="E40" s="27">
        <f t="shared" si="11"/>
        <v>0</v>
      </c>
      <c r="F40" s="54">
        <f>+H40-G40</f>
        <v>6450</v>
      </c>
      <c r="G40" s="55"/>
      <c r="H40" s="27">
        <f>+I40-E37</f>
        <v>6450</v>
      </c>
      <c r="I40" s="35">
        <v>6450</v>
      </c>
      <c r="J40" s="54">
        <v>10798</v>
      </c>
      <c r="K40" s="55"/>
      <c r="L40" s="27">
        <f t="shared" si="12"/>
        <v>10798</v>
      </c>
      <c r="M40" s="35">
        <f t="shared" si="13"/>
        <v>10798</v>
      </c>
      <c r="N40" s="44">
        <f t="shared" si="14"/>
        <v>17248</v>
      </c>
      <c r="O40" s="35">
        <f t="shared" si="15"/>
        <v>0</v>
      </c>
      <c r="P40" s="3" t="s">
        <v>72</v>
      </c>
      <c r="Q40" s="43">
        <f>+Q38-Q39</f>
        <v>22.908000000000015</v>
      </c>
    </row>
    <row r="41" spans="1:20" x14ac:dyDescent="0.2">
      <c r="A41" s="29"/>
      <c r="B41" s="34"/>
      <c r="C41" s="54"/>
      <c r="D41" s="55"/>
      <c r="E41" s="27">
        <f t="shared" si="11"/>
        <v>0</v>
      </c>
      <c r="F41" s="54">
        <f>+H41-G41</f>
        <v>0</v>
      </c>
      <c r="G41" s="55"/>
      <c r="H41" s="27">
        <f>+I41-E40</f>
        <v>0</v>
      </c>
      <c r="I41" s="35"/>
      <c r="J41" s="54"/>
      <c r="K41" s="55"/>
      <c r="L41" s="27">
        <f t="shared" si="12"/>
        <v>0</v>
      </c>
      <c r="M41" s="35">
        <f t="shared" si="13"/>
        <v>0</v>
      </c>
      <c r="N41" s="44">
        <f t="shared" si="14"/>
        <v>0</v>
      </c>
      <c r="O41" s="35">
        <f t="shared" si="15"/>
        <v>0</v>
      </c>
    </row>
    <row r="42" spans="1:20" x14ac:dyDescent="0.2">
      <c r="A42" s="25">
        <f>A40+1</f>
        <v>10</v>
      </c>
      <c r="B42" s="26" t="s">
        <v>17</v>
      </c>
      <c r="C42" s="54">
        <v>581645.96</v>
      </c>
      <c r="D42" s="55"/>
      <c r="E42" s="27">
        <f t="shared" si="11"/>
        <v>581645.96</v>
      </c>
      <c r="F42" s="54">
        <f>+H42-G42</f>
        <v>358845</v>
      </c>
      <c r="G42" s="55"/>
      <c r="H42" s="27">
        <f>+I42-E42</f>
        <v>358845</v>
      </c>
      <c r="I42" s="35">
        <v>940490.96</v>
      </c>
      <c r="J42" s="54">
        <f>362657+234</f>
        <v>362891</v>
      </c>
      <c r="K42" s="55"/>
      <c r="L42" s="27">
        <f t="shared" si="12"/>
        <v>362891</v>
      </c>
      <c r="M42" s="35">
        <f t="shared" si="13"/>
        <v>362891</v>
      </c>
      <c r="N42" s="44">
        <f t="shared" si="14"/>
        <v>1303381.96</v>
      </c>
      <c r="O42" s="35">
        <f t="shared" si="15"/>
        <v>0</v>
      </c>
    </row>
    <row r="43" spans="1:20" x14ac:dyDescent="0.2">
      <c r="A43" s="29"/>
      <c r="B43" s="34"/>
      <c r="C43" s="54"/>
      <c r="D43" s="55"/>
      <c r="E43" s="27">
        <f t="shared" si="11"/>
        <v>0</v>
      </c>
      <c r="F43" s="54"/>
      <c r="G43" s="55"/>
      <c r="H43" s="27"/>
      <c r="I43" s="35"/>
      <c r="J43" s="54"/>
      <c r="K43" s="55"/>
      <c r="L43" s="27">
        <f t="shared" si="12"/>
        <v>0</v>
      </c>
      <c r="M43" s="35">
        <f t="shared" si="13"/>
        <v>0</v>
      </c>
      <c r="N43" s="44">
        <f t="shared" si="14"/>
        <v>0</v>
      </c>
      <c r="O43" s="35">
        <f t="shared" si="15"/>
        <v>0</v>
      </c>
    </row>
    <row r="44" spans="1:20" x14ac:dyDescent="0.2">
      <c r="A44" s="25">
        <f>A42+1</f>
        <v>11</v>
      </c>
      <c r="B44" s="34" t="s">
        <v>18</v>
      </c>
      <c r="C44" s="54">
        <v>179190</v>
      </c>
      <c r="D44" s="55"/>
      <c r="E44" s="27">
        <f t="shared" si="11"/>
        <v>179190</v>
      </c>
      <c r="F44" s="54">
        <f t="shared" ref="F44:F55" si="16">+H44-G44</f>
        <v>620662.19999999995</v>
      </c>
      <c r="G44" s="55"/>
      <c r="H44" s="27">
        <f t="shared" ref="H44:H55" si="17">+I44-E44</f>
        <v>620662.19999999995</v>
      </c>
      <c r="I44" s="35">
        <f>599228.2+15060+7282+84330+54382+39570</f>
        <v>799852.2</v>
      </c>
      <c r="J44" s="54">
        <f>464593.9+18592+1303+125722+82018.33+158212.5+18685</f>
        <v>869126.73</v>
      </c>
      <c r="K44" s="55"/>
      <c r="L44" s="27">
        <f t="shared" si="12"/>
        <v>869126.73</v>
      </c>
      <c r="M44" s="35">
        <f t="shared" si="13"/>
        <v>869126.73</v>
      </c>
      <c r="N44" s="44">
        <f t="shared" si="14"/>
        <v>1668978.93</v>
      </c>
      <c r="O44" s="35">
        <f t="shared" si="15"/>
        <v>0</v>
      </c>
    </row>
    <row r="45" spans="1:20" x14ac:dyDescent="0.2">
      <c r="A45" s="25"/>
      <c r="B45" s="34"/>
      <c r="C45" s="54"/>
      <c r="D45" s="55"/>
      <c r="E45" s="27"/>
      <c r="F45" s="54">
        <f t="shared" si="16"/>
        <v>0</v>
      </c>
      <c r="G45" s="55"/>
      <c r="H45" s="27">
        <f t="shared" si="17"/>
        <v>0</v>
      </c>
      <c r="I45" s="35"/>
      <c r="J45" s="54"/>
      <c r="K45" s="55"/>
      <c r="L45" s="27">
        <f t="shared" si="12"/>
        <v>0</v>
      </c>
      <c r="M45" s="35">
        <f t="shared" si="13"/>
        <v>0</v>
      </c>
      <c r="N45" s="44">
        <f t="shared" si="14"/>
        <v>0</v>
      </c>
      <c r="O45" s="35">
        <f t="shared" si="15"/>
        <v>0</v>
      </c>
    </row>
    <row r="46" spans="1:20" x14ac:dyDescent="0.2">
      <c r="A46" s="25">
        <v>11</v>
      </c>
      <c r="B46" s="34" t="s">
        <v>43</v>
      </c>
      <c r="C46" s="54"/>
      <c r="D46" s="55"/>
      <c r="E46" s="27">
        <f t="shared" ref="E46:E55" si="18">SUM(C46:D46)</f>
        <v>0</v>
      </c>
      <c r="F46" s="54">
        <f t="shared" si="16"/>
        <v>87253.39</v>
      </c>
      <c r="G46" s="55"/>
      <c r="H46" s="27">
        <f t="shared" si="17"/>
        <v>87253.39</v>
      </c>
      <c r="I46" s="35">
        <v>87253.39</v>
      </c>
      <c r="J46" s="54"/>
      <c r="K46" s="55"/>
      <c r="L46" s="27">
        <f t="shared" si="12"/>
        <v>0</v>
      </c>
      <c r="M46" s="35">
        <f t="shared" si="13"/>
        <v>0</v>
      </c>
      <c r="N46" s="44">
        <f t="shared" si="14"/>
        <v>87253.39</v>
      </c>
      <c r="O46" s="35">
        <f t="shared" si="15"/>
        <v>0</v>
      </c>
    </row>
    <row r="47" spans="1:20" x14ac:dyDescent="0.2">
      <c r="A47" s="25"/>
      <c r="B47" s="34"/>
      <c r="C47" s="54"/>
      <c r="D47" s="55"/>
      <c r="E47" s="27">
        <f t="shared" si="18"/>
        <v>0</v>
      </c>
      <c r="F47" s="54">
        <f t="shared" si="16"/>
        <v>0</v>
      </c>
      <c r="G47" s="55"/>
      <c r="H47" s="27">
        <f t="shared" si="17"/>
        <v>0</v>
      </c>
      <c r="I47" s="35"/>
      <c r="J47" s="54"/>
      <c r="K47" s="55"/>
      <c r="L47" s="27">
        <f t="shared" si="12"/>
        <v>0</v>
      </c>
      <c r="M47" s="35">
        <f t="shared" si="13"/>
        <v>0</v>
      </c>
      <c r="N47" s="44">
        <f t="shared" si="14"/>
        <v>0</v>
      </c>
      <c r="O47" s="35">
        <f t="shared" si="15"/>
        <v>0</v>
      </c>
    </row>
    <row r="48" spans="1:20" x14ac:dyDescent="0.2">
      <c r="A48" s="25">
        <v>12</v>
      </c>
      <c r="B48" s="34" t="s">
        <v>19</v>
      </c>
      <c r="C48" s="54"/>
      <c r="D48" s="55"/>
      <c r="E48" s="27">
        <f t="shared" si="18"/>
        <v>0</v>
      </c>
      <c r="F48" s="54">
        <f t="shared" si="16"/>
        <v>8089</v>
      </c>
      <c r="G48" s="55"/>
      <c r="H48" s="27">
        <f t="shared" si="17"/>
        <v>8089</v>
      </c>
      <c r="I48" s="35">
        <v>8089</v>
      </c>
      <c r="J48" s="54">
        <f>12420</f>
        <v>12420</v>
      </c>
      <c r="K48" s="55"/>
      <c r="L48" s="27">
        <f t="shared" si="12"/>
        <v>12420</v>
      </c>
      <c r="M48" s="35">
        <f t="shared" si="13"/>
        <v>12420</v>
      </c>
      <c r="N48" s="44">
        <f t="shared" si="14"/>
        <v>20509</v>
      </c>
      <c r="O48" s="35">
        <f t="shared" si="15"/>
        <v>0</v>
      </c>
    </row>
    <row r="49" spans="1:15" x14ac:dyDescent="0.2">
      <c r="A49" s="25"/>
      <c r="B49" s="34"/>
      <c r="C49" s="54"/>
      <c r="D49" s="55"/>
      <c r="E49" s="27">
        <f t="shared" si="18"/>
        <v>0</v>
      </c>
      <c r="F49" s="54">
        <f t="shared" si="16"/>
        <v>0</v>
      </c>
      <c r="G49" s="55"/>
      <c r="H49" s="27">
        <f t="shared" si="17"/>
        <v>0</v>
      </c>
      <c r="I49" s="35"/>
      <c r="J49" s="54"/>
      <c r="K49" s="55"/>
      <c r="L49" s="27">
        <f t="shared" si="12"/>
        <v>0</v>
      </c>
      <c r="M49" s="35">
        <f t="shared" si="13"/>
        <v>0</v>
      </c>
      <c r="N49" s="44">
        <f t="shared" si="14"/>
        <v>0</v>
      </c>
      <c r="O49" s="35">
        <f t="shared" si="15"/>
        <v>0</v>
      </c>
    </row>
    <row r="50" spans="1:15" x14ac:dyDescent="0.2">
      <c r="A50" s="25">
        <f>A48+1</f>
        <v>13</v>
      </c>
      <c r="B50" s="34" t="s">
        <v>35</v>
      </c>
      <c r="C50" s="54"/>
      <c r="D50" s="55"/>
      <c r="E50" s="27">
        <f t="shared" si="18"/>
        <v>0</v>
      </c>
      <c r="F50" s="54">
        <f t="shared" si="16"/>
        <v>0</v>
      </c>
      <c r="G50" s="55"/>
      <c r="H50" s="27">
        <f t="shared" si="17"/>
        <v>0</v>
      </c>
      <c r="I50" s="35"/>
      <c r="J50" s="54"/>
      <c r="K50" s="55"/>
      <c r="L50" s="27">
        <f t="shared" si="12"/>
        <v>0</v>
      </c>
      <c r="M50" s="35">
        <f t="shared" si="13"/>
        <v>0</v>
      </c>
      <c r="N50" s="44">
        <f t="shared" si="14"/>
        <v>0</v>
      </c>
      <c r="O50" s="35">
        <f t="shared" si="15"/>
        <v>0</v>
      </c>
    </row>
    <row r="51" spans="1:15" x14ac:dyDescent="0.2">
      <c r="A51" s="25"/>
      <c r="B51" s="34"/>
      <c r="C51" s="54"/>
      <c r="D51" s="55"/>
      <c r="E51" s="27">
        <f t="shared" si="18"/>
        <v>0</v>
      </c>
      <c r="F51" s="54">
        <f t="shared" si="16"/>
        <v>0</v>
      </c>
      <c r="G51" s="55"/>
      <c r="H51" s="27">
        <f t="shared" si="17"/>
        <v>0</v>
      </c>
      <c r="I51" s="35"/>
      <c r="J51" s="54"/>
      <c r="K51" s="55"/>
      <c r="L51" s="27">
        <f t="shared" si="12"/>
        <v>0</v>
      </c>
      <c r="M51" s="35">
        <f t="shared" si="13"/>
        <v>0</v>
      </c>
      <c r="N51" s="44">
        <f t="shared" si="14"/>
        <v>0</v>
      </c>
      <c r="O51" s="35">
        <f t="shared" si="15"/>
        <v>0</v>
      </c>
    </row>
    <row r="52" spans="1:15" x14ac:dyDescent="0.2">
      <c r="A52" s="25">
        <f>A50+1</f>
        <v>14</v>
      </c>
      <c r="B52" s="34" t="s">
        <v>20</v>
      </c>
      <c r="C52" s="54">
        <f>1065+9826+4370</f>
        <v>15261</v>
      </c>
      <c r="D52" s="55"/>
      <c r="E52" s="27">
        <f t="shared" si="18"/>
        <v>15261</v>
      </c>
      <c r="F52" s="54">
        <f t="shared" si="16"/>
        <v>113909</v>
      </c>
      <c r="G52" s="55"/>
      <c r="H52" s="27">
        <f t="shared" si="17"/>
        <v>113909</v>
      </c>
      <c r="I52" s="35">
        <f>1065+1324+9826+4540+61558+772+7510+25582+16993</f>
        <v>129170</v>
      </c>
      <c r="J52" s="54">
        <f>109633.61+1324+2124+5500+7200+116583+1035+8082+22828+32672+1120+55066</f>
        <v>363167.61</v>
      </c>
      <c r="K52" s="55"/>
      <c r="L52" s="27">
        <f t="shared" si="12"/>
        <v>363167.61</v>
      </c>
      <c r="M52" s="35">
        <f t="shared" si="13"/>
        <v>363167.61</v>
      </c>
      <c r="N52" s="44">
        <f t="shared" si="14"/>
        <v>492337.61</v>
      </c>
      <c r="O52" s="35">
        <f t="shared" si="15"/>
        <v>0</v>
      </c>
    </row>
    <row r="53" spans="1:15" x14ac:dyDescent="0.2">
      <c r="A53" s="36"/>
      <c r="B53" s="26"/>
      <c r="C53" s="54"/>
      <c r="D53" s="55"/>
      <c r="E53" s="27">
        <f t="shared" si="18"/>
        <v>0</v>
      </c>
      <c r="F53" s="54">
        <f t="shared" si="16"/>
        <v>0</v>
      </c>
      <c r="G53" s="55"/>
      <c r="H53" s="27">
        <f t="shared" si="17"/>
        <v>0</v>
      </c>
      <c r="I53" s="35"/>
      <c r="J53" s="54"/>
      <c r="K53" s="55"/>
      <c r="L53" s="27">
        <f t="shared" si="12"/>
        <v>0</v>
      </c>
      <c r="M53" s="35">
        <f t="shared" si="13"/>
        <v>0</v>
      </c>
      <c r="N53" s="44">
        <f t="shared" si="14"/>
        <v>0</v>
      </c>
      <c r="O53" s="35">
        <f t="shared" si="15"/>
        <v>0</v>
      </c>
    </row>
    <row r="54" spans="1:15" x14ac:dyDescent="0.2">
      <c r="A54" s="25">
        <f>A52+1</f>
        <v>15</v>
      </c>
      <c r="B54" s="26" t="s">
        <v>50</v>
      </c>
      <c r="C54" s="54"/>
      <c r="D54" s="55"/>
      <c r="E54" s="27">
        <f t="shared" si="18"/>
        <v>0</v>
      </c>
      <c r="F54" s="54">
        <f t="shared" si="16"/>
        <v>0</v>
      </c>
      <c r="G54" s="55">
        <v>5969439</v>
      </c>
      <c r="H54" s="27">
        <f t="shared" si="17"/>
        <v>5969439</v>
      </c>
      <c r="I54" s="35">
        <v>5969439</v>
      </c>
      <c r="J54" s="54"/>
      <c r="K54" s="55">
        <f>ROUND(L10*3%,)</f>
        <v>4658511</v>
      </c>
      <c r="L54" s="27">
        <f t="shared" si="12"/>
        <v>4658511</v>
      </c>
      <c r="M54" s="35">
        <f t="shared" si="13"/>
        <v>4658511</v>
      </c>
      <c r="N54" s="44">
        <f t="shared" si="14"/>
        <v>10627950</v>
      </c>
      <c r="O54" s="35">
        <f t="shared" si="15"/>
        <v>10627950</v>
      </c>
    </row>
    <row r="55" spans="1:15" x14ac:dyDescent="0.2">
      <c r="A55" s="36"/>
      <c r="B55" s="34"/>
      <c r="C55" s="54"/>
      <c r="D55" s="55"/>
      <c r="E55" s="27">
        <f t="shared" si="18"/>
        <v>0</v>
      </c>
      <c r="F55" s="54">
        <f t="shared" si="16"/>
        <v>0</v>
      </c>
      <c r="G55" s="55"/>
      <c r="H55" s="27">
        <f t="shared" si="17"/>
        <v>0</v>
      </c>
      <c r="I55" s="35"/>
      <c r="J55" s="54"/>
      <c r="K55" s="55"/>
      <c r="L55" s="27">
        <f t="shared" si="12"/>
        <v>0</v>
      </c>
      <c r="M55" s="35"/>
      <c r="N55" s="44">
        <f>+I55</f>
        <v>0</v>
      </c>
      <c r="O55" s="35">
        <f>+D55</f>
        <v>0</v>
      </c>
    </row>
    <row r="56" spans="1:15" ht="13.5" thickBot="1" x14ac:dyDescent="0.25">
      <c r="A56" s="29"/>
      <c r="B56" s="30" t="s">
        <v>21</v>
      </c>
      <c r="C56" s="56">
        <f t="shared" ref="C56:N56" si="19">SUM(C21:C55)</f>
        <v>838266.88</v>
      </c>
      <c r="D56" s="57">
        <f t="shared" si="19"/>
        <v>500000</v>
      </c>
      <c r="E56" s="31">
        <f t="shared" si="19"/>
        <v>1338266.8799999999</v>
      </c>
      <c r="F56" s="56">
        <f t="shared" si="19"/>
        <v>183609572.99000001</v>
      </c>
      <c r="G56" s="57">
        <f t="shared" si="19"/>
        <v>29060439</v>
      </c>
      <c r="H56" s="31">
        <f t="shared" si="19"/>
        <v>212670011.99000001</v>
      </c>
      <c r="I56" s="32">
        <f t="shared" si="19"/>
        <v>214008278.87</v>
      </c>
      <c r="J56" s="56">
        <f t="shared" si="19"/>
        <v>174612094.58000001</v>
      </c>
      <c r="K56" s="57">
        <f t="shared" si="19"/>
        <v>8877418</v>
      </c>
      <c r="L56" s="31">
        <f t="shared" si="19"/>
        <v>183489512.58000001</v>
      </c>
      <c r="M56" s="32">
        <f t="shared" si="19"/>
        <v>183489512.58000001</v>
      </c>
      <c r="N56" s="32">
        <f t="shared" si="19"/>
        <v>397497791.45000005</v>
      </c>
      <c r="O56" s="65">
        <f>SUM(O22:O55)</f>
        <v>38437857</v>
      </c>
    </row>
    <row r="57" spans="1:15" ht="14.25" thickTop="1" thickBot="1" x14ac:dyDescent="0.25">
      <c r="A57" s="37" t="s">
        <v>22</v>
      </c>
      <c r="B57" s="38" t="s">
        <v>23</v>
      </c>
      <c r="C57" s="58"/>
      <c r="D57" s="59"/>
      <c r="E57" s="39">
        <f>E20-E56</f>
        <v>-1338266.8799999999</v>
      </c>
      <c r="F57" s="75"/>
      <c r="G57" s="76"/>
      <c r="H57" s="39">
        <f>H20-H56</f>
        <v>13103135.379999995</v>
      </c>
      <c r="I57" s="40">
        <f>I20-I56</f>
        <v>11764868.5</v>
      </c>
      <c r="J57" s="58"/>
      <c r="K57" s="59"/>
      <c r="L57" s="39">
        <f>L20-L56</f>
        <v>17852578.119999975</v>
      </c>
      <c r="M57" s="40">
        <f>M20-M56</f>
        <v>17852578.119999975</v>
      </c>
      <c r="N57" s="40">
        <f>N20-N56</f>
        <v>29617446.619999886</v>
      </c>
      <c r="O57" s="41"/>
    </row>
    <row r="58" spans="1:15" ht="16.5" thickTop="1" x14ac:dyDescent="0.25">
      <c r="A58" s="1"/>
      <c r="B58" s="42"/>
      <c r="E58" s="77" t="e">
        <f>+D54/C10</f>
        <v>#DIV/0!</v>
      </c>
      <c r="I58" s="77">
        <f>+I54/I10</f>
        <v>3.0000001507679442E-2</v>
      </c>
      <c r="L58" s="77">
        <f>+K54/J10</f>
        <v>3.0000000813350039E-2</v>
      </c>
      <c r="M58" s="77">
        <f>+M54/M10</f>
        <v>3.0000000813350039E-2</v>
      </c>
      <c r="N58" s="43">
        <f>+E57+H57+L57</f>
        <v>29617446.619999971</v>
      </c>
      <c r="O58" s="43">
        <f>+N58-N57</f>
        <v>8.5681676864624023E-8</v>
      </c>
    </row>
    <row r="59" spans="1:15" x14ac:dyDescent="0.2">
      <c r="K59" s="82" t="s">
        <v>5</v>
      </c>
      <c r="L59" s="82" t="s">
        <v>61</v>
      </c>
      <c r="M59" s="82" t="s">
        <v>60</v>
      </c>
      <c r="N59" s="83" t="s">
        <v>62</v>
      </c>
      <c r="O59" s="84" t="s">
        <v>30</v>
      </c>
    </row>
    <row r="60" spans="1:15" x14ac:dyDescent="0.2">
      <c r="J60" s="64" t="s">
        <v>74</v>
      </c>
      <c r="K60" s="43">
        <f>4490+550</f>
        <v>5040</v>
      </c>
      <c r="L60" s="3">
        <v>1989.81</v>
      </c>
      <c r="M60" s="43">
        <f>+K60-L60</f>
        <v>3050.19</v>
      </c>
      <c r="N60" s="43">
        <f>(+M10+M18)/100000</f>
        <v>1825.1417578999999</v>
      </c>
      <c r="O60" s="43">
        <f>M60-N60</f>
        <v>1225.0482421000002</v>
      </c>
    </row>
    <row r="61" spans="1:15" x14ac:dyDescent="0.2">
      <c r="J61" s="63" t="s">
        <v>31</v>
      </c>
      <c r="K61" s="43">
        <f>316+100</f>
        <v>416</v>
      </c>
      <c r="L61" s="3">
        <v>117.65</v>
      </c>
      <c r="M61" s="43">
        <f>+K61-L61</f>
        <v>298.35000000000002</v>
      </c>
      <c r="N61" s="43">
        <f>+M61/M60*N60</f>
        <v>178.52364720540851</v>
      </c>
      <c r="O61" s="43">
        <f>M61-N61</f>
        <v>119.82635279459151</v>
      </c>
    </row>
    <row r="62" spans="1:15" x14ac:dyDescent="0.2">
      <c r="N62" s="43">
        <f>+M57/100000-N61</f>
        <v>2.1339945912473013E-3</v>
      </c>
    </row>
    <row r="63" spans="1:15" x14ac:dyDescent="0.2">
      <c r="C63" s="43"/>
      <c r="J63" s="43"/>
    </row>
    <row r="64" spans="1:15" x14ac:dyDescent="0.2">
      <c r="I64" s="43">
        <f>+I56</f>
        <v>214008278.87</v>
      </c>
      <c r="L64" s="43">
        <f>+L56</f>
        <v>183489512.58000001</v>
      </c>
    </row>
    <row r="65" spans="9:12" x14ac:dyDescent="0.2">
      <c r="I65" s="43">
        <f>213448584.87+559694</f>
        <v>214008278.87</v>
      </c>
      <c r="L65" s="43">
        <f>30086803.33+153402709.25</f>
        <v>183489512.57999998</v>
      </c>
    </row>
    <row r="66" spans="9:12" x14ac:dyDescent="0.2">
      <c r="I66" s="43">
        <f>+I64-I65</f>
        <v>0</v>
      </c>
      <c r="L66" s="43">
        <f>+L64-L65</f>
        <v>0</v>
      </c>
    </row>
  </sheetData>
  <mergeCells count="3">
    <mergeCell ref="C6:E6"/>
    <mergeCell ref="F6:H6"/>
    <mergeCell ref="J6:L6"/>
  </mergeCells>
  <phoneticPr fontId="29" type="noConversion"/>
  <printOptions horizontalCentered="1"/>
  <pageMargins left="0.2" right="0.2" top="0.24" bottom="0.24" header="0.2" footer="0.19"/>
  <pageSetup paperSize="9" scale="57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6"/>
  <sheetViews>
    <sheetView showZeros="0" zoomScale="75" workbookViewId="0">
      <pane xSplit="2" ySplit="8" topLeftCell="F18" activePane="bottomRight" state="frozen"/>
      <selection pane="topRight" activeCell="C1" sqref="C1"/>
      <selection pane="bottomLeft" activeCell="A9" sqref="A9"/>
      <selection pane="bottomRight" activeCell="Q26" sqref="Q26"/>
    </sheetView>
  </sheetViews>
  <sheetFormatPr defaultRowHeight="12.75" x14ac:dyDescent="0.2"/>
  <cols>
    <col min="1" max="1" width="5.7109375" style="3" customWidth="1"/>
    <col min="2" max="2" width="24.140625" style="3" customWidth="1"/>
    <col min="3" max="13" width="14.85546875" style="3" customWidth="1"/>
    <col min="14" max="14" width="16.28515625" style="3" customWidth="1"/>
    <col min="15" max="15" width="15" style="3" customWidth="1"/>
    <col min="16" max="16" width="11.7109375" style="3" customWidth="1"/>
    <col min="17" max="17" width="13.42578125" style="43" customWidth="1"/>
    <col min="18" max="18" width="14.7109375" style="81" customWidth="1"/>
    <col min="19" max="16384" width="9.140625" style="3"/>
  </cols>
  <sheetData>
    <row r="1" spans="1:18" ht="22.5" x14ac:dyDescent="0.3">
      <c r="A1" s="4" t="s">
        <v>0</v>
      </c>
      <c r="B1" s="5"/>
      <c r="R1" s="80">
        <v>-22071907</v>
      </c>
    </row>
    <row r="2" spans="1:18" ht="17.25" customHeight="1" x14ac:dyDescent="0.3">
      <c r="A2" s="4"/>
      <c r="B2" s="5"/>
      <c r="O2" s="2" t="s">
        <v>53</v>
      </c>
      <c r="R2" s="80">
        <v>-90000</v>
      </c>
    </row>
    <row r="3" spans="1:18" ht="18.75" x14ac:dyDescent="0.3">
      <c r="A3" s="7" t="s">
        <v>51</v>
      </c>
      <c r="B3" s="6"/>
      <c r="O3" s="67" t="s">
        <v>64</v>
      </c>
      <c r="R3" s="80">
        <f>+R1+R2</f>
        <v>-22161907</v>
      </c>
    </row>
    <row r="4" spans="1:18" ht="17.25" customHeight="1" x14ac:dyDescent="0.3">
      <c r="A4" s="7" t="s">
        <v>52</v>
      </c>
      <c r="B4" s="6"/>
      <c r="J4" s="43"/>
      <c r="R4" s="80">
        <f>+O5+R3</f>
        <v>11466006.5</v>
      </c>
    </row>
    <row r="5" spans="1:18" ht="19.5" thickBot="1" x14ac:dyDescent="0.35">
      <c r="A5" s="8" t="s">
        <v>24</v>
      </c>
      <c r="B5" s="6"/>
      <c r="C5" s="61"/>
      <c r="D5" s="61"/>
      <c r="E5" s="61" t="s">
        <v>55</v>
      </c>
      <c r="F5" s="61"/>
      <c r="G5" s="61"/>
      <c r="H5" s="61"/>
      <c r="I5" s="61" t="s">
        <v>55</v>
      </c>
      <c r="J5" s="61"/>
      <c r="K5" s="61"/>
      <c r="L5" s="61"/>
      <c r="M5" s="61"/>
      <c r="O5" s="43">
        <f>SUM(O23:O52)</f>
        <v>33627913.5</v>
      </c>
    </row>
    <row r="6" spans="1:18" ht="16.5" customHeight="1" thickTop="1" x14ac:dyDescent="0.2">
      <c r="A6" s="9" t="s">
        <v>1</v>
      </c>
      <c r="B6" s="10"/>
      <c r="C6" s="96" t="s">
        <v>42</v>
      </c>
      <c r="D6" s="97"/>
      <c r="E6" s="98"/>
      <c r="F6" s="96" t="s">
        <v>54</v>
      </c>
      <c r="G6" s="97"/>
      <c r="H6" s="98"/>
      <c r="I6" s="46" t="s">
        <v>5</v>
      </c>
      <c r="J6" s="96" t="s">
        <v>58</v>
      </c>
      <c r="K6" s="97"/>
      <c r="L6" s="98"/>
      <c r="M6" s="46" t="s">
        <v>5</v>
      </c>
      <c r="N6" s="11" t="s">
        <v>2</v>
      </c>
      <c r="O6" s="12"/>
    </row>
    <row r="7" spans="1:18" ht="13.5" thickBot="1" x14ac:dyDescent="0.25">
      <c r="A7" s="13" t="s">
        <v>3</v>
      </c>
      <c r="B7" s="14" t="s">
        <v>4</v>
      </c>
      <c r="C7" s="49" t="s">
        <v>34</v>
      </c>
      <c r="D7" s="50" t="s">
        <v>26</v>
      </c>
      <c r="E7" s="15" t="s">
        <v>5</v>
      </c>
      <c r="F7" s="49" t="s">
        <v>34</v>
      </c>
      <c r="G7" s="50" t="s">
        <v>26</v>
      </c>
      <c r="H7" s="15" t="s">
        <v>5</v>
      </c>
      <c r="I7" s="47" t="s">
        <v>37</v>
      </c>
      <c r="J7" s="49" t="s">
        <v>34</v>
      </c>
      <c r="K7" s="50" t="s">
        <v>26</v>
      </c>
      <c r="L7" s="15" t="s">
        <v>5</v>
      </c>
      <c r="M7" s="47" t="s">
        <v>59</v>
      </c>
      <c r="N7" s="16" t="s">
        <v>5</v>
      </c>
      <c r="O7" s="17" t="s">
        <v>6</v>
      </c>
    </row>
    <row r="8" spans="1:18" ht="13.5" thickTop="1" x14ac:dyDescent="0.2">
      <c r="A8" s="18"/>
      <c r="B8" s="19"/>
      <c r="C8" s="51" t="s">
        <v>7</v>
      </c>
      <c r="D8" s="52" t="s">
        <v>7</v>
      </c>
      <c r="E8" s="53" t="s">
        <v>7</v>
      </c>
      <c r="F8" s="51"/>
      <c r="G8" s="52"/>
      <c r="H8" s="53"/>
      <c r="I8" s="21"/>
      <c r="J8" s="51" t="s">
        <v>7</v>
      </c>
      <c r="K8" s="52" t="s">
        <v>7</v>
      </c>
      <c r="L8" s="53" t="s">
        <v>7</v>
      </c>
      <c r="M8" s="21"/>
      <c r="N8" s="20"/>
      <c r="O8" s="21"/>
    </row>
    <row r="9" spans="1:18" x14ac:dyDescent="0.2">
      <c r="A9" s="22" t="s">
        <v>8</v>
      </c>
      <c r="B9" s="23" t="s">
        <v>9</v>
      </c>
      <c r="C9" s="54"/>
      <c r="D9" s="55"/>
      <c r="E9" s="27"/>
      <c r="F9" s="70"/>
      <c r="G9" s="71"/>
      <c r="H9" s="72"/>
      <c r="I9" s="73"/>
      <c r="J9" s="54"/>
      <c r="K9" s="55"/>
      <c r="L9" s="27"/>
      <c r="M9" s="73"/>
      <c r="N9" s="45"/>
      <c r="O9" s="24"/>
    </row>
    <row r="10" spans="1:18" x14ac:dyDescent="0.2">
      <c r="A10" s="25">
        <v>1</v>
      </c>
      <c r="B10" s="26" t="s">
        <v>10</v>
      </c>
      <c r="C10" s="54"/>
      <c r="D10" s="55"/>
      <c r="E10" s="27">
        <f>SUM(C10:D10)</f>
        <v>0</v>
      </c>
      <c r="F10" s="54">
        <f t="shared" ref="F10:F19" si="0">+H10-G10</f>
        <v>198981290</v>
      </c>
      <c r="G10" s="55"/>
      <c r="H10" s="27">
        <f t="shared" ref="H10:H19" si="1">+I10-E10</f>
        <v>198981290</v>
      </c>
      <c r="I10" s="35">
        <f>87693000+111288290</f>
        <v>198981290</v>
      </c>
      <c r="J10" s="54">
        <f>70265906.99+14249859.8</f>
        <v>84515766.789999992</v>
      </c>
      <c r="K10" s="55"/>
      <c r="L10" s="27">
        <f>SUM(J10:K10)</f>
        <v>84515766.789999992</v>
      </c>
      <c r="M10" s="35">
        <f>+L10</f>
        <v>84515766.789999992</v>
      </c>
      <c r="N10" s="44">
        <f>+I10+M10</f>
        <v>283497056.78999996</v>
      </c>
      <c r="O10" s="28"/>
    </row>
    <row r="11" spans="1:18" x14ac:dyDescent="0.2">
      <c r="A11" s="25"/>
      <c r="B11" s="26"/>
      <c r="C11" s="54"/>
      <c r="D11" s="55"/>
      <c r="E11" s="27">
        <f>SUM(C11:D11)</f>
        <v>0</v>
      </c>
      <c r="F11" s="54">
        <f t="shared" si="0"/>
        <v>0</v>
      </c>
      <c r="G11" s="55"/>
      <c r="H11" s="27">
        <f t="shared" si="1"/>
        <v>0</v>
      </c>
      <c r="I11" s="35"/>
      <c r="J11" s="54"/>
      <c r="K11" s="55"/>
      <c r="L11" s="27">
        <f t="shared" ref="L11:L19" si="2">SUM(J11:K11)</f>
        <v>0</v>
      </c>
      <c r="M11" s="35">
        <f t="shared" ref="M11:M19" si="3">+L11</f>
        <v>0</v>
      </c>
      <c r="N11" s="44">
        <f t="shared" ref="N11:N19" si="4">+I11+M11</f>
        <v>0</v>
      </c>
      <c r="O11" s="28"/>
    </row>
    <row r="12" spans="1:18" x14ac:dyDescent="0.2">
      <c r="A12" s="25">
        <f>A10+1</f>
        <v>2</v>
      </c>
      <c r="B12" s="26" t="s">
        <v>44</v>
      </c>
      <c r="C12" s="54"/>
      <c r="D12" s="55"/>
      <c r="E12" s="27">
        <f>SUM(C12:D12)</f>
        <v>0</v>
      </c>
      <c r="F12" s="54">
        <f t="shared" si="0"/>
        <v>18254020.190000001</v>
      </c>
      <c r="G12" s="55"/>
      <c r="H12" s="27">
        <f t="shared" si="1"/>
        <v>18254020.190000001</v>
      </c>
      <c r="I12" s="35">
        <v>18254020.190000001</v>
      </c>
      <c r="J12" s="54">
        <v>6718777</v>
      </c>
      <c r="K12" s="55"/>
      <c r="L12" s="27">
        <f t="shared" si="2"/>
        <v>6718777</v>
      </c>
      <c r="M12" s="35">
        <f t="shared" si="3"/>
        <v>6718777</v>
      </c>
      <c r="N12" s="44">
        <f t="shared" si="4"/>
        <v>24972797.190000001</v>
      </c>
      <c r="O12" s="28"/>
    </row>
    <row r="13" spans="1:18" x14ac:dyDescent="0.2">
      <c r="A13" s="25"/>
      <c r="B13" s="26"/>
      <c r="C13" s="54"/>
      <c r="D13" s="55"/>
      <c r="E13" s="27">
        <f>SUM(C13:D13)</f>
        <v>0</v>
      </c>
      <c r="F13" s="54">
        <f t="shared" si="0"/>
        <v>0</v>
      </c>
      <c r="G13" s="55"/>
      <c r="H13" s="27">
        <f t="shared" si="1"/>
        <v>0</v>
      </c>
      <c r="I13" s="35"/>
      <c r="J13" s="54"/>
      <c r="K13" s="55"/>
      <c r="L13" s="27">
        <f t="shared" si="2"/>
        <v>0</v>
      </c>
      <c r="M13" s="35">
        <f t="shared" si="3"/>
        <v>0</v>
      </c>
      <c r="N13" s="44">
        <f t="shared" si="4"/>
        <v>0</v>
      </c>
      <c r="O13" s="28"/>
    </row>
    <row r="14" spans="1:18" x14ac:dyDescent="0.2">
      <c r="A14" s="25">
        <f>A12+1</f>
        <v>3</v>
      </c>
      <c r="B14" s="26" t="s">
        <v>45</v>
      </c>
      <c r="C14" s="54"/>
      <c r="D14" s="55"/>
      <c r="E14" s="27">
        <f>SUM(C14:D14)</f>
        <v>0</v>
      </c>
      <c r="F14" s="54">
        <f t="shared" si="0"/>
        <v>1454103.24</v>
      </c>
      <c r="G14" s="55"/>
      <c r="H14" s="27">
        <f t="shared" si="1"/>
        <v>1454103.24</v>
      </c>
      <c r="I14" s="35">
        <v>1454103.24</v>
      </c>
      <c r="J14" s="54">
        <v>928867.2</v>
      </c>
      <c r="K14" s="55"/>
      <c r="L14" s="27">
        <f t="shared" si="2"/>
        <v>928867.2</v>
      </c>
      <c r="M14" s="35">
        <f t="shared" si="3"/>
        <v>928867.2</v>
      </c>
      <c r="N14" s="44">
        <f t="shared" si="4"/>
        <v>2382970.44</v>
      </c>
      <c r="O14" s="28"/>
    </row>
    <row r="15" spans="1:18" x14ac:dyDescent="0.2">
      <c r="A15" s="25"/>
      <c r="B15" s="26"/>
      <c r="C15" s="54"/>
      <c r="D15" s="55"/>
      <c r="E15" s="27"/>
      <c r="F15" s="54">
        <f t="shared" si="0"/>
        <v>0</v>
      </c>
      <c r="G15" s="55"/>
      <c r="H15" s="27">
        <f t="shared" si="1"/>
        <v>0</v>
      </c>
      <c r="I15" s="35"/>
      <c r="J15" s="54"/>
      <c r="K15" s="55"/>
      <c r="L15" s="27">
        <f t="shared" si="2"/>
        <v>0</v>
      </c>
      <c r="M15" s="35">
        <f t="shared" si="3"/>
        <v>0</v>
      </c>
      <c r="N15" s="44">
        <f t="shared" si="4"/>
        <v>0</v>
      </c>
      <c r="O15" s="28"/>
    </row>
    <row r="16" spans="1:18" x14ac:dyDescent="0.2">
      <c r="A16" s="25">
        <v>4</v>
      </c>
      <c r="B16" s="26" t="s">
        <v>15</v>
      </c>
      <c r="C16" s="54"/>
      <c r="D16" s="55"/>
      <c r="E16" s="27">
        <f>SUM(C16:D16)</f>
        <v>0</v>
      </c>
      <c r="F16" s="54">
        <f t="shared" si="0"/>
        <v>7083733.9400000004</v>
      </c>
      <c r="G16" s="55"/>
      <c r="H16" s="27">
        <f t="shared" si="1"/>
        <v>7083733.9400000004</v>
      </c>
      <c r="I16" s="35">
        <v>7083733.9400000004</v>
      </c>
      <c r="J16" s="54">
        <v>3008761.3</v>
      </c>
      <c r="K16" s="55"/>
      <c r="L16" s="27">
        <f t="shared" si="2"/>
        <v>3008761.3</v>
      </c>
      <c r="M16" s="35">
        <f t="shared" si="3"/>
        <v>3008761.3</v>
      </c>
      <c r="N16" s="44">
        <f t="shared" si="4"/>
        <v>10092495.24</v>
      </c>
      <c r="O16" s="28"/>
    </row>
    <row r="17" spans="1:17" x14ac:dyDescent="0.2">
      <c r="A17" s="25"/>
      <c r="B17" s="26"/>
      <c r="C17" s="54"/>
      <c r="D17" s="55"/>
      <c r="E17" s="27"/>
      <c r="F17" s="54">
        <f t="shared" si="0"/>
        <v>0</v>
      </c>
      <c r="G17" s="55"/>
      <c r="H17" s="27">
        <f t="shared" si="1"/>
        <v>0</v>
      </c>
      <c r="I17" s="35"/>
      <c r="J17" s="54"/>
      <c r="K17" s="55"/>
      <c r="L17" s="27">
        <f t="shared" si="2"/>
        <v>0</v>
      </c>
      <c r="M17" s="35">
        <f t="shared" si="3"/>
        <v>0</v>
      </c>
      <c r="N17" s="44">
        <f t="shared" si="4"/>
        <v>0</v>
      </c>
      <c r="O17" s="28"/>
    </row>
    <row r="18" spans="1:17" x14ac:dyDescent="0.2">
      <c r="A18" s="25">
        <v>5</v>
      </c>
      <c r="B18" s="26" t="s">
        <v>46</v>
      </c>
      <c r="C18" s="54"/>
      <c r="D18" s="55"/>
      <c r="E18" s="27">
        <f>SUM(C18:D18)</f>
        <v>0</v>
      </c>
      <c r="F18" s="54">
        <f t="shared" si="0"/>
        <v>0</v>
      </c>
      <c r="G18" s="55"/>
      <c r="H18" s="27">
        <f t="shared" si="1"/>
        <v>0</v>
      </c>
      <c r="I18" s="35"/>
      <c r="J18" s="54">
        <v>7937940</v>
      </c>
      <c r="K18" s="55"/>
      <c r="L18" s="27">
        <f t="shared" si="2"/>
        <v>7937940</v>
      </c>
      <c r="M18" s="35">
        <f t="shared" si="3"/>
        <v>7937940</v>
      </c>
      <c r="N18" s="44">
        <f t="shared" si="4"/>
        <v>7937940</v>
      </c>
      <c r="O18" s="28"/>
    </row>
    <row r="19" spans="1:17" x14ac:dyDescent="0.2">
      <c r="A19" s="25"/>
      <c r="B19" s="26"/>
      <c r="C19" s="54"/>
      <c r="D19" s="55"/>
      <c r="E19" s="27"/>
      <c r="F19" s="54">
        <f t="shared" si="0"/>
        <v>0</v>
      </c>
      <c r="G19" s="55"/>
      <c r="H19" s="27">
        <f t="shared" si="1"/>
        <v>0</v>
      </c>
      <c r="I19" s="35"/>
      <c r="J19" s="54"/>
      <c r="K19" s="55"/>
      <c r="L19" s="27">
        <f t="shared" si="2"/>
        <v>0</v>
      </c>
      <c r="M19" s="35">
        <f t="shared" si="3"/>
        <v>0</v>
      </c>
      <c r="N19" s="44">
        <f t="shared" si="4"/>
        <v>0</v>
      </c>
      <c r="O19" s="28"/>
    </row>
    <row r="20" spans="1:17" ht="13.5" thickBot="1" x14ac:dyDescent="0.25">
      <c r="A20" s="29"/>
      <c r="B20" s="30" t="s">
        <v>11</v>
      </c>
      <c r="C20" s="56">
        <f t="shared" ref="C20:N20" si="5">SUM(C9:C19)</f>
        <v>0</v>
      </c>
      <c r="D20" s="57">
        <f t="shared" si="5"/>
        <v>0</v>
      </c>
      <c r="E20" s="31">
        <f t="shared" si="5"/>
        <v>0</v>
      </c>
      <c r="F20" s="74">
        <f t="shared" si="5"/>
        <v>225773147.37</v>
      </c>
      <c r="G20" s="57">
        <f t="shared" si="5"/>
        <v>0</v>
      </c>
      <c r="H20" s="31">
        <f t="shared" si="5"/>
        <v>225773147.37</v>
      </c>
      <c r="I20" s="32">
        <f t="shared" si="5"/>
        <v>225773147.37</v>
      </c>
      <c r="J20" s="56">
        <f>SUM(J9:J19)</f>
        <v>103110112.28999999</v>
      </c>
      <c r="K20" s="57">
        <f>SUM(K9:K19)</f>
        <v>0</v>
      </c>
      <c r="L20" s="31">
        <f>SUM(L9:L19)</f>
        <v>103110112.28999999</v>
      </c>
      <c r="M20" s="32">
        <f>SUM(M9:M19)</f>
        <v>103110112.28999999</v>
      </c>
      <c r="N20" s="48">
        <f t="shared" si="5"/>
        <v>328883259.65999997</v>
      </c>
      <c r="O20" s="28"/>
    </row>
    <row r="21" spans="1:17" ht="13.5" thickTop="1" x14ac:dyDescent="0.2">
      <c r="A21" s="29"/>
      <c r="B21" s="30"/>
      <c r="C21" s="54"/>
      <c r="D21" s="55"/>
      <c r="E21" s="27">
        <f t="shared" ref="E21:E44" si="6">SUM(C21:D21)</f>
        <v>0</v>
      </c>
      <c r="F21" s="54"/>
      <c r="G21" s="55"/>
      <c r="H21" s="27"/>
      <c r="I21" s="35"/>
      <c r="J21" s="54"/>
      <c r="K21" s="55"/>
      <c r="L21" s="27">
        <f>SUM(J21:K21)</f>
        <v>0</v>
      </c>
      <c r="M21" s="35"/>
      <c r="N21" s="44">
        <f>+I21</f>
        <v>0</v>
      </c>
      <c r="O21" s="28"/>
    </row>
    <row r="22" spans="1:17" x14ac:dyDescent="0.2">
      <c r="A22" s="33" t="s">
        <v>12</v>
      </c>
      <c r="B22" s="23" t="s">
        <v>13</v>
      </c>
      <c r="C22" s="54"/>
      <c r="D22" s="55"/>
      <c r="E22" s="27">
        <f t="shared" si="6"/>
        <v>0</v>
      </c>
      <c r="F22" s="54"/>
      <c r="G22" s="55"/>
      <c r="H22" s="27"/>
      <c r="I22" s="35"/>
      <c r="J22" s="54"/>
      <c r="K22" s="55"/>
      <c r="L22" s="27">
        <f>SUM(J22:K22)</f>
        <v>0</v>
      </c>
      <c r="M22" s="35">
        <f t="shared" ref="M22:M54" si="7">+L22</f>
        <v>0</v>
      </c>
      <c r="N22" s="44">
        <f>+I22+M22</f>
        <v>0</v>
      </c>
      <c r="O22" s="28"/>
    </row>
    <row r="23" spans="1:17" x14ac:dyDescent="0.2">
      <c r="A23" s="25">
        <v>1</v>
      </c>
      <c r="B23" s="26" t="s">
        <v>10</v>
      </c>
      <c r="C23" s="54">
        <v>9.92</v>
      </c>
      <c r="D23" s="55"/>
      <c r="E23" s="27">
        <f t="shared" si="6"/>
        <v>9.92</v>
      </c>
      <c r="F23" s="54">
        <f>+H23-G23</f>
        <v>175603085.82000002</v>
      </c>
      <c r="G23" s="55">
        <v>20001000</v>
      </c>
      <c r="H23" s="27">
        <f>+I23-E23</f>
        <v>195604085.82000002</v>
      </c>
      <c r="I23" s="35">
        <f>74287794.48-2421.71+101305207.5+12515.47+20001000</f>
        <v>195604095.74000001</v>
      </c>
      <c r="J23" s="54">
        <f>53985820.33-280076.53+16043543.7+264.3+2128713+0.5</f>
        <v>71878265.299999997</v>
      </c>
      <c r="K23" s="68">
        <v>254000</v>
      </c>
      <c r="L23" s="27">
        <f>SUM(J23:K23)</f>
        <v>72132265.299999997</v>
      </c>
      <c r="M23" s="35">
        <f t="shared" si="7"/>
        <v>72132265.299999997</v>
      </c>
      <c r="N23" s="44">
        <f>+I23+M23</f>
        <v>267736361.04000002</v>
      </c>
      <c r="O23" s="35">
        <f>+D23+G23+K23</f>
        <v>20255000</v>
      </c>
      <c r="P23" s="3" t="s">
        <v>27</v>
      </c>
      <c r="Q23" s="43">
        <f>M23+M54</f>
        <v>74667738.299999997</v>
      </c>
    </row>
    <row r="24" spans="1:17" x14ac:dyDescent="0.2">
      <c r="A24" s="29"/>
      <c r="B24" s="34"/>
      <c r="C24" s="54"/>
      <c r="D24" s="55"/>
      <c r="E24" s="27">
        <f t="shared" si="6"/>
        <v>0</v>
      </c>
      <c r="F24" s="54"/>
      <c r="G24" s="55"/>
      <c r="H24" s="27"/>
      <c r="I24" s="35"/>
      <c r="J24" s="54"/>
      <c r="K24" s="55"/>
      <c r="L24" s="27">
        <f t="shared" ref="L24:L54" si="8">SUM(J24:K24)</f>
        <v>0</v>
      </c>
      <c r="M24" s="35">
        <f t="shared" si="7"/>
        <v>0</v>
      </c>
      <c r="N24" s="44">
        <f t="shared" ref="N24:N54" si="9">+I24+M24</f>
        <v>0</v>
      </c>
      <c r="O24" s="35">
        <f t="shared" ref="O24:O54" si="10">+D24+G24+K24</f>
        <v>0</v>
      </c>
      <c r="P24" s="3" t="s">
        <v>28</v>
      </c>
      <c r="Q24" s="43">
        <f>SUM(M27:M40)</f>
        <v>22023568</v>
      </c>
    </row>
    <row r="25" spans="1:17" x14ac:dyDescent="0.2">
      <c r="A25" s="25">
        <f>A23+1</f>
        <v>2</v>
      </c>
      <c r="B25" s="26" t="s">
        <v>14</v>
      </c>
      <c r="C25" s="54"/>
      <c r="D25" s="55"/>
      <c r="E25" s="27">
        <f t="shared" si="6"/>
        <v>0</v>
      </c>
      <c r="F25" s="54">
        <f>+H25-G25</f>
        <v>0</v>
      </c>
      <c r="G25" s="55"/>
      <c r="H25" s="27">
        <f>+I25-E24</f>
        <v>0</v>
      </c>
      <c r="I25" s="35"/>
      <c r="J25" s="54"/>
      <c r="K25" s="55"/>
      <c r="L25" s="27">
        <f t="shared" si="8"/>
        <v>0</v>
      </c>
      <c r="M25" s="35">
        <f t="shared" si="7"/>
        <v>0</v>
      </c>
      <c r="N25" s="44">
        <f t="shared" si="9"/>
        <v>0</v>
      </c>
      <c r="O25" s="35">
        <f t="shared" si="10"/>
        <v>0</v>
      </c>
      <c r="P25" s="3" t="s">
        <v>29</v>
      </c>
      <c r="Q25" s="43">
        <f>SUM(M42:M52)</f>
        <v>407083.4</v>
      </c>
    </row>
    <row r="26" spans="1:17" ht="13.5" thickBot="1" x14ac:dyDescent="0.25">
      <c r="A26" s="25"/>
      <c r="B26" s="26"/>
      <c r="C26" s="54"/>
      <c r="D26" s="55"/>
      <c r="E26" s="27">
        <f t="shared" si="6"/>
        <v>0</v>
      </c>
      <c r="F26" s="54">
        <f>+H26-G26</f>
        <v>0</v>
      </c>
      <c r="G26" s="55"/>
      <c r="H26" s="27">
        <f>+I26-E25</f>
        <v>0</v>
      </c>
      <c r="I26" s="35"/>
      <c r="J26" s="54"/>
      <c r="K26" s="55"/>
      <c r="L26" s="27">
        <f t="shared" si="8"/>
        <v>0</v>
      </c>
      <c r="M26" s="35">
        <f t="shared" si="7"/>
        <v>0</v>
      </c>
      <c r="N26" s="44">
        <f t="shared" si="9"/>
        <v>0</v>
      </c>
      <c r="O26" s="35">
        <f t="shared" si="10"/>
        <v>0</v>
      </c>
      <c r="Q26" s="60">
        <f>SUM(Q23:Q25)</f>
        <v>97098389.700000003</v>
      </c>
    </row>
    <row r="27" spans="1:17" ht="13.5" thickTop="1" x14ac:dyDescent="0.2">
      <c r="A27" s="25">
        <f>A25+1</f>
        <v>3</v>
      </c>
      <c r="B27" s="26" t="s">
        <v>15</v>
      </c>
      <c r="C27" s="54"/>
      <c r="D27" s="55">
        <v>500000</v>
      </c>
      <c r="E27" s="27">
        <f t="shared" si="6"/>
        <v>500000</v>
      </c>
      <c r="F27" s="54">
        <f>+H27-G27</f>
        <v>5072914</v>
      </c>
      <c r="G27" s="55">
        <f>3500000-D27</f>
        <v>3000000</v>
      </c>
      <c r="H27" s="27">
        <f>+I27-E27</f>
        <v>8072914</v>
      </c>
      <c r="I27" s="35">
        <f>5097703-67479+3500000+42690</f>
        <v>8572914</v>
      </c>
      <c r="J27" s="54">
        <f>3753662</f>
        <v>3753662</v>
      </c>
      <c r="K27" s="55">
        <v>-1429093</v>
      </c>
      <c r="L27" s="27">
        <f t="shared" si="8"/>
        <v>2324569</v>
      </c>
      <c r="M27" s="35">
        <f t="shared" si="7"/>
        <v>2324569</v>
      </c>
      <c r="N27" s="44">
        <f t="shared" si="9"/>
        <v>10897483</v>
      </c>
      <c r="O27" s="35">
        <f t="shared" si="10"/>
        <v>2070907</v>
      </c>
      <c r="Q27" s="43">
        <f>M56</f>
        <v>97098389.700000003</v>
      </c>
    </row>
    <row r="28" spans="1:17" x14ac:dyDescent="0.2">
      <c r="A28" s="25"/>
      <c r="B28" s="26"/>
      <c r="C28" s="54"/>
      <c r="D28" s="55"/>
      <c r="E28" s="27">
        <f t="shared" si="6"/>
        <v>0</v>
      </c>
      <c r="F28" s="54"/>
      <c r="G28" s="55"/>
      <c r="H28" s="27"/>
      <c r="I28" s="35"/>
      <c r="J28" s="54"/>
      <c r="K28" s="68">
        <v>1000000</v>
      </c>
      <c r="L28" s="27">
        <f t="shared" si="8"/>
        <v>1000000</v>
      </c>
      <c r="M28" s="35">
        <f t="shared" si="7"/>
        <v>1000000</v>
      </c>
      <c r="N28" s="44">
        <f t="shared" si="9"/>
        <v>1000000</v>
      </c>
      <c r="O28" s="35">
        <f t="shared" si="10"/>
        <v>1000000</v>
      </c>
      <c r="Q28" s="43">
        <f>+Q26-Q27</f>
        <v>0</v>
      </c>
    </row>
    <row r="29" spans="1:17" x14ac:dyDescent="0.2">
      <c r="A29" s="25">
        <f>A27+1</f>
        <v>4</v>
      </c>
      <c r="B29" s="34" t="s">
        <v>16</v>
      </c>
      <c r="C29" s="54">
        <v>62160</v>
      </c>
      <c r="D29" s="55"/>
      <c r="E29" s="27">
        <f t="shared" si="6"/>
        <v>62160</v>
      </c>
      <c r="F29" s="54">
        <f>+H29-G29</f>
        <v>119320</v>
      </c>
      <c r="G29" s="55"/>
      <c r="H29" s="27">
        <f>+I29-E29</f>
        <v>119320</v>
      </c>
      <c r="I29" s="44">
        <v>181480</v>
      </c>
      <c r="J29" s="54">
        <f>14261+12930</f>
        <v>27191</v>
      </c>
      <c r="K29" s="55"/>
      <c r="L29" s="27">
        <f t="shared" si="8"/>
        <v>27191</v>
      </c>
      <c r="M29" s="35">
        <f t="shared" si="7"/>
        <v>27191</v>
      </c>
      <c r="N29" s="44">
        <f t="shared" si="9"/>
        <v>208671</v>
      </c>
      <c r="O29" s="35">
        <f t="shared" si="10"/>
        <v>0</v>
      </c>
    </row>
    <row r="30" spans="1:17" x14ac:dyDescent="0.2">
      <c r="A30" s="36"/>
      <c r="B30" s="34"/>
      <c r="C30" s="54"/>
      <c r="D30" s="55"/>
      <c r="E30" s="27">
        <f t="shared" si="6"/>
        <v>0</v>
      </c>
      <c r="F30" s="54"/>
      <c r="G30" s="55"/>
      <c r="H30" s="27"/>
      <c r="I30" s="35"/>
      <c r="J30" s="54"/>
      <c r="K30" s="55"/>
      <c r="L30" s="27">
        <f t="shared" si="8"/>
        <v>0</v>
      </c>
      <c r="M30" s="35">
        <f t="shared" si="7"/>
        <v>0</v>
      </c>
      <c r="N30" s="44">
        <f>+I30+M30</f>
        <v>0</v>
      </c>
      <c r="O30" s="35">
        <f t="shared" si="10"/>
        <v>0</v>
      </c>
    </row>
    <row r="31" spans="1:17" x14ac:dyDescent="0.2">
      <c r="A31" s="25">
        <f>A29+1</f>
        <v>5</v>
      </c>
      <c r="B31" s="34" t="s">
        <v>25</v>
      </c>
      <c r="C31" s="54"/>
      <c r="D31" s="55"/>
      <c r="E31" s="27">
        <f t="shared" si="6"/>
        <v>0</v>
      </c>
      <c r="F31" s="54">
        <f>+H31-G31</f>
        <v>378163.55</v>
      </c>
      <c r="G31" s="55"/>
      <c r="H31" s="27">
        <f>+I31-E31</f>
        <v>378163.55</v>
      </c>
      <c r="I31" s="35">
        <v>378163.55</v>
      </c>
      <c r="J31" s="54"/>
      <c r="K31" s="55"/>
      <c r="L31" s="27">
        <f t="shared" si="8"/>
        <v>0</v>
      </c>
      <c r="M31" s="35">
        <f t="shared" si="7"/>
        <v>0</v>
      </c>
      <c r="N31" s="44">
        <f t="shared" si="9"/>
        <v>378163.55</v>
      </c>
      <c r="O31" s="35">
        <f t="shared" si="10"/>
        <v>0</v>
      </c>
      <c r="P31" s="86" t="s">
        <v>65</v>
      </c>
    </row>
    <row r="32" spans="1:17" x14ac:dyDescent="0.2">
      <c r="A32" s="29"/>
      <c r="B32" s="34"/>
      <c r="C32" s="54"/>
      <c r="D32" s="55"/>
      <c r="E32" s="27">
        <f t="shared" si="6"/>
        <v>0</v>
      </c>
      <c r="F32" s="54"/>
      <c r="G32" s="55"/>
      <c r="H32" s="27"/>
      <c r="I32" s="35"/>
      <c r="J32" s="54"/>
      <c r="K32" s="55"/>
      <c r="L32" s="27">
        <f t="shared" si="8"/>
        <v>0</v>
      </c>
      <c r="M32" s="35">
        <f t="shared" si="7"/>
        <v>0</v>
      </c>
      <c r="N32" s="44">
        <f t="shared" si="9"/>
        <v>0</v>
      </c>
      <c r="O32" s="35">
        <f t="shared" si="10"/>
        <v>0</v>
      </c>
      <c r="P32" s="3" t="s">
        <v>66</v>
      </c>
      <c r="Q32" s="43">
        <v>550</v>
      </c>
    </row>
    <row r="33" spans="1:20" x14ac:dyDescent="0.2">
      <c r="A33" s="25">
        <f>A31+1</f>
        <v>6</v>
      </c>
      <c r="B33" s="26" t="s">
        <v>56</v>
      </c>
      <c r="C33" s="54"/>
      <c r="D33" s="55"/>
      <c r="E33" s="27">
        <f t="shared" si="6"/>
        <v>0</v>
      </c>
      <c r="F33" s="54">
        <f>+H33-G33</f>
        <v>-90000</v>
      </c>
      <c r="G33" s="55">
        <v>90000</v>
      </c>
      <c r="H33" s="27">
        <f>+I33-E32</f>
        <v>0</v>
      </c>
      <c r="I33" s="35">
        <f>-211768+7789851.1-1017203.8-20700+90000-6630179.3</f>
        <v>0</v>
      </c>
      <c r="J33" s="54">
        <f>3961037.5-307379+6630179</f>
        <v>10283837.5</v>
      </c>
      <c r="K33" s="68"/>
      <c r="L33" s="27">
        <f t="shared" si="8"/>
        <v>10283837.5</v>
      </c>
      <c r="M33" s="35">
        <f t="shared" si="7"/>
        <v>10283837.5</v>
      </c>
      <c r="N33" s="44">
        <f t="shared" si="9"/>
        <v>10283837.5</v>
      </c>
      <c r="O33" s="35">
        <f t="shared" si="10"/>
        <v>90000</v>
      </c>
      <c r="P33" s="3" t="s">
        <v>67</v>
      </c>
      <c r="Q33" s="43">
        <v>585.9</v>
      </c>
      <c r="T33" s="3">
        <v>6630179.2999999998</v>
      </c>
    </row>
    <row r="34" spans="1:20" x14ac:dyDescent="0.2">
      <c r="A34" s="29"/>
      <c r="B34" s="34"/>
      <c r="C34" s="54"/>
      <c r="D34" s="55"/>
      <c r="E34" s="27">
        <f t="shared" si="6"/>
        <v>0</v>
      </c>
      <c r="F34" s="54">
        <f>+H34-G34</f>
        <v>0</v>
      </c>
      <c r="G34" s="55"/>
      <c r="H34" s="27">
        <f>+I34-E33</f>
        <v>0</v>
      </c>
      <c r="I34" s="35"/>
      <c r="J34" s="54"/>
      <c r="K34" s="68">
        <v>-1828000</v>
      </c>
      <c r="L34" s="27">
        <f t="shared" si="8"/>
        <v>-1828000</v>
      </c>
      <c r="M34" s="35">
        <f t="shared" si="7"/>
        <v>-1828000</v>
      </c>
      <c r="N34" s="44">
        <f t="shared" si="9"/>
        <v>-1828000</v>
      </c>
      <c r="O34" s="35"/>
      <c r="P34" s="3" t="s">
        <v>68</v>
      </c>
      <c r="Q34" s="43">
        <f>+Q33/Q32</f>
        <v>1.0652727272727271</v>
      </c>
    </row>
    <row r="35" spans="1:20" x14ac:dyDescent="0.2">
      <c r="A35" s="29"/>
      <c r="B35" s="34"/>
      <c r="C35" s="54"/>
      <c r="D35" s="55"/>
      <c r="E35" s="27"/>
      <c r="F35" s="54"/>
      <c r="G35" s="55"/>
      <c r="H35" s="27"/>
      <c r="I35" s="35"/>
      <c r="J35" s="54"/>
      <c r="K35" s="85" t="s">
        <v>63</v>
      </c>
      <c r="L35" s="27"/>
      <c r="M35" s="35"/>
      <c r="N35" s="44"/>
      <c r="O35" s="35"/>
    </row>
    <row r="36" spans="1:20" x14ac:dyDescent="0.2">
      <c r="A36" s="25">
        <f>A33+1</f>
        <v>7</v>
      </c>
      <c r="B36" s="34" t="s">
        <v>36</v>
      </c>
      <c r="C36" s="54"/>
      <c r="D36" s="55"/>
      <c r="E36" s="27">
        <f t="shared" si="6"/>
        <v>0</v>
      </c>
      <c r="F36" s="54">
        <f>+H36-G36</f>
        <v>261543</v>
      </c>
      <c r="G36" s="55"/>
      <c r="H36" s="27">
        <f>+I36-E36</f>
        <v>261543</v>
      </c>
      <c r="I36" s="35">
        <v>261543</v>
      </c>
      <c r="J36" s="54"/>
      <c r="K36" s="55"/>
      <c r="L36" s="27">
        <f t="shared" si="8"/>
        <v>0</v>
      </c>
      <c r="M36" s="35">
        <f t="shared" si="7"/>
        <v>0</v>
      </c>
      <c r="N36" s="44">
        <f t="shared" si="9"/>
        <v>261543</v>
      </c>
      <c r="O36" s="35">
        <f t="shared" si="10"/>
        <v>0</v>
      </c>
    </row>
    <row r="37" spans="1:20" x14ac:dyDescent="0.2">
      <c r="A37" s="29"/>
      <c r="B37" s="34"/>
      <c r="C37" s="54"/>
      <c r="D37" s="55"/>
      <c r="E37" s="27">
        <f t="shared" si="6"/>
        <v>0</v>
      </c>
      <c r="F37" s="54"/>
      <c r="G37" s="55"/>
      <c r="H37" s="27"/>
      <c r="I37" s="35"/>
      <c r="J37" s="54"/>
      <c r="K37" s="55"/>
      <c r="L37" s="27">
        <f t="shared" si="8"/>
        <v>0</v>
      </c>
      <c r="M37" s="35">
        <f t="shared" si="7"/>
        <v>0</v>
      </c>
      <c r="N37" s="44">
        <f t="shared" si="9"/>
        <v>0</v>
      </c>
      <c r="O37" s="35">
        <f t="shared" si="10"/>
        <v>0</v>
      </c>
      <c r="P37" s="3" t="s">
        <v>69</v>
      </c>
      <c r="Q37" s="43">
        <v>79.38</v>
      </c>
    </row>
    <row r="38" spans="1:20" x14ac:dyDescent="0.2">
      <c r="A38" s="25">
        <f>A36+1</f>
        <v>8</v>
      </c>
      <c r="B38" s="34" t="s">
        <v>47</v>
      </c>
      <c r="C38" s="54"/>
      <c r="D38" s="55"/>
      <c r="E38" s="27">
        <f t="shared" si="6"/>
        <v>0</v>
      </c>
      <c r="F38" s="54">
        <f>+H38-G38</f>
        <v>1069338</v>
      </c>
      <c r="G38" s="55"/>
      <c r="H38" s="27">
        <f>+I38-E38</f>
        <v>1069338</v>
      </c>
      <c r="I38" s="35">
        <v>1069338</v>
      </c>
      <c r="J38" s="54"/>
      <c r="K38" s="68">
        <f>9271000*1.1015</f>
        <v>10212006.5</v>
      </c>
      <c r="L38" s="27">
        <f t="shared" si="8"/>
        <v>10212006.5</v>
      </c>
      <c r="M38" s="35">
        <f t="shared" si="7"/>
        <v>10212006.5</v>
      </c>
      <c r="N38" s="44">
        <f t="shared" si="9"/>
        <v>11281344.5</v>
      </c>
      <c r="O38" s="35">
        <f t="shared" si="10"/>
        <v>10212006.5</v>
      </c>
      <c r="P38" s="3" t="s">
        <v>70</v>
      </c>
      <c r="Q38" s="43">
        <f>+Q37*Q34</f>
        <v>84.561349090909076</v>
      </c>
    </row>
    <row r="39" spans="1:20" x14ac:dyDescent="0.2">
      <c r="A39" s="29"/>
      <c r="B39" s="34"/>
      <c r="C39" s="54"/>
      <c r="D39" s="55"/>
      <c r="E39" s="27">
        <f t="shared" si="6"/>
        <v>0</v>
      </c>
      <c r="F39" s="54"/>
      <c r="G39" s="55"/>
      <c r="H39" s="27"/>
      <c r="I39" s="35"/>
      <c r="J39" s="54"/>
      <c r="K39" s="55"/>
      <c r="L39" s="27">
        <f t="shared" si="8"/>
        <v>0</v>
      </c>
      <c r="M39" s="35">
        <f t="shared" si="7"/>
        <v>0</v>
      </c>
      <c r="N39" s="44">
        <f t="shared" si="9"/>
        <v>0</v>
      </c>
      <c r="O39" s="35">
        <f t="shared" si="10"/>
        <v>0</v>
      </c>
      <c r="P39" s="3" t="s">
        <v>71</v>
      </c>
      <c r="Q39" s="43">
        <v>102.84</v>
      </c>
    </row>
    <row r="40" spans="1:20" x14ac:dyDescent="0.2">
      <c r="A40" s="25">
        <f>+A38+1</f>
        <v>9</v>
      </c>
      <c r="B40" s="34" t="s">
        <v>33</v>
      </c>
      <c r="C40" s="54"/>
      <c r="D40" s="55"/>
      <c r="E40" s="27">
        <f t="shared" si="6"/>
        <v>0</v>
      </c>
      <c r="F40" s="54">
        <f>+H40-G40</f>
        <v>6450</v>
      </c>
      <c r="G40" s="55"/>
      <c r="H40" s="27">
        <f>+I40-E37</f>
        <v>6450</v>
      </c>
      <c r="I40" s="35">
        <v>6450</v>
      </c>
      <c r="J40" s="54">
        <f>3964</f>
        <v>3964</v>
      </c>
      <c r="K40" s="55"/>
      <c r="L40" s="27">
        <f t="shared" si="8"/>
        <v>3964</v>
      </c>
      <c r="M40" s="35">
        <f t="shared" si="7"/>
        <v>3964</v>
      </c>
      <c r="N40" s="44">
        <f t="shared" si="9"/>
        <v>10414</v>
      </c>
      <c r="O40" s="35">
        <f t="shared" si="10"/>
        <v>0</v>
      </c>
      <c r="P40" s="3" t="s">
        <v>72</v>
      </c>
      <c r="Q40" s="43">
        <f>+Q38-Q39</f>
        <v>-18.278650909090928</v>
      </c>
    </row>
    <row r="41" spans="1:20" x14ac:dyDescent="0.2">
      <c r="A41" s="29"/>
      <c r="B41" s="34"/>
      <c r="C41" s="54"/>
      <c r="D41" s="55"/>
      <c r="E41" s="27">
        <f t="shared" si="6"/>
        <v>0</v>
      </c>
      <c r="F41" s="54">
        <f>+H41-G41</f>
        <v>0</v>
      </c>
      <c r="G41" s="55"/>
      <c r="H41" s="27">
        <f>+I41-E40</f>
        <v>0</v>
      </c>
      <c r="I41" s="35"/>
      <c r="J41" s="54"/>
      <c r="K41" s="55"/>
      <c r="L41" s="27">
        <f t="shared" si="8"/>
        <v>0</v>
      </c>
      <c r="M41" s="35">
        <f t="shared" si="7"/>
        <v>0</v>
      </c>
      <c r="N41" s="44">
        <f t="shared" si="9"/>
        <v>0</v>
      </c>
      <c r="O41" s="35">
        <f t="shared" si="10"/>
        <v>0</v>
      </c>
    </row>
    <row r="42" spans="1:20" x14ac:dyDescent="0.2">
      <c r="A42" s="25">
        <f>A40+1</f>
        <v>10</v>
      </c>
      <c r="B42" s="26" t="s">
        <v>17</v>
      </c>
      <c r="C42" s="54">
        <v>581645.96</v>
      </c>
      <c r="D42" s="55"/>
      <c r="E42" s="27">
        <f t="shared" si="6"/>
        <v>581645.96</v>
      </c>
      <c r="F42" s="54">
        <f>+H42-G42</f>
        <v>358845</v>
      </c>
      <c r="G42" s="55"/>
      <c r="H42" s="27">
        <f>+I42-E42</f>
        <v>358845</v>
      </c>
      <c r="I42" s="35">
        <v>940490.96</v>
      </c>
      <c r="J42" s="54">
        <f>121966</f>
        <v>121966</v>
      </c>
      <c r="K42" s="55"/>
      <c r="L42" s="27">
        <f t="shared" si="8"/>
        <v>121966</v>
      </c>
      <c r="M42" s="35">
        <f t="shared" si="7"/>
        <v>121966</v>
      </c>
      <c r="N42" s="44">
        <f t="shared" si="9"/>
        <v>1062456.96</v>
      </c>
      <c r="O42" s="35">
        <f t="shared" si="10"/>
        <v>0</v>
      </c>
    </row>
    <row r="43" spans="1:20" x14ac:dyDescent="0.2">
      <c r="A43" s="29"/>
      <c r="B43" s="34"/>
      <c r="C43" s="54"/>
      <c r="D43" s="55"/>
      <c r="E43" s="27">
        <f t="shared" si="6"/>
        <v>0</v>
      </c>
      <c r="F43" s="54"/>
      <c r="G43" s="55"/>
      <c r="H43" s="27"/>
      <c r="I43" s="35"/>
      <c r="J43" s="54"/>
      <c r="K43" s="55"/>
      <c r="L43" s="27">
        <f t="shared" si="8"/>
        <v>0</v>
      </c>
      <c r="M43" s="35">
        <f t="shared" si="7"/>
        <v>0</v>
      </c>
      <c r="N43" s="44">
        <f t="shared" si="9"/>
        <v>0</v>
      </c>
      <c r="O43" s="35">
        <f t="shared" si="10"/>
        <v>0</v>
      </c>
    </row>
    <row r="44" spans="1:20" x14ac:dyDescent="0.2">
      <c r="A44" s="25">
        <f>A42+1</f>
        <v>11</v>
      </c>
      <c r="B44" s="34" t="s">
        <v>18</v>
      </c>
      <c r="C44" s="54">
        <v>179190</v>
      </c>
      <c r="D44" s="55"/>
      <c r="E44" s="27">
        <f t="shared" si="6"/>
        <v>179190</v>
      </c>
      <c r="F44" s="54">
        <f t="shared" ref="F44:F55" si="11">+H44-G44</f>
        <v>620662.19999999995</v>
      </c>
      <c r="G44" s="55"/>
      <c r="H44" s="27">
        <f t="shared" ref="H44:H55" si="12">+I44-E44</f>
        <v>620662.19999999995</v>
      </c>
      <c r="I44" s="35">
        <f>599228.2+15060+7282+84330+54382+39570</f>
        <v>799852.2</v>
      </c>
      <c r="J44" s="54">
        <f>181684.85+2097+1203+3667+14222.55+49220</f>
        <v>252094.4</v>
      </c>
      <c r="K44" s="55"/>
      <c r="L44" s="27">
        <f t="shared" si="8"/>
        <v>252094.4</v>
      </c>
      <c r="M44" s="35">
        <f t="shared" si="7"/>
        <v>252094.4</v>
      </c>
      <c r="N44" s="44">
        <f t="shared" si="9"/>
        <v>1051946.5999999999</v>
      </c>
      <c r="O44" s="35">
        <f t="shared" si="10"/>
        <v>0</v>
      </c>
    </row>
    <row r="45" spans="1:20" x14ac:dyDescent="0.2">
      <c r="A45" s="25"/>
      <c r="B45" s="34"/>
      <c r="C45" s="54"/>
      <c r="D45" s="55"/>
      <c r="E45" s="27"/>
      <c r="F45" s="54">
        <f t="shared" si="11"/>
        <v>0</v>
      </c>
      <c r="G45" s="55"/>
      <c r="H45" s="27">
        <f t="shared" si="12"/>
        <v>0</v>
      </c>
      <c r="I45" s="35"/>
      <c r="J45" s="54"/>
      <c r="K45" s="55"/>
      <c r="L45" s="27">
        <f t="shared" si="8"/>
        <v>0</v>
      </c>
      <c r="M45" s="35">
        <f t="shared" si="7"/>
        <v>0</v>
      </c>
      <c r="N45" s="44">
        <f t="shared" si="9"/>
        <v>0</v>
      </c>
      <c r="O45" s="35">
        <f t="shared" si="10"/>
        <v>0</v>
      </c>
    </row>
    <row r="46" spans="1:20" x14ac:dyDescent="0.2">
      <c r="A46" s="25">
        <v>11</v>
      </c>
      <c r="B46" s="34" t="s">
        <v>43</v>
      </c>
      <c r="C46" s="54"/>
      <c r="D46" s="55"/>
      <c r="E46" s="27">
        <f t="shared" ref="E46:E55" si="13">SUM(C46:D46)</f>
        <v>0</v>
      </c>
      <c r="F46" s="54">
        <f t="shared" si="11"/>
        <v>87253.39</v>
      </c>
      <c r="G46" s="55"/>
      <c r="H46" s="27">
        <f t="shared" si="12"/>
        <v>87253.39</v>
      </c>
      <c r="I46" s="35">
        <v>87253.39</v>
      </c>
      <c r="J46" s="54"/>
      <c r="K46" s="55"/>
      <c r="L46" s="27">
        <f t="shared" si="8"/>
        <v>0</v>
      </c>
      <c r="M46" s="35">
        <f t="shared" si="7"/>
        <v>0</v>
      </c>
      <c r="N46" s="44">
        <f t="shared" si="9"/>
        <v>87253.39</v>
      </c>
      <c r="O46" s="35">
        <f t="shared" si="10"/>
        <v>0</v>
      </c>
    </row>
    <row r="47" spans="1:20" x14ac:dyDescent="0.2">
      <c r="A47" s="25"/>
      <c r="B47" s="34"/>
      <c r="C47" s="54"/>
      <c r="D47" s="55"/>
      <c r="E47" s="27">
        <f t="shared" si="13"/>
        <v>0</v>
      </c>
      <c r="F47" s="54">
        <f t="shared" si="11"/>
        <v>0</v>
      </c>
      <c r="G47" s="55"/>
      <c r="H47" s="27">
        <f t="shared" si="12"/>
        <v>0</v>
      </c>
      <c r="I47" s="35"/>
      <c r="J47" s="54"/>
      <c r="K47" s="55"/>
      <c r="L47" s="27">
        <f t="shared" si="8"/>
        <v>0</v>
      </c>
      <c r="M47" s="35">
        <f t="shared" si="7"/>
        <v>0</v>
      </c>
      <c r="N47" s="44">
        <f t="shared" si="9"/>
        <v>0</v>
      </c>
      <c r="O47" s="35">
        <f t="shared" si="10"/>
        <v>0</v>
      </c>
    </row>
    <row r="48" spans="1:20" x14ac:dyDescent="0.2">
      <c r="A48" s="25">
        <v>12</v>
      </c>
      <c r="B48" s="34" t="s">
        <v>19</v>
      </c>
      <c r="C48" s="54"/>
      <c r="D48" s="55"/>
      <c r="E48" s="27">
        <f t="shared" si="13"/>
        <v>0</v>
      </c>
      <c r="F48" s="54">
        <f t="shared" si="11"/>
        <v>8089</v>
      </c>
      <c r="G48" s="55"/>
      <c r="H48" s="27">
        <f t="shared" si="12"/>
        <v>8089</v>
      </c>
      <c r="I48" s="35">
        <v>8089</v>
      </c>
      <c r="J48" s="54">
        <f>3115</f>
        <v>3115</v>
      </c>
      <c r="K48" s="55"/>
      <c r="L48" s="27">
        <f t="shared" si="8"/>
        <v>3115</v>
      </c>
      <c r="M48" s="35">
        <f t="shared" si="7"/>
        <v>3115</v>
      </c>
      <c r="N48" s="44">
        <f t="shared" si="9"/>
        <v>11204</v>
      </c>
      <c r="O48" s="35">
        <f t="shared" si="10"/>
        <v>0</v>
      </c>
    </row>
    <row r="49" spans="1:15" x14ac:dyDescent="0.2">
      <c r="A49" s="25"/>
      <c r="B49" s="34"/>
      <c r="C49" s="54"/>
      <c r="D49" s="55"/>
      <c r="E49" s="27">
        <f t="shared" si="13"/>
        <v>0</v>
      </c>
      <c r="F49" s="54">
        <f t="shared" si="11"/>
        <v>0</v>
      </c>
      <c r="G49" s="55"/>
      <c r="H49" s="27">
        <f t="shared" si="12"/>
        <v>0</v>
      </c>
      <c r="I49" s="35"/>
      <c r="J49" s="54"/>
      <c r="K49" s="55"/>
      <c r="L49" s="27">
        <f t="shared" si="8"/>
        <v>0</v>
      </c>
      <c r="M49" s="35">
        <f t="shared" si="7"/>
        <v>0</v>
      </c>
      <c r="N49" s="44">
        <f t="shared" si="9"/>
        <v>0</v>
      </c>
      <c r="O49" s="35">
        <f t="shared" si="10"/>
        <v>0</v>
      </c>
    </row>
    <row r="50" spans="1:15" x14ac:dyDescent="0.2">
      <c r="A50" s="25">
        <f>A48+1</f>
        <v>13</v>
      </c>
      <c r="B50" s="34" t="s">
        <v>35</v>
      </c>
      <c r="C50" s="54"/>
      <c r="D50" s="55"/>
      <c r="E50" s="27">
        <f t="shared" si="13"/>
        <v>0</v>
      </c>
      <c r="F50" s="54">
        <f t="shared" si="11"/>
        <v>0</v>
      </c>
      <c r="G50" s="55"/>
      <c r="H50" s="27">
        <f t="shared" si="12"/>
        <v>0</v>
      </c>
      <c r="I50" s="35"/>
      <c r="J50" s="54"/>
      <c r="K50" s="55"/>
      <c r="L50" s="27">
        <f t="shared" si="8"/>
        <v>0</v>
      </c>
      <c r="M50" s="35">
        <f t="shared" si="7"/>
        <v>0</v>
      </c>
      <c r="N50" s="44">
        <f t="shared" si="9"/>
        <v>0</v>
      </c>
      <c r="O50" s="35">
        <f t="shared" si="10"/>
        <v>0</v>
      </c>
    </row>
    <row r="51" spans="1:15" x14ac:dyDescent="0.2">
      <c r="A51" s="25"/>
      <c r="B51" s="34"/>
      <c r="C51" s="54"/>
      <c r="D51" s="55"/>
      <c r="E51" s="27">
        <f t="shared" si="13"/>
        <v>0</v>
      </c>
      <c r="F51" s="54">
        <f t="shared" si="11"/>
        <v>0</v>
      </c>
      <c r="G51" s="55"/>
      <c r="H51" s="27">
        <f t="shared" si="12"/>
        <v>0</v>
      </c>
      <c r="I51" s="35"/>
      <c r="J51" s="54"/>
      <c r="K51" s="55"/>
      <c r="L51" s="27">
        <f t="shared" si="8"/>
        <v>0</v>
      </c>
      <c r="M51" s="35">
        <f t="shared" si="7"/>
        <v>0</v>
      </c>
      <c r="N51" s="44">
        <f t="shared" si="9"/>
        <v>0</v>
      </c>
      <c r="O51" s="35">
        <f t="shared" si="10"/>
        <v>0</v>
      </c>
    </row>
    <row r="52" spans="1:15" x14ac:dyDescent="0.2">
      <c r="A52" s="25">
        <f>A50+1</f>
        <v>14</v>
      </c>
      <c r="B52" s="34" t="s">
        <v>20</v>
      </c>
      <c r="C52" s="54">
        <f>1065+9826+4370</f>
        <v>15261</v>
      </c>
      <c r="D52" s="55"/>
      <c r="E52" s="27">
        <f t="shared" si="13"/>
        <v>15261</v>
      </c>
      <c r="F52" s="54">
        <f t="shared" si="11"/>
        <v>113909</v>
      </c>
      <c r="G52" s="55"/>
      <c r="H52" s="27">
        <f t="shared" si="12"/>
        <v>113909</v>
      </c>
      <c r="I52" s="35">
        <f>1065+1324+9826+4540+61558+772+7510+25582+16993</f>
        <v>129170</v>
      </c>
      <c r="J52" s="54">
        <f>2124+17000+135+1000+2800+6849</f>
        <v>29908</v>
      </c>
      <c r="K52" s="55"/>
      <c r="L52" s="27">
        <f t="shared" si="8"/>
        <v>29908</v>
      </c>
      <c r="M52" s="35">
        <f t="shared" si="7"/>
        <v>29908</v>
      </c>
      <c r="N52" s="44">
        <f t="shared" si="9"/>
        <v>159078</v>
      </c>
      <c r="O52" s="35">
        <f t="shared" si="10"/>
        <v>0</v>
      </c>
    </row>
    <row r="53" spans="1:15" x14ac:dyDescent="0.2">
      <c r="A53" s="36"/>
      <c r="B53" s="26"/>
      <c r="C53" s="54"/>
      <c r="D53" s="55"/>
      <c r="E53" s="27">
        <f t="shared" si="13"/>
        <v>0</v>
      </c>
      <c r="F53" s="54">
        <f t="shared" si="11"/>
        <v>0</v>
      </c>
      <c r="G53" s="55"/>
      <c r="H53" s="27">
        <f t="shared" si="12"/>
        <v>0</v>
      </c>
      <c r="I53" s="35"/>
      <c r="J53" s="54"/>
      <c r="K53" s="55"/>
      <c r="L53" s="27">
        <f t="shared" si="8"/>
        <v>0</v>
      </c>
      <c r="M53" s="35">
        <f t="shared" si="7"/>
        <v>0</v>
      </c>
      <c r="N53" s="44">
        <f t="shared" si="9"/>
        <v>0</v>
      </c>
      <c r="O53" s="35">
        <f t="shared" si="10"/>
        <v>0</v>
      </c>
    </row>
    <row r="54" spans="1:15" x14ac:dyDescent="0.2">
      <c r="A54" s="25">
        <f>A52+1</f>
        <v>15</v>
      </c>
      <c r="B54" s="26" t="s">
        <v>50</v>
      </c>
      <c r="C54" s="54"/>
      <c r="D54" s="55"/>
      <c r="E54" s="27">
        <f t="shared" si="13"/>
        <v>0</v>
      </c>
      <c r="F54" s="54">
        <f t="shared" si="11"/>
        <v>0</v>
      </c>
      <c r="G54" s="55">
        <v>5969439</v>
      </c>
      <c r="H54" s="27">
        <f t="shared" si="12"/>
        <v>5969439</v>
      </c>
      <c r="I54" s="35">
        <v>5969439</v>
      </c>
      <c r="J54" s="54"/>
      <c r="K54" s="68">
        <f>ROUND(L10*3%,0)</f>
        <v>2535473</v>
      </c>
      <c r="L54" s="27">
        <f t="shared" si="8"/>
        <v>2535473</v>
      </c>
      <c r="M54" s="35">
        <f t="shared" si="7"/>
        <v>2535473</v>
      </c>
      <c r="N54" s="44">
        <f t="shared" si="9"/>
        <v>8504912</v>
      </c>
      <c r="O54" s="35">
        <f t="shared" si="10"/>
        <v>8504912</v>
      </c>
    </row>
    <row r="55" spans="1:15" x14ac:dyDescent="0.2">
      <c r="A55" s="36"/>
      <c r="B55" s="34"/>
      <c r="C55" s="54"/>
      <c r="D55" s="55"/>
      <c r="E55" s="27">
        <f t="shared" si="13"/>
        <v>0</v>
      </c>
      <c r="F55" s="54">
        <f t="shared" si="11"/>
        <v>0</v>
      </c>
      <c r="G55" s="55"/>
      <c r="H55" s="27">
        <f t="shared" si="12"/>
        <v>0</v>
      </c>
      <c r="I55" s="35"/>
      <c r="J55" s="54"/>
      <c r="K55" s="55"/>
      <c r="L55" s="27">
        <f>SUM(J55:K55)</f>
        <v>0</v>
      </c>
      <c r="M55" s="35"/>
      <c r="N55" s="44">
        <f>+I55</f>
        <v>0</v>
      </c>
      <c r="O55" s="35">
        <f>+D55</f>
        <v>0</v>
      </c>
    </row>
    <row r="56" spans="1:15" ht="13.5" thickBot="1" x14ac:dyDescent="0.25">
      <c r="A56" s="29"/>
      <c r="B56" s="30" t="s">
        <v>21</v>
      </c>
      <c r="C56" s="56">
        <f t="shared" ref="C56:N56" si="14">SUM(C21:C55)</f>
        <v>838266.88</v>
      </c>
      <c r="D56" s="57">
        <f t="shared" si="14"/>
        <v>500000</v>
      </c>
      <c r="E56" s="31">
        <f t="shared" si="14"/>
        <v>1338266.8799999999</v>
      </c>
      <c r="F56" s="56">
        <f t="shared" si="14"/>
        <v>183609572.96000001</v>
      </c>
      <c r="G56" s="57">
        <f t="shared" si="14"/>
        <v>29060439</v>
      </c>
      <c r="H56" s="31">
        <f t="shared" si="14"/>
        <v>212670011.96000001</v>
      </c>
      <c r="I56" s="32">
        <f t="shared" si="14"/>
        <v>214008278.84</v>
      </c>
      <c r="J56" s="56">
        <f>SUM(J21:J55)</f>
        <v>86354003.200000003</v>
      </c>
      <c r="K56" s="57">
        <f>SUM(K21:K55)</f>
        <v>10744386.5</v>
      </c>
      <c r="L56" s="31">
        <f>SUM(L21:L55)</f>
        <v>97098389.700000003</v>
      </c>
      <c r="M56" s="32">
        <f>SUM(M21:M55)</f>
        <v>97098389.700000003</v>
      </c>
      <c r="N56" s="32">
        <f t="shared" si="14"/>
        <v>311106668.54000002</v>
      </c>
      <c r="O56" s="65">
        <f>SUM(O22:O55)</f>
        <v>42132825.5</v>
      </c>
    </row>
    <row r="57" spans="1:15" ht="14.25" thickTop="1" thickBot="1" x14ac:dyDescent="0.25">
      <c r="A57" s="37" t="s">
        <v>22</v>
      </c>
      <c r="B57" s="38" t="s">
        <v>23</v>
      </c>
      <c r="C57" s="58"/>
      <c r="D57" s="59"/>
      <c r="E57" s="39">
        <f>E20-E56</f>
        <v>-1338266.8799999999</v>
      </c>
      <c r="F57" s="75"/>
      <c r="G57" s="76"/>
      <c r="H57" s="39">
        <f>H20-H56</f>
        <v>13103135.409999996</v>
      </c>
      <c r="I57" s="40">
        <f>I20-I56</f>
        <v>11764868.530000001</v>
      </c>
      <c r="J57" s="58"/>
      <c r="K57" s="59"/>
      <c r="L57" s="39">
        <f>L20-L56</f>
        <v>6011722.5899999887</v>
      </c>
      <c r="M57" s="40">
        <f>M20-M56</f>
        <v>6011722.5899999887</v>
      </c>
      <c r="N57" s="40">
        <f>N20-N56</f>
        <v>17776591.119999945</v>
      </c>
      <c r="O57" s="41"/>
    </row>
    <row r="58" spans="1:15" ht="16.5" thickTop="1" x14ac:dyDescent="0.25">
      <c r="A58" s="1"/>
      <c r="B58" s="42"/>
      <c r="E58" s="77" t="e">
        <f>+D54/C10</f>
        <v>#DIV/0!</v>
      </c>
      <c r="I58" s="77">
        <f>+I54/I10</f>
        <v>3.0000001507679442E-2</v>
      </c>
      <c r="L58" s="77">
        <f>+K54/J10</f>
        <v>2.9999999956221188E-2</v>
      </c>
      <c r="M58" s="77">
        <f>+M54/M10</f>
        <v>2.9999999956221188E-2</v>
      </c>
      <c r="N58" s="43">
        <f>+E57+H57+L57</f>
        <v>17776591.119999986</v>
      </c>
      <c r="O58" s="43">
        <f>+N58-N57</f>
        <v>4.0978193283081055E-8</v>
      </c>
    </row>
    <row r="59" spans="1:15" x14ac:dyDescent="0.2">
      <c r="K59" s="82" t="s">
        <v>5</v>
      </c>
      <c r="L59" s="82" t="s">
        <v>61</v>
      </c>
      <c r="M59" s="82" t="s">
        <v>60</v>
      </c>
      <c r="N59" s="83" t="s">
        <v>62</v>
      </c>
      <c r="O59" s="84" t="s">
        <v>30</v>
      </c>
    </row>
    <row r="60" spans="1:15" x14ac:dyDescent="0.2">
      <c r="J60" s="64" t="s">
        <v>32</v>
      </c>
      <c r="K60" s="43">
        <f>4490+550</f>
        <v>5040</v>
      </c>
      <c r="L60" s="3">
        <v>1989.81</v>
      </c>
      <c r="M60" s="43">
        <f>+K60-L60</f>
        <v>3050.19</v>
      </c>
      <c r="N60" s="43">
        <f>(+M10+M18)/100000</f>
        <v>924.5370678999999</v>
      </c>
      <c r="O60" s="43">
        <f>M60-N60</f>
        <v>2125.6529321000003</v>
      </c>
    </row>
    <row r="61" spans="1:15" x14ac:dyDescent="0.2">
      <c r="J61" s="63" t="s">
        <v>31</v>
      </c>
      <c r="K61" s="43">
        <v>316</v>
      </c>
      <c r="L61" s="3">
        <v>117.65</v>
      </c>
      <c r="M61" s="43">
        <f>+K61-L61</f>
        <v>198.35</v>
      </c>
      <c r="N61" s="43">
        <f>+M61/M60*N60</f>
        <v>60.121476831923573</v>
      </c>
      <c r="O61" s="43">
        <f>M61-N61</f>
        <v>138.22852316807644</v>
      </c>
    </row>
    <row r="62" spans="1:15" x14ac:dyDescent="0.2">
      <c r="N62" s="43">
        <f>+M57/100000-N61</f>
        <v>-4.2509319236856413E-3</v>
      </c>
    </row>
    <row r="63" spans="1:15" x14ac:dyDescent="0.2">
      <c r="C63" s="43"/>
      <c r="J63" s="43"/>
    </row>
    <row r="64" spans="1:15" x14ac:dyDescent="0.2">
      <c r="I64" s="43">
        <f>+I56</f>
        <v>214008278.84</v>
      </c>
      <c r="L64" s="43">
        <f>+M56-K23-K33-K38-K54-K28</f>
        <v>83096910.200000003</v>
      </c>
    </row>
    <row r="65" spans="9:12" x14ac:dyDescent="0.2">
      <c r="I65" s="43">
        <v>214008278.84</v>
      </c>
      <c r="L65" s="43">
        <f>74539099.65+10385810.55</f>
        <v>84924910.200000003</v>
      </c>
    </row>
    <row r="66" spans="9:12" x14ac:dyDescent="0.2">
      <c r="I66" s="43">
        <f>+I64-I65</f>
        <v>0</v>
      </c>
      <c r="L66" s="43">
        <f>+L64-L65</f>
        <v>-1828000</v>
      </c>
    </row>
  </sheetData>
  <mergeCells count="3">
    <mergeCell ref="C6:E6"/>
    <mergeCell ref="F6:H6"/>
    <mergeCell ref="J6:L6"/>
  </mergeCells>
  <phoneticPr fontId="29" type="noConversion"/>
  <printOptions horizontalCentered="1"/>
  <pageMargins left="0.2" right="0.2" top="0.24" bottom="0.24" header="0.2" footer="0.19"/>
  <pageSetup paperSize="9" scale="57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5"/>
  <sheetViews>
    <sheetView showZeros="0" zoomScale="75" workbookViewId="0">
      <pane xSplit="2" ySplit="8" topLeftCell="C19" activePane="bottomRight" state="frozen"/>
      <selection pane="topRight" activeCell="C1" sqref="C1"/>
      <selection pane="bottomLeft" activeCell="A9" sqref="A9"/>
      <selection pane="bottomRight" activeCell="J58" sqref="J58"/>
    </sheetView>
  </sheetViews>
  <sheetFormatPr defaultRowHeight="12.75" x14ac:dyDescent="0.2"/>
  <cols>
    <col min="1" max="1" width="5.7109375" style="3" customWidth="1"/>
    <col min="2" max="2" width="24.140625" style="3" customWidth="1"/>
    <col min="3" max="9" width="14.85546875" style="3" customWidth="1"/>
    <col min="10" max="10" width="16.28515625" style="3" customWidth="1"/>
    <col min="11" max="11" width="15" style="3" customWidth="1"/>
    <col min="12" max="12" width="7.28515625" style="3" customWidth="1"/>
    <col min="13" max="13" width="13.42578125" style="43" customWidth="1"/>
    <col min="14" max="16384" width="9.140625" style="3"/>
  </cols>
  <sheetData>
    <row r="1" spans="1:13" ht="22.5" x14ac:dyDescent="0.3">
      <c r="A1" s="4" t="s">
        <v>0</v>
      </c>
      <c r="B1" s="5"/>
    </row>
    <row r="2" spans="1:13" ht="17.25" customHeight="1" x14ac:dyDescent="0.3">
      <c r="A2" s="4"/>
      <c r="B2" s="5"/>
      <c r="K2" s="2" t="s">
        <v>53</v>
      </c>
    </row>
    <row r="3" spans="1:13" ht="18.75" x14ac:dyDescent="0.3">
      <c r="A3" s="7" t="s">
        <v>51</v>
      </c>
      <c r="B3" s="6"/>
      <c r="K3" s="67" t="s">
        <v>57</v>
      </c>
      <c r="M3" s="79"/>
    </row>
    <row r="4" spans="1:13" ht="17.25" customHeight="1" x14ac:dyDescent="0.3">
      <c r="A4" s="7" t="s">
        <v>52</v>
      </c>
      <c r="B4" s="6"/>
      <c r="M4" s="79"/>
    </row>
    <row r="5" spans="1:13" ht="19.5" thickBot="1" x14ac:dyDescent="0.35">
      <c r="A5" s="8" t="s">
        <v>24</v>
      </c>
      <c r="B5" s="6"/>
      <c r="C5" s="61"/>
      <c r="D5" s="61"/>
      <c r="E5" s="61" t="s">
        <v>55</v>
      </c>
      <c r="F5" s="61"/>
      <c r="G5" s="61"/>
      <c r="H5" s="61"/>
      <c r="I5" s="61" t="s">
        <v>55</v>
      </c>
      <c r="K5" s="43">
        <f>SUM(K23:K51)</f>
        <v>23591000</v>
      </c>
    </row>
    <row r="6" spans="1:13" ht="16.5" customHeight="1" thickTop="1" x14ac:dyDescent="0.2">
      <c r="A6" s="9" t="s">
        <v>1</v>
      </c>
      <c r="B6" s="10"/>
      <c r="C6" s="96" t="s">
        <v>42</v>
      </c>
      <c r="D6" s="97"/>
      <c r="E6" s="98"/>
      <c r="F6" s="96" t="s">
        <v>54</v>
      </c>
      <c r="G6" s="97"/>
      <c r="H6" s="98"/>
      <c r="I6" s="46" t="s">
        <v>5</v>
      </c>
      <c r="J6" s="11" t="s">
        <v>2</v>
      </c>
      <c r="K6" s="12"/>
    </row>
    <row r="7" spans="1:13" ht="13.5" thickBot="1" x14ac:dyDescent="0.25">
      <c r="A7" s="13" t="s">
        <v>3</v>
      </c>
      <c r="B7" s="14" t="s">
        <v>4</v>
      </c>
      <c r="C7" s="49" t="s">
        <v>34</v>
      </c>
      <c r="D7" s="50" t="s">
        <v>26</v>
      </c>
      <c r="E7" s="15" t="s">
        <v>5</v>
      </c>
      <c r="F7" s="49" t="s">
        <v>34</v>
      </c>
      <c r="G7" s="50" t="s">
        <v>26</v>
      </c>
      <c r="H7" s="15" t="s">
        <v>5</v>
      </c>
      <c r="I7" s="47" t="s">
        <v>37</v>
      </c>
      <c r="J7" s="16" t="s">
        <v>5</v>
      </c>
      <c r="K7" s="17" t="s">
        <v>6</v>
      </c>
    </row>
    <row r="8" spans="1:13" ht="13.5" thickTop="1" x14ac:dyDescent="0.2">
      <c r="A8" s="18"/>
      <c r="B8" s="19"/>
      <c r="C8" s="51" t="s">
        <v>7</v>
      </c>
      <c r="D8" s="52" t="s">
        <v>7</v>
      </c>
      <c r="E8" s="53" t="s">
        <v>7</v>
      </c>
      <c r="F8" s="51"/>
      <c r="G8" s="52"/>
      <c r="H8" s="53"/>
      <c r="I8" s="21"/>
      <c r="J8" s="20"/>
      <c r="K8" s="21"/>
    </row>
    <row r="9" spans="1:13" x14ac:dyDescent="0.2">
      <c r="A9" s="22" t="s">
        <v>8</v>
      </c>
      <c r="B9" s="23" t="s">
        <v>9</v>
      </c>
      <c r="C9" s="54"/>
      <c r="D9" s="55"/>
      <c r="E9" s="27"/>
      <c r="F9" s="70"/>
      <c r="G9" s="71"/>
      <c r="H9" s="72"/>
      <c r="I9" s="73"/>
      <c r="J9" s="45"/>
      <c r="K9" s="24"/>
    </row>
    <row r="10" spans="1:13" x14ac:dyDescent="0.2">
      <c r="A10" s="25">
        <v>1</v>
      </c>
      <c r="B10" s="26" t="s">
        <v>10</v>
      </c>
      <c r="C10" s="54"/>
      <c r="D10" s="55"/>
      <c r="E10" s="27">
        <f>SUM(C10:D10)</f>
        <v>0</v>
      </c>
      <c r="F10" s="54">
        <f t="shared" ref="F10:F19" si="0">+H10-G10</f>
        <v>198981290</v>
      </c>
      <c r="G10" s="55"/>
      <c r="H10" s="27">
        <f t="shared" ref="H10:H19" si="1">+I10-E10</f>
        <v>198981290</v>
      </c>
      <c r="I10" s="35">
        <f>87693000+111288290</f>
        <v>198981290</v>
      </c>
      <c r="J10" s="44">
        <f t="shared" ref="J10:J18" si="2">+I10</f>
        <v>198981290</v>
      </c>
      <c r="K10" s="28"/>
    </row>
    <row r="11" spans="1:13" x14ac:dyDescent="0.2">
      <c r="A11" s="25"/>
      <c r="B11" s="26"/>
      <c r="C11" s="54"/>
      <c r="D11" s="55"/>
      <c r="E11" s="27">
        <f>SUM(C11:D11)</f>
        <v>0</v>
      </c>
      <c r="F11" s="54">
        <f t="shared" si="0"/>
        <v>0</v>
      </c>
      <c r="G11" s="55"/>
      <c r="H11" s="27">
        <f t="shared" si="1"/>
        <v>0</v>
      </c>
      <c r="I11" s="35"/>
      <c r="J11" s="44">
        <f t="shared" si="2"/>
        <v>0</v>
      </c>
      <c r="K11" s="28"/>
    </row>
    <row r="12" spans="1:13" x14ac:dyDescent="0.2">
      <c r="A12" s="25">
        <f>A10+1</f>
        <v>2</v>
      </c>
      <c r="B12" s="26" t="s">
        <v>44</v>
      </c>
      <c r="C12" s="54"/>
      <c r="D12" s="55"/>
      <c r="E12" s="27">
        <f>SUM(C12:D12)</f>
        <v>0</v>
      </c>
      <c r="F12" s="54">
        <f t="shared" si="0"/>
        <v>18254020.190000001</v>
      </c>
      <c r="G12" s="55"/>
      <c r="H12" s="27">
        <f t="shared" si="1"/>
        <v>18254020.190000001</v>
      </c>
      <c r="I12" s="35">
        <v>18254020.190000001</v>
      </c>
      <c r="J12" s="44">
        <f t="shared" si="2"/>
        <v>18254020.190000001</v>
      </c>
      <c r="K12" s="28"/>
    </row>
    <row r="13" spans="1:13" x14ac:dyDescent="0.2">
      <c r="A13" s="25"/>
      <c r="B13" s="26"/>
      <c r="C13" s="54"/>
      <c r="D13" s="55"/>
      <c r="E13" s="27">
        <f>SUM(C13:D13)</f>
        <v>0</v>
      </c>
      <c r="F13" s="54">
        <f t="shared" si="0"/>
        <v>0</v>
      </c>
      <c r="G13" s="55"/>
      <c r="H13" s="27">
        <f t="shared" si="1"/>
        <v>0</v>
      </c>
      <c r="I13" s="35"/>
      <c r="J13" s="44">
        <f t="shared" si="2"/>
        <v>0</v>
      </c>
      <c r="K13" s="28"/>
    </row>
    <row r="14" spans="1:13" x14ac:dyDescent="0.2">
      <c r="A14" s="25">
        <f>A12+1</f>
        <v>3</v>
      </c>
      <c r="B14" s="26" t="s">
        <v>45</v>
      </c>
      <c r="C14" s="54"/>
      <c r="D14" s="55"/>
      <c r="E14" s="27">
        <f>SUM(C14:D14)</f>
        <v>0</v>
      </c>
      <c r="F14" s="54">
        <f t="shared" si="0"/>
        <v>1454103.24</v>
      </c>
      <c r="G14" s="55"/>
      <c r="H14" s="27">
        <f t="shared" si="1"/>
        <v>1454103.24</v>
      </c>
      <c r="I14" s="35">
        <v>1454103.24</v>
      </c>
      <c r="J14" s="44">
        <f t="shared" si="2"/>
        <v>1454103.24</v>
      </c>
      <c r="K14" s="28"/>
    </row>
    <row r="15" spans="1:13" x14ac:dyDescent="0.2">
      <c r="A15" s="25"/>
      <c r="B15" s="26"/>
      <c r="C15" s="54"/>
      <c r="D15" s="55"/>
      <c r="E15" s="27"/>
      <c r="F15" s="54">
        <f t="shared" si="0"/>
        <v>0</v>
      </c>
      <c r="G15" s="55"/>
      <c r="H15" s="27">
        <f t="shared" si="1"/>
        <v>0</v>
      </c>
      <c r="I15" s="35"/>
      <c r="J15" s="44">
        <f t="shared" si="2"/>
        <v>0</v>
      </c>
      <c r="K15" s="28"/>
    </row>
    <row r="16" spans="1:13" x14ac:dyDescent="0.2">
      <c r="A16" s="25">
        <v>4</v>
      </c>
      <c r="B16" s="26" t="s">
        <v>15</v>
      </c>
      <c r="C16" s="54"/>
      <c r="D16" s="55"/>
      <c r="E16" s="27">
        <f>SUM(C16:D16)</f>
        <v>0</v>
      </c>
      <c r="F16" s="54">
        <f t="shared" si="0"/>
        <v>7083733.9400000004</v>
      </c>
      <c r="G16" s="55"/>
      <c r="H16" s="27">
        <f t="shared" si="1"/>
        <v>7083733.9400000004</v>
      </c>
      <c r="I16" s="35">
        <v>7083733.9400000004</v>
      </c>
      <c r="J16" s="44">
        <f t="shared" si="2"/>
        <v>7083733.9400000004</v>
      </c>
      <c r="K16" s="28"/>
    </row>
    <row r="17" spans="1:13" x14ac:dyDescent="0.2">
      <c r="A17" s="25"/>
      <c r="B17" s="26"/>
      <c r="C17" s="54"/>
      <c r="D17" s="55"/>
      <c r="E17" s="27"/>
      <c r="F17" s="54">
        <f t="shared" si="0"/>
        <v>0</v>
      </c>
      <c r="G17" s="55"/>
      <c r="H17" s="27">
        <f t="shared" si="1"/>
        <v>0</v>
      </c>
      <c r="I17" s="35"/>
      <c r="J17" s="44">
        <f t="shared" si="2"/>
        <v>0</v>
      </c>
      <c r="K17" s="28"/>
    </row>
    <row r="18" spans="1:13" x14ac:dyDescent="0.2">
      <c r="A18" s="25">
        <v>5</v>
      </c>
      <c r="B18" s="26" t="s">
        <v>46</v>
      </c>
      <c r="C18" s="54"/>
      <c r="D18" s="55"/>
      <c r="E18" s="27">
        <f>SUM(C18:D18)</f>
        <v>0</v>
      </c>
      <c r="F18" s="54">
        <f t="shared" si="0"/>
        <v>0</v>
      </c>
      <c r="G18" s="55"/>
      <c r="H18" s="27">
        <f t="shared" si="1"/>
        <v>0</v>
      </c>
      <c r="I18" s="35"/>
      <c r="J18" s="44">
        <f t="shared" si="2"/>
        <v>0</v>
      </c>
      <c r="K18" s="28"/>
    </row>
    <row r="19" spans="1:13" x14ac:dyDescent="0.2">
      <c r="A19" s="25"/>
      <c r="B19" s="26"/>
      <c r="C19" s="54"/>
      <c r="D19" s="55"/>
      <c r="E19" s="27"/>
      <c r="F19" s="54">
        <f t="shared" si="0"/>
        <v>0</v>
      </c>
      <c r="G19" s="55"/>
      <c r="H19" s="27">
        <f t="shared" si="1"/>
        <v>0</v>
      </c>
      <c r="I19" s="35"/>
      <c r="J19" s="78"/>
      <c r="K19" s="28"/>
    </row>
    <row r="20" spans="1:13" ht="13.5" thickBot="1" x14ac:dyDescent="0.25">
      <c r="A20" s="29"/>
      <c r="B20" s="30" t="s">
        <v>11</v>
      </c>
      <c r="C20" s="56">
        <f t="shared" ref="C20:J20" si="3">SUM(C9:C19)</f>
        <v>0</v>
      </c>
      <c r="D20" s="57">
        <f t="shared" si="3"/>
        <v>0</v>
      </c>
      <c r="E20" s="31">
        <f t="shared" si="3"/>
        <v>0</v>
      </c>
      <c r="F20" s="74">
        <f t="shared" si="3"/>
        <v>225773147.37</v>
      </c>
      <c r="G20" s="57">
        <f t="shared" si="3"/>
        <v>0</v>
      </c>
      <c r="H20" s="31">
        <f t="shared" si="3"/>
        <v>225773147.37</v>
      </c>
      <c r="I20" s="32">
        <f t="shared" si="3"/>
        <v>225773147.37</v>
      </c>
      <c r="J20" s="48">
        <f t="shared" si="3"/>
        <v>225773147.37</v>
      </c>
      <c r="K20" s="28"/>
    </row>
    <row r="21" spans="1:13" ht="13.5" thickTop="1" x14ac:dyDescent="0.2">
      <c r="A21" s="29"/>
      <c r="B21" s="30"/>
      <c r="C21" s="54"/>
      <c r="D21" s="55"/>
      <c r="E21" s="27">
        <f t="shared" ref="E21:E43" si="4">SUM(C21:D21)</f>
        <v>0</v>
      </c>
      <c r="F21" s="54"/>
      <c r="G21" s="55"/>
      <c r="H21" s="27"/>
      <c r="I21" s="35"/>
      <c r="J21" s="44">
        <f t="shared" ref="J21:J54" si="5">+I21</f>
        <v>0</v>
      </c>
      <c r="K21" s="28"/>
    </row>
    <row r="22" spans="1:13" x14ac:dyDescent="0.2">
      <c r="A22" s="33" t="s">
        <v>12</v>
      </c>
      <c r="B22" s="23" t="s">
        <v>13</v>
      </c>
      <c r="C22" s="54"/>
      <c r="D22" s="55"/>
      <c r="E22" s="27">
        <f t="shared" si="4"/>
        <v>0</v>
      </c>
      <c r="F22" s="54"/>
      <c r="G22" s="55"/>
      <c r="H22" s="27"/>
      <c r="I22" s="35"/>
      <c r="J22" s="44">
        <f t="shared" si="5"/>
        <v>0</v>
      </c>
      <c r="K22" s="28"/>
    </row>
    <row r="23" spans="1:13" x14ac:dyDescent="0.2">
      <c r="A23" s="25">
        <v>1</v>
      </c>
      <c r="B23" s="26" t="s">
        <v>10</v>
      </c>
      <c r="C23" s="54">
        <v>9.92</v>
      </c>
      <c r="D23" s="55"/>
      <c r="E23" s="27">
        <f t="shared" si="4"/>
        <v>9.92</v>
      </c>
      <c r="F23" s="54">
        <f>+H23-G23</f>
        <v>175603085.82000002</v>
      </c>
      <c r="G23" s="55">
        <v>20001000</v>
      </c>
      <c r="H23" s="27">
        <f>+I23-E23</f>
        <v>195604085.82000002</v>
      </c>
      <c r="I23" s="35">
        <f>74287794.48-2421.71+101305207.5+12515.47+20001000</f>
        <v>195604095.74000001</v>
      </c>
      <c r="J23" s="44">
        <f t="shared" si="5"/>
        <v>195604095.74000001</v>
      </c>
      <c r="K23" s="35">
        <f>+D23+G23</f>
        <v>20001000</v>
      </c>
      <c r="L23" s="3" t="s">
        <v>27</v>
      </c>
      <c r="M23" s="43">
        <f>I23+I53</f>
        <v>201573534.74000001</v>
      </c>
    </row>
    <row r="24" spans="1:13" x14ac:dyDescent="0.2">
      <c r="A24" s="29"/>
      <c r="B24" s="34"/>
      <c r="C24" s="54"/>
      <c r="D24" s="55"/>
      <c r="E24" s="27">
        <f t="shared" si="4"/>
        <v>0</v>
      </c>
      <c r="F24" s="54"/>
      <c r="G24" s="55"/>
      <c r="H24" s="27"/>
      <c r="I24" s="35"/>
      <c r="J24" s="44">
        <f t="shared" si="5"/>
        <v>0</v>
      </c>
      <c r="K24" s="35">
        <f>+D24</f>
        <v>0</v>
      </c>
      <c r="L24" s="3" t="s">
        <v>28</v>
      </c>
      <c r="M24" s="43">
        <f>SUM(I27:I39)</f>
        <v>10469888.550000001</v>
      </c>
    </row>
    <row r="25" spans="1:13" x14ac:dyDescent="0.2">
      <c r="A25" s="25">
        <f>A23+1</f>
        <v>2</v>
      </c>
      <c r="B25" s="26" t="s">
        <v>14</v>
      </c>
      <c r="C25" s="54"/>
      <c r="D25" s="55"/>
      <c r="E25" s="27">
        <f t="shared" si="4"/>
        <v>0</v>
      </c>
      <c r="F25" s="54">
        <f>+H25-G25</f>
        <v>0</v>
      </c>
      <c r="G25" s="55"/>
      <c r="H25" s="27">
        <f>+I25-E24</f>
        <v>0</v>
      </c>
      <c r="I25" s="35"/>
      <c r="J25" s="44">
        <f t="shared" si="5"/>
        <v>0</v>
      </c>
      <c r="K25" s="35">
        <f>+D25</f>
        <v>0</v>
      </c>
      <c r="L25" s="3" t="s">
        <v>29</v>
      </c>
      <c r="M25" s="43">
        <f>SUM(I41:I51)</f>
        <v>1964855.5499999998</v>
      </c>
    </row>
    <row r="26" spans="1:13" ht="13.5" thickBot="1" x14ac:dyDescent="0.25">
      <c r="A26" s="25"/>
      <c r="B26" s="26"/>
      <c r="C26" s="54"/>
      <c r="D26" s="55"/>
      <c r="E26" s="27">
        <f t="shared" si="4"/>
        <v>0</v>
      </c>
      <c r="F26" s="54">
        <f>+H26-G26</f>
        <v>0</v>
      </c>
      <c r="G26" s="55"/>
      <c r="H26" s="27">
        <f>+I26-E25</f>
        <v>0</v>
      </c>
      <c r="I26" s="35"/>
      <c r="J26" s="44">
        <f t="shared" si="5"/>
        <v>0</v>
      </c>
      <c r="K26" s="35">
        <f>+D26</f>
        <v>0</v>
      </c>
      <c r="M26" s="60">
        <f>SUM(M23:M25)</f>
        <v>214008278.84000003</v>
      </c>
    </row>
    <row r="27" spans="1:13" ht="13.5" thickTop="1" x14ac:dyDescent="0.2">
      <c r="A27" s="25">
        <f>A25+1</f>
        <v>3</v>
      </c>
      <c r="B27" s="26" t="s">
        <v>15</v>
      </c>
      <c r="C27" s="54"/>
      <c r="D27" s="55">
        <v>500000</v>
      </c>
      <c r="E27" s="27">
        <f t="shared" si="4"/>
        <v>500000</v>
      </c>
      <c r="F27" s="54">
        <f>+H27-G27</f>
        <v>5072914</v>
      </c>
      <c r="G27" s="55">
        <f>3500000-D27</f>
        <v>3000000</v>
      </c>
      <c r="H27" s="27">
        <f>+I27-E27</f>
        <v>8072914</v>
      </c>
      <c r="I27" s="35">
        <f>5097703-67479+3500000+42690</f>
        <v>8572914</v>
      </c>
      <c r="J27" s="44">
        <f t="shared" si="5"/>
        <v>8572914</v>
      </c>
      <c r="K27" s="35">
        <f>+D27+G27</f>
        <v>3500000</v>
      </c>
      <c r="M27" s="43">
        <f>I55</f>
        <v>214008278.84</v>
      </c>
    </row>
    <row r="28" spans="1:13" x14ac:dyDescent="0.2">
      <c r="A28" s="25"/>
      <c r="B28" s="26"/>
      <c r="C28" s="54"/>
      <c r="D28" s="55"/>
      <c r="E28" s="27">
        <f t="shared" si="4"/>
        <v>0</v>
      </c>
      <c r="F28" s="54"/>
      <c r="G28" s="55"/>
      <c r="H28" s="27"/>
      <c r="I28" s="35"/>
      <c r="J28" s="44">
        <f t="shared" si="5"/>
        <v>0</v>
      </c>
      <c r="K28" s="35">
        <f t="shared" ref="K28:K36" si="6">+D28</f>
        <v>0</v>
      </c>
    </row>
    <row r="29" spans="1:13" x14ac:dyDescent="0.2">
      <c r="A29" s="25">
        <f>A27+1</f>
        <v>4</v>
      </c>
      <c r="B29" s="34" t="s">
        <v>16</v>
      </c>
      <c r="C29" s="54">
        <v>62160</v>
      </c>
      <c r="D29" s="55"/>
      <c r="E29" s="27">
        <f t="shared" si="4"/>
        <v>62160</v>
      </c>
      <c r="F29" s="54">
        <f>+H29-G29</f>
        <v>119320</v>
      </c>
      <c r="G29" s="55"/>
      <c r="H29" s="27">
        <f>+I29-E29</f>
        <v>119320</v>
      </c>
      <c r="I29" s="44">
        <v>181480</v>
      </c>
      <c r="J29" s="44">
        <f t="shared" si="5"/>
        <v>181480</v>
      </c>
      <c r="K29" s="35">
        <f t="shared" si="6"/>
        <v>0</v>
      </c>
    </row>
    <row r="30" spans="1:13" x14ac:dyDescent="0.2">
      <c r="A30" s="36"/>
      <c r="B30" s="34"/>
      <c r="C30" s="54"/>
      <c r="D30" s="55"/>
      <c r="E30" s="27">
        <f t="shared" si="4"/>
        <v>0</v>
      </c>
      <c r="F30" s="54"/>
      <c r="G30" s="55"/>
      <c r="H30" s="27"/>
      <c r="I30" s="35"/>
      <c r="J30" s="44">
        <f t="shared" si="5"/>
        <v>0</v>
      </c>
      <c r="K30" s="35">
        <f t="shared" si="6"/>
        <v>0</v>
      </c>
    </row>
    <row r="31" spans="1:13" x14ac:dyDescent="0.2">
      <c r="A31" s="25">
        <f>A29+1</f>
        <v>5</v>
      </c>
      <c r="B31" s="34" t="s">
        <v>25</v>
      </c>
      <c r="C31" s="54"/>
      <c r="D31" s="55"/>
      <c r="E31" s="27">
        <f t="shared" si="4"/>
        <v>0</v>
      </c>
      <c r="F31" s="54">
        <f>+H31-G31</f>
        <v>378163.55</v>
      </c>
      <c r="G31" s="55"/>
      <c r="H31" s="27">
        <f>+I31-E31</f>
        <v>378163.55</v>
      </c>
      <c r="I31" s="35">
        <v>378163.55</v>
      </c>
      <c r="J31" s="44">
        <f t="shared" si="5"/>
        <v>378163.55</v>
      </c>
      <c r="K31" s="35">
        <f t="shared" si="6"/>
        <v>0</v>
      </c>
    </row>
    <row r="32" spans="1:13" x14ac:dyDescent="0.2">
      <c r="A32" s="29"/>
      <c r="B32" s="34"/>
      <c r="C32" s="54"/>
      <c r="D32" s="55"/>
      <c r="E32" s="27">
        <f t="shared" si="4"/>
        <v>0</v>
      </c>
      <c r="F32" s="54"/>
      <c r="G32" s="55"/>
      <c r="H32" s="27"/>
      <c r="I32" s="35"/>
      <c r="J32" s="44">
        <f t="shared" si="5"/>
        <v>0</v>
      </c>
      <c r="K32" s="35">
        <f t="shared" si="6"/>
        <v>0</v>
      </c>
    </row>
    <row r="33" spans="1:16" x14ac:dyDescent="0.2">
      <c r="A33" s="25">
        <f>A31+1</f>
        <v>6</v>
      </c>
      <c r="B33" s="26" t="s">
        <v>56</v>
      </c>
      <c r="C33" s="54"/>
      <c r="D33" s="55"/>
      <c r="E33" s="27">
        <f t="shared" si="4"/>
        <v>0</v>
      </c>
      <c r="F33" s="54">
        <f>+H33-G33</f>
        <v>-90000</v>
      </c>
      <c r="G33" s="55">
        <v>90000</v>
      </c>
      <c r="H33" s="27">
        <f>+I33-E32</f>
        <v>0</v>
      </c>
      <c r="I33" s="35">
        <f>-211768+7789851.1-1017203.8-20700+90000-6630179.3</f>
        <v>0</v>
      </c>
      <c r="J33" s="44">
        <f t="shared" si="5"/>
        <v>0</v>
      </c>
      <c r="K33" s="35">
        <f>+G33</f>
        <v>90000</v>
      </c>
      <c r="P33" s="3">
        <v>6630179.2999999998</v>
      </c>
    </row>
    <row r="34" spans="1:16" x14ac:dyDescent="0.2">
      <c r="A34" s="29"/>
      <c r="B34" s="34"/>
      <c r="C34" s="54"/>
      <c r="D34" s="55"/>
      <c r="E34" s="27">
        <f t="shared" si="4"/>
        <v>0</v>
      </c>
      <c r="F34" s="54">
        <f>+H34-G34</f>
        <v>0</v>
      </c>
      <c r="G34" s="55"/>
      <c r="H34" s="27">
        <f>+I34-E33</f>
        <v>0</v>
      </c>
      <c r="I34" s="35"/>
      <c r="J34" s="44">
        <f t="shared" si="5"/>
        <v>0</v>
      </c>
      <c r="K34" s="35">
        <f t="shared" si="6"/>
        <v>0</v>
      </c>
    </row>
    <row r="35" spans="1:16" x14ac:dyDescent="0.2">
      <c r="A35" s="25">
        <f>A33+1</f>
        <v>7</v>
      </c>
      <c r="B35" s="34" t="s">
        <v>36</v>
      </c>
      <c r="C35" s="54"/>
      <c r="D35" s="55"/>
      <c r="E35" s="27">
        <f t="shared" si="4"/>
        <v>0</v>
      </c>
      <c r="F35" s="54">
        <f>+H35-G35</f>
        <v>261543</v>
      </c>
      <c r="G35" s="55"/>
      <c r="H35" s="27">
        <f>+I35-E35</f>
        <v>261543</v>
      </c>
      <c r="I35" s="35">
        <v>261543</v>
      </c>
      <c r="J35" s="44">
        <f t="shared" si="5"/>
        <v>261543</v>
      </c>
      <c r="K35" s="35">
        <f t="shared" si="6"/>
        <v>0</v>
      </c>
    </row>
    <row r="36" spans="1:16" x14ac:dyDescent="0.2">
      <c r="A36" s="29"/>
      <c r="B36" s="34"/>
      <c r="C36" s="54"/>
      <c r="D36" s="55"/>
      <c r="E36" s="27">
        <f t="shared" si="4"/>
        <v>0</v>
      </c>
      <c r="F36" s="54"/>
      <c r="G36" s="55"/>
      <c r="H36" s="27"/>
      <c r="I36" s="35"/>
      <c r="J36" s="44">
        <f t="shared" si="5"/>
        <v>0</v>
      </c>
      <c r="K36" s="35">
        <f t="shared" si="6"/>
        <v>0</v>
      </c>
    </row>
    <row r="37" spans="1:16" x14ac:dyDescent="0.2">
      <c r="A37" s="25">
        <f>A35+1</f>
        <v>8</v>
      </c>
      <c r="B37" s="34" t="s">
        <v>47</v>
      </c>
      <c r="C37" s="54"/>
      <c r="D37" s="55"/>
      <c r="E37" s="27">
        <f t="shared" si="4"/>
        <v>0</v>
      </c>
      <c r="F37" s="54">
        <f>+H37-G37</f>
        <v>1069338</v>
      </c>
      <c r="G37" s="55"/>
      <c r="H37" s="27">
        <f>+I37-E37</f>
        <v>1069338</v>
      </c>
      <c r="I37" s="35">
        <v>1069338</v>
      </c>
      <c r="J37" s="44">
        <f t="shared" si="5"/>
        <v>1069338</v>
      </c>
      <c r="K37" s="35">
        <f>+D37+G37</f>
        <v>0</v>
      </c>
    </row>
    <row r="38" spans="1:16" x14ac:dyDescent="0.2">
      <c r="A38" s="29"/>
      <c r="B38" s="34"/>
      <c r="C38" s="54"/>
      <c r="D38" s="55"/>
      <c r="E38" s="27">
        <f t="shared" si="4"/>
        <v>0</v>
      </c>
      <c r="F38" s="54"/>
      <c r="G38" s="55"/>
      <c r="H38" s="27"/>
      <c r="I38" s="35"/>
      <c r="J38" s="44">
        <f t="shared" si="5"/>
        <v>0</v>
      </c>
      <c r="K38" s="35">
        <f t="shared" ref="K38:K43" si="7">+D38</f>
        <v>0</v>
      </c>
    </row>
    <row r="39" spans="1:16" x14ac:dyDescent="0.2">
      <c r="A39" s="25">
        <f>+A37+1</f>
        <v>9</v>
      </c>
      <c r="B39" s="34" t="s">
        <v>33</v>
      </c>
      <c r="C39" s="54"/>
      <c r="D39" s="55"/>
      <c r="E39" s="27">
        <f t="shared" si="4"/>
        <v>0</v>
      </c>
      <c r="F39" s="54">
        <f>+H39-G39</f>
        <v>6450</v>
      </c>
      <c r="G39" s="55"/>
      <c r="H39" s="27">
        <f>+I39-E36</f>
        <v>6450</v>
      </c>
      <c r="I39" s="35">
        <v>6450</v>
      </c>
      <c r="J39" s="44">
        <f t="shared" si="5"/>
        <v>6450</v>
      </c>
      <c r="K39" s="35">
        <f t="shared" si="7"/>
        <v>0</v>
      </c>
    </row>
    <row r="40" spans="1:16" x14ac:dyDescent="0.2">
      <c r="A40" s="29"/>
      <c r="B40" s="34"/>
      <c r="C40" s="54"/>
      <c r="D40" s="55"/>
      <c r="E40" s="27">
        <f t="shared" si="4"/>
        <v>0</v>
      </c>
      <c r="F40" s="54">
        <f>+H40-G40</f>
        <v>0</v>
      </c>
      <c r="G40" s="55"/>
      <c r="H40" s="27">
        <f>+I40-E39</f>
        <v>0</v>
      </c>
      <c r="I40" s="35"/>
      <c r="J40" s="44">
        <f t="shared" si="5"/>
        <v>0</v>
      </c>
      <c r="K40" s="35">
        <f t="shared" si="7"/>
        <v>0</v>
      </c>
    </row>
    <row r="41" spans="1:16" x14ac:dyDescent="0.2">
      <c r="A41" s="25">
        <f>A39+1</f>
        <v>10</v>
      </c>
      <c r="B41" s="26" t="s">
        <v>17</v>
      </c>
      <c r="C41" s="54">
        <v>581645.96</v>
      </c>
      <c r="D41" s="55"/>
      <c r="E41" s="27">
        <f t="shared" si="4"/>
        <v>581645.96</v>
      </c>
      <c r="F41" s="54">
        <f>+H41-G41</f>
        <v>358845</v>
      </c>
      <c r="G41" s="55"/>
      <c r="H41" s="27">
        <f>+I41-E41</f>
        <v>358845</v>
      </c>
      <c r="I41" s="35">
        <v>940490.96</v>
      </c>
      <c r="J41" s="44">
        <f t="shared" si="5"/>
        <v>940490.96</v>
      </c>
      <c r="K41" s="35">
        <f t="shared" si="7"/>
        <v>0</v>
      </c>
    </row>
    <row r="42" spans="1:16" x14ac:dyDescent="0.2">
      <c r="A42" s="29"/>
      <c r="B42" s="34"/>
      <c r="C42" s="54"/>
      <c r="D42" s="55"/>
      <c r="E42" s="27">
        <f t="shared" si="4"/>
        <v>0</v>
      </c>
      <c r="F42" s="54"/>
      <c r="G42" s="55"/>
      <c r="H42" s="27"/>
      <c r="I42" s="35"/>
      <c r="J42" s="44">
        <f t="shared" si="5"/>
        <v>0</v>
      </c>
      <c r="K42" s="35">
        <f t="shared" si="7"/>
        <v>0</v>
      </c>
    </row>
    <row r="43" spans="1:16" x14ac:dyDescent="0.2">
      <c r="A43" s="25">
        <f>A41+1</f>
        <v>11</v>
      </c>
      <c r="B43" s="34" t="s">
        <v>18</v>
      </c>
      <c r="C43" s="54">
        <v>179190</v>
      </c>
      <c r="D43" s="55"/>
      <c r="E43" s="27">
        <f t="shared" si="4"/>
        <v>179190</v>
      </c>
      <c r="F43" s="54">
        <f t="shared" ref="F43:F54" si="8">+H43-G43</f>
        <v>620662.19999999995</v>
      </c>
      <c r="G43" s="55"/>
      <c r="H43" s="27">
        <f t="shared" ref="H43:H54" si="9">+I43-E43</f>
        <v>620662.19999999995</v>
      </c>
      <c r="I43" s="35">
        <f>599228.2+15060+7282+84330+54382+39570</f>
        <v>799852.2</v>
      </c>
      <c r="J43" s="44">
        <f t="shared" si="5"/>
        <v>799852.2</v>
      </c>
      <c r="K43" s="35">
        <f t="shared" si="7"/>
        <v>0</v>
      </c>
    </row>
    <row r="44" spans="1:16" x14ac:dyDescent="0.2">
      <c r="A44" s="25"/>
      <c r="B44" s="34"/>
      <c r="C44" s="54"/>
      <c r="D44" s="55"/>
      <c r="E44" s="27"/>
      <c r="F44" s="54">
        <f t="shared" si="8"/>
        <v>0</v>
      </c>
      <c r="G44" s="55"/>
      <c r="H44" s="27">
        <f t="shared" si="9"/>
        <v>0</v>
      </c>
      <c r="I44" s="35"/>
      <c r="J44" s="44">
        <f t="shared" si="5"/>
        <v>0</v>
      </c>
      <c r="K44" s="35"/>
    </row>
    <row r="45" spans="1:16" x14ac:dyDescent="0.2">
      <c r="A45" s="25">
        <v>11</v>
      </c>
      <c r="B45" s="34" t="s">
        <v>43</v>
      </c>
      <c r="C45" s="54"/>
      <c r="D45" s="55"/>
      <c r="E45" s="27">
        <f t="shared" ref="E45:E54" si="10">SUM(C45:D45)</f>
        <v>0</v>
      </c>
      <c r="F45" s="54">
        <f t="shared" si="8"/>
        <v>87253.39</v>
      </c>
      <c r="G45" s="55"/>
      <c r="H45" s="27">
        <f t="shared" si="9"/>
        <v>87253.39</v>
      </c>
      <c r="I45" s="35">
        <v>87253.39</v>
      </c>
      <c r="J45" s="44">
        <f t="shared" si="5"/>
        <v>87253.39</v>
      </c>
      <c r="K45" s="35"/>
    </row>
    <row r="46" spans="1:16" x14ac:dyDescent="0.2">
      <c r="A46" s="25"/>
      <c r="B46" s="34"/>
      <c r="C46" s="54"/>
      <c r="D46" s="55"/>
      <c r="E46" s="27">
        <f t="shared" si="10"/>
        <v>0</v>
      </c>
      <c r="F46" s="54">
        <f t="shared" si="8"/>
        <v>0</v>
      </c>
      <c r="G46" s="55"/>
      <c r="H46" s="27">
        <f t="shared" si="9"/>
        <v>0</v>
      </c>
      <c r="I46" s="35"/>
      <c r="J46" s="44">
        <f t="shared" si="5"/>
        <v>0</v>
      </c>
      <c r="K46" s="35">
        <f t="shared" ref="K46:K52" si="11">+D46</f>
        <v>0</v>
      </c>
    </row>
    <row r="47" spans="1:16" x14ac:dyDescent="0.2">
      <c r="A47" s="25">
        <v>12</v>
      </c>
      <c r="B47" s="34" t="s">
        <v>19</v>
      </c>
      <c r="C47" s="54"/>
      <c r="D47" s="55"/>
      <c r="E47" s="27">
        <f t="shared" si="10"/>
        <v>0</v>
      </c>
      <c r="F47" s="54">
        <f t="shared" si="8"/>
        <v>8089</v>
      </c>
      <c r="G47" s="55"/>
      <c r="H47" s="27">
        <f t="shared" si="9"/>
        <v>8089</v>
      </c>
      <c r="I47" s="35">
        <v>8089</v>
      </c>
      <c r="J47" s="44">
        <f t="shared" si="5"/>
        <v>8089</v>
      </c>
      <c r="K47" s="35">
        <f t="shared" si="11"/>
        <v>0</v>
      </c>
    </row>
    <row r="48" spans="1:16" x14ac:dyDescent="0.2">
      <c r="A48" s="25"/>
      <c r="B48" s="34"/>
      <c r="C48" s="54"/>
      <c r="D48" s="55"/>
      <c r="E48" s="27">
        <f t="shared" si="10"/>
        <v>0</v>
      </c>
      <c r="F48" s="54">
        <f t="shared" si="8"/>
        <v>0</v>
      </c>
      <c r="G48" s="55"/>
      <c r="H48" s="27">
        <f t="shared" si="9"/>
        <v>0</v>
      </c>
      <c r="I48" s="35"/>
      <c r="J48" s="44">
        <f t="shared" si="5"/>
        <v>0</v>
      </c>
      <c r="K48" s="35">
        <f t="shared" si="11"/>
        <v>0</v>
      </c>
    </row>
    <row r="49" spans="1:11" x14ac:dyDescent="0.2">
      <c r="A49" s="25">
        <f>A47+1</f>
        <v>13</v>
      </c>
      <c r="B49" s="34" t="s">
        <v>35</v>
      </c>
      <c r="C49" s="54"/>
      <c r="D49" s="55"/>
      <c r="E49" s="27">
        <f t="shared" si="10"/>
        <v>0</v>
      </c>
      <c r="F49" s="54">
        <f t="shared" si="8"/>
        <v>0</v>
      </c>
      <c r="G49" s="55"/>
      <c r="H49" s="27">
        <f t="shared" si="9"/>
        <v>0</v>
      </c>
      <c r="I49" s="35"/>
      <c r="J49" s="44">
        <f t="shared" si="5"/>
        <v>0</v>
      </c>
      <c r="K49" s="35">
        <f t="shared" si="11"/>
        <v>0</v>
      </c>
    </row>
    <row r="50" spans="1:11" x14ac:dyDescent="0.2">
      <c r="A50" s="25"/>
      <c r="B50" s="34"/>
      <c r="C50" s="54"/>
      <c r="D50" s="55"/>
      <c r="E50" s="27">
        <f t="shared" si="10"/>
        <v>0</v>
      </c>
      <c r="F50" s="54">
        <f t="shared" si="8"/>
        <v>0</v>
      </c>
      <c r="G50" s="55"/>
      <c r="H50" s="27">
        <f t="shared" si="9"/>
        <v>0</v>
      </c>
      <c r="I50" s="35"/>
      <c r="J50" s="44">
        <f t="shared" si="5"/>
        <v>0</v>
      </c>
      <c r="K50" s="35">
        <f t="shared" si="11"/>
        <v>0</v>
      </c>
    </row>
    <row r="51" spans="1:11" x14ac:dyDescent="0.2">
      <c r="A51" s="25">
        <f>A49+1</f>
        <v>14</v>
      </c>
      <c r="B51" s="34" t="s">
        <v>20</v>
      </c>
      <c r="C51" s="54">
        <f>1065+9826+4370</f>
        <v>15261</v>
      </c>
      <c r="D51" s="55"/>
      <c r="E51" s="27">
        <f t="shared" si="10"/>
        <v>15261</v>
      </c>
      <c r="F51" s="54">
        <f t="shared" si="8"/>
        <v>113909</v>
      </c>
      <c r="G51" s="55"/>
      <c r="H51" s="27">
        <f t="shared" si="9"/>
        <v>113909</v>
      </c>
      <c r="I51" s="35">
        <f>1065+1324+9826+4540+61558+772+7510+25582+16993</f>
        <v>129170</v>
      </c>
      <c r="J51" s="44">
        <f t="shared" si="5"/>
        <v>129170</v>
      </c>
      <c r="K51" s="35">
        <f t="shared" si="11"/>
        <v>0</v>
      </c>
    </row>
    <row r="52" spans="1:11" x14ac:dyDescent="0.2">
      <c r="A52" s="36"/>
      <c r="B52" s="26"/>
      <c r="C52" s="54"/>
      <c r="D52" s="55"/>
      <c r="E52" s="27">
        <f t="shared" si="10"/>
        <v>0</v>
      </c>
      <c r="F52" s="54">
        <f t="shared" si="8"/>
        <v>0</v>
      </c>
      <c r="G52" s="55"/>
      <c r="H52" s="27">
        <f t="shared" si="9"/>
        <v>0</v>
      </c>
      <c r="I52" s="35"/>
      <c r="J52" s="44">
        <f t="shared" si="5"/>
        <v>0</v>
      </c>
      <c r="K52" s="35">
        <f t="shared" si="11"/>
        <v>0</v>
      </c>
    </row>
    <row r="53" spans="1:11" x14ac:dyDescent="0.2">
      <c r="A53" s="25">
        <f>A51+1</f>
        <v>15</v>
      </c>
      <c r="B53" s="26" t="s">
        <v>50</v>
      </c>
      <c r="C53" s="54"/>
      <c r="D53" s="55"/>
      <c r="E53" s="27">
        <f t="shared" si="10"/>
        <v>0</v>
      </c>
      <c r="F53" s="54">
        <f t="shared" si="8"/>
        <v>0</v>
      </c>
      <c r="G53" s="55">
        <v>5969439</v>
      </c>
      <c r="H53" s="27">
        <f t="shared" si="9"/>
        <v>5969439</v>
      </c>
      <c r="I53" s="35">
        <v>5969439</v>
      </c>
      <c r="J53" s="44">
        <f t="shared" si="5"/>
        <v>5969439</v>
      </c>
      <c r="K53" s="35">
        <f>+D53+G53</f>
        <v>5969439</v>
      </c>
    </row>
    <row r="54" spans="1:11" x14ac:dyDescent="0.2">
      <c r="A54" s="36"/>
      <c r="B54" s="34"/>
      <c r="C54" s="54"/>
      <c r="D54" s="55"/>
      <c r="E54" s="27">
        <f t="shared" si="10"/>
        <v>0</v>
      </c>
      <c r="F54" s="54">
        <f t="shared" si="8"/>
        <v>0</v>
      </c>
      <c r="G54" s="55"/>
      <c r="H54" s="27">
        <f t="shared" si="9"/>
        <v>0</v>
      </c>
      <c r="I54" s="35"/>
      <c r="J54" s="44">
        <f t="shared" si="5"/>
        <v>0</v>
      </c>
      <c r="K54" s="35">
        <f>+D54</f>
        <v>0</v>
      </c>
    </row>
    <row r="55" spans="1:11" ht="13.5" thickBot="1" x14ac:dyDescent="0.25">
      <c r="A55" s="29"/>
      <c r="B55" s="30" t="s">
        <v>21</v>
      </c>
      <c r="C55" s="56">
        <f t="shared" ref="C55:J55" si="12">SUM(C21:C54)</f>
        <v>838266.88</v>
      </c>
      <c r="D55" s="57">
        <f t="shared" si="12"/>
        <v>500000</v>
      </c>
      <c r="E55" s="31">
        <f t="shared" si="12"/>
        <v>1338266.8799999999</v>
      </c>
      <c r="F55" s="56">
        <f t="shared" si="12"/>
        <v>183609572.96000001</v>
      </c>
      <c r="G55" s="57">
        <f t="shared" si="12"/>
        <v>29060439</v>
      </c>
      <c r="H55" s="31">
        <f t="shared" si="12"/>
        <v>212670011.96000001</v>
      </c>
      <c r="I55" s="32">
        <f t="shared" si="12"/>
        <v>214008278.84</v>
      </c>
      <c r="J55" s="32">
        <f t="shared" si="12"/>
        <v>214008278.84</v>
      </c>
      <c r="K55" s="65">
        <f>SUM(K22:K54)</f>
        <v>29560439</v>
      </c>
    </row>
    <row r="56" spans="1:11" ht="14.25" thickTop="1" thickBot="1" x14ac:dyDescent="0.25">
      <c r="A56" s="37" t="s">
        <v>22</v>
      </c>
      <c r="B56" s="38" t="s">
        <v>23</v>
      </c>
      <c r="C56" s="58"/>
      <c r="D56" s="59"/>
      <c r="E56" s="39">
        <f>E20-E55</f>
        <v>-1338266.8799999999</v>
      </c>
      <c r="F56" s="75"/>
      <c r="G56" s="76"/>
      <c r="H56" s="39">
        <f>H20-H55</f>
        <v>13103135.409999996</v>
      </c>
      <c r="I56" s="40">
        <f>I20-I55</f>
        <v>11764868.530000001</v>
      </c>
      <c r="J56" s="40">
        <f>J20-J55</f>
        <v>11764868.530000001</v>
      </c>
      <c r="K56" s="41"/>
    </row>
    <row r="57" spans="1:11" ht="16.5" thickTop="1" x14ac:dyDescent="0.25">
      <c r="A57" s="1"/>
      <c r="B57" s="42"/>
      <c r="E57" s="77" t="e">
        <f>+D53/C10</f>
        <v>#DIV/0!</v>
      </c>
      <c r="I57" s="77">
        <f>+I53/I10</f>
        <v>3.0000001507679442E-2</v>
      </c>
      <c r="J57" s="43">
        <f>+I56</f>
        <v>11764868.530000001</v>
      </c>
    </row>
    <row r="58" spans="1:11" x14ac:dyDescent="0.2">
      <c r="G58" s="61" t="s">
        <v>5</v>
      </c>
      <c r="H58" s="61" t="s">
        <v>38</v>
      </c>
      <c r="I58" s="61" t="s">
        <v>39</v>
      </c>
      <c r="J58" s="62" t="s">
        <v>40</v>
      </c>
      <c r="K58" s="66" t="s">
        <v>30</v>
      </c>
    </row>
    <row r="59" spans="1:11" x14ac:dyDescent="0.2">
      <c r="F59" s="64" t="s">
        <v>32</v>
      </c>
      <c r="G59" s="43">
        <f>4490+550</f>
        <v>5040</v>
      </c>
      <c r="I59" s="43">
        <f>+G59-H59</f>
        <v>5040</v>
      </c>
      <c r="J59" s="43">
        <f>(+I10+I18)/100000</f>
        <v>1989.8128999999999</v>
      </c>
      <c r="K59" s="43">
        <f>I59-J59</f>
        <v>3050.1871000000001</v>
      </c>
    </row>
    <row r="60" spans="1:11" x14ac:dyDescent="0.2">
      <c r="F60" s="63" t="s">
        <v>31</v>
      </c>
      <c r="G60" s="43">
        <v>298</v>
      </c>
      <c r="I60" s="43">
        <f>+G60-H60</f>
        <v>298</v>
      </c>
      <c r="J60" s="43">
        <f>+I60/I59*J59</f>
        <v>117.65163575396825</v>
      </c>
      <c r="K60" s="43">
        <f>I60-J60</f>
        <v>180.34836424603174</v>
      </c>
    </row>
    <row r="61" spans="1:11" x14ac:dyDescent="0.2">
      <c r="J61" s="43">
        <f>+I56/100000-J60</f>
        <v>-2.9504539682392306E-3</v>
      </c>
    </row>
    <row r="62" spans="1:11" x14ac:dyDescent="0.2">
      <c r="C62" s="43"/>
    </row>
    <row r="63" spans="1:11" x14ac:dyDescent="0.2">
      <c r="I63" s="43">
        <f>+I55</f>
        <v>214008278.84</v>
      </c>
    </row>
    <row r="64" spans="1:11" x14ac:dyDescent="0.2">
      <c r="I64" s="43">
        <v>214008278.84</v>
      </c>
    </row>
    <row r="65" spans="9:9" x14ac:dyDescent="0.2">
      <c r="I65" s="43">
        <f>+I63-I64</f>
        <v>0</v>
      </c>
    </row>
  </sheetData>
  <mergeCells count="2">
    <mergeCell ref="C6:E6"/>
    <mergeCell ref="F6:H6"/>
  </mergeCells>
  <phoneticPr fontId="29" type="noConversion"/>
  <printOptions horizontalCentered="1"/>
  <pageMargins left="0.2" right="0.2" top="0.24" bottom="0.24" header="0.2" footer="0.19"/>
  <pageSetup paperSize="9" scale="66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5"/>
  <sheetViews>
    <sheetView showZeros="0" zoomScale="75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61" sqref="A1:M61"/>
    </sheetView>
  </sheetViews>
  <sheetFormatPr defaultRowHeight="12.75" x14ac:dyDescent="0.2"/>
  <cols>
    <col min="1" max="1" width="5.7109375" style="3" customWidth="1"/>
    <col min="2" max="2" width="24.140625" style="3" customWidth="1"/>
    <col min="3" max="9" width="14.85546875" style="3" customWidth="1"/>
    <col min="10" max="10" width="16.28515625" style="3" customWidth="1"/>
    <col min="11" max="11" width="15" style="3" customWidth="1"/>
    <col min="12" max="12" width="7.28515625" style="3" customWidth="1"/>
    <col min="13" max="13" width="12.42578125" style="43" customWidth="1"/>
    <col min="14" max="16384" width="9.140625" style="3"/>
  </cols>
  <sheetData>
    <row r="1" spans="1:13" ht="22.5" x14ac:dyDescent="0.3">
      <c r="A1" s="4" t="s">
        <v>0</v>
      </c>
      <c r="B1" s="5"/>
    </row>
    <row r="2" spans="1:13" ht="17.25" customHeight="1" x14ac:dyDescent="0.3">
      <c r="A2" s="4"/>
      <c r="B2" s="5"/>
      <c r="K2" s="2" t="s">
        <v>53</v>
      </c>
    </row>
    <row r="3" spans="1:13" ht="18.75" x14ac:dyDescent="0.3">
      <c r="A3" s="7" t="s">
        <v>51</v>
      </c>
      <c r="B3" s="6"/>
      <c r="K3" s="67" t="s">
        <v>48</v>
      </c>
      <c r="M3" s="69"/>
    </row>
    <row r="4" spans="1:13" ht="17.25" customHeight="1" x14ac:dyDescent="0.3">
      <c r="A4" s="7" t="s">
        <v>52</v>
      </c>
      <c r="B4" s="6"/>
      <c r="M4" s="69"/>
    </row>
    <row r="5" spans="1:13" ht="19.5" thickBot="1" x14ac:dyDescent="0.35">
      <c r="A5" s="8" t="s">
        <v>24</v>
      </c>
      <c r="B5" s="6"/>
      <c r="C5" s="61"/>
      <c r="D5" s="61"/>
      <c r="E5" s="61"/>
      <c r="F5" s="61"/>
      <c r="G5" s="61"/>
      <c r="H5" s="61"/>
      <c r="I5" s="61"/>
      <c r="K5" s="43">
        <f>SUM(K23:K51)</f>
        <v>1609995</v>
      </c>
    </row>
    <row r="6" spans="1:13" ht="16.5" customHeight="1" thickTop="1" x14ac:dyDescent="0.2">
      <c r="A6" s="9" t="s">
        <v>1</v>
      </c>
      <c r="B6" s="10"/>
      <c r="C6" s="96" t="s">
        <v>42</v>
      </c>
      <c r="D6" s="97"/>
      <c r="E6" s="98"/>
      <c r="F6" s="96" t="s">
        <v>49</v>
      </c>
      <c r="G6" s="97"/>
      <c r="H6" s="98"/>
      <c r="I6" s="46" t="s">
        <v>5</v>
      </c>
      <c r="J6" s="11" t="s">
        <v>2</v>
      </c>
      <c r="K6" s="12"/>
    </row>
    <row r="7" spans="1:13" ht="13.5" thickBot="1" x14ac:dyDescent="0.25">
      <c r="A7" s="13" t="s">
        <v>3</v>
      </c>
      <c r="B7" s="14" t="s">
        <v>4</v>
      </c>
      <c r="C7" s="49" t="s">
        <v>34</v>
      </c>
      <c r="D7" s="50" t="s">
        <v>26</v>
      </c>
      <c r="E7" s="15" t="s">
        <v>5</v>
      </c>
      <c r="F7" s="49" t="s">
        <v>34</v>
      </c>
      <c r="G7" s="50" t="s">
        <v>26</v>
      </c>
      <c r="H7" s="15" t="s">
        <v>5</v>
      </c>
      <c r="I7" s="47" t="s">
        <v>37</v>
      </c>
      <c r="J7" s="16" t="s">
        <v>5</v>
      </c>
      <c r="K7" s="17" t="s">
        <v>6</v>
      </c>
    </row>
    <row r="8" spans="1:13" ht="13.5" thickTop="1" x14ac:dyDescent="0.2">
      <c r="A8" s="18"/>
      <c r="B8" s="19"/>
      <c r="C8" s="51" t="s">
        <v>7</v>
      </c>
      <c r="D8" s="52" t="s">
        <v>7</v>
      </c>
      <c r="E8" s="53" t="s">
        <v>7</v>
      </c>
      <c r="F8" s="51"/>
      <c r="G8" s="52"/>
      <c r="H8" s="53"/>
      <c r="I8" s="21"/>
      <c r="J8" s="20"/>
      <c r="K8" s="21"/>
    </row>
    <row r="9" spans="1:13" x14ac:dyDescent="0.2">
      <c r="A9" s="22" t="s">
        <v>8</v>
      </c>
      <c r="B9" s="23" t="s">
        <v>9</v>
      </c>
      <c r="C9" s="54"/>
      <c r="D9" s="55"/>
      <c r="E9" s="27"/>
      <c r="F9" s="70"/>
      <c r="G9" s="71"/>
      <c r="H9" s="72"/>
      <c r="I9" s="73"/>
      <c r="J9" s="45"/>
      <c r="K9" s="24"/>
    </row>
    <row r="10" spans="1:13" x14ac:dyDescent="0.2">
      <c r="A10" s="25">
        <v>1</v>
      </c>
      <c r="B10" s="26" t="s">
        <v>10</v>
      </c>
      <c r="C10" s="54"/>
      <c r="D10" s="55"/>
      <c r="E10" s="27">
        <f t="shared" ref="E10:E18" si="0">SUM(C10:D10)</f>
        <v>0</v>
      </c>
      <c r="F10" s="54">
        <f>+H10-G10</f>
        <v>44447270</v>
      </c>
      <c r="G10" s="55"/>
      <c r="H10" s="27">
        <f>+I10-E10</f>
        <v>44447270</v>
      </c>
      <c r="I10" s="35">
        <f>28592500+15854770</f>
        <v>44447270</v>
      </c>
      <c r="J10" s="44">
        <f>+I10</f>
        <v>44447270</v>
      </c>
      <c r="K10" s="28"/>
    </row>
    <row r="11" spans="1:13" x14ac:dyDescent="0.2">
      <c r="A11" s="25"/>
      <c r="B11" s="26"/>
      <c r="C11" s="54"/>
      <c r="D11" s="55"/>
      <c r="E11" s="27">
        <f t="shared" si="0"/>
        <v>0</v>
      </c>
      <c r="F11" s="54">
        <f t="shared" ref="F11:F19" si="1">+H11-G11</f>
        <v>0</v>
      </c>
      <c r="G11" s="55"/>
      <c r="H11" s="27">
        <f t="shared" ref="H11:H19" si="2">+I11-E11</f>
        <v>0</v>
      </c>
      <c r="I11" s="35"/>
      <c r="J11" s="44">
        <f t="shared" ref="J11:J54" si="3">+I11</f>
        <v>0</v>
      </c>
      <c r="K11" s="28"/>
    </row>
    <row r="12" spans="1:13" x14ac:dyDescent="0.2">
      <c r="A12" s="25">
        <f>A10+1</f>
        <v>2</v>
      </c>
      <c r="B12" s="26" t="s">
        <v>44</v>
      </c>
      <c r="C12" s="54"/>
      <c r="D12" s="55"/>
      <c r="E12" s="27">
        <f t="shared" si="0"/>
        <v>0</v>
      </c>
      <c r="F12" s="54">
        <f t="shared" si="1"/>
        <v>4121946.19</v>
      </c>
      <c r="G12" s="55"/>
      <c r="H12" s="27">
        <f t="shared" si="2"/>
        <v>4121946.19</v>
      </c>
      <c r="I12" s="35">
        <v>4121946.19</v>
      </c>
      <c r="J12" s="44">
        <f t="shared" si="3"/>
        <v>4121946.19</v>
      </c>
      <c r="K12" s="28"/>
    </row>
    <row r="13" spans="1:13" x14ac:dyDescent="0.2">
      <c r="A13" s="25"/>
      <c r="B13" s="26"/>
      <c r="C13" s="54"/>
      <c r="D13" s="55"/>
      <c r="E13" s="27">
        <f t="shared" si="0"/>
        <v>0</v>
      </c>
      <c r="F13" s="54">
        <f t="shared" si="1"/>
        <v>0</v>
      </c>
      <c r="G13" s="55"/>
      <c r="H13" s="27">
        <f t="shared" si="2"/>
        <v>0</v>
      </c>
      <c r="I13" s="35"/>
      <c r="J13" s="44">
        <f t="shared" si="3"/>
        <v>0</v>
      </c>
      <c r="K13" s="28"/>
    </row>
    <row r="14" spans="1:13" x14ac:dyDescent="0.2">
      <c r="A14" s="25">
        <f>A12+1</f>
        <v>3</v>
      </c>
      <c r="B14" s="26" t="s">
        <v>45</v>
      </c>
      <c r="C14" s="54"/>
      <c r="D14" s="55"/>
      <c r="E14" s="27">
        <f t="shared" si="0"/>
        <v>0</v>
      </c>
      <c r="F14" s="54">
        <f t="shared" si="1"/>
        <v>533659.9</v>
      </c>
      <c r="G14" s="55"/>
      <c r="H14" s="27">
        <f t="shared" si="2"/>
        <v>533659.9</v>
      </c>
      <c r="I14" s="35">
        <v>533659.9</v>
      </c>
      <c r="J14" s="44">
        <f t="shared" si="3"/>
        <v>533659.9</v>
      </c>
      <c r="K14" s="28"/>
    </row>
    <row r="15" spans="1:13" x14ac:dyDescent="0.2">
      <c r="A15" s="25"/>
      <c r="B15" s="26"/>
      <c r="C15" s="54"/>
      <c r="D15" s="55"/>
      <c r="E15" s="27"/>
      <c r="F15" s="54">
        <f t="shared" si="1"/>
        <v>0</v>
      </c>
      <c r="G15" s="55"/>
      <c r="H15" s="27">
        <f t="shared" si="2"/>
        <v>0</v>
      </c>
      <c r="I15" s="35"/>
      <c r="J15" s="44">
        <f t="shared" si="3"/>
        <v>0</v>
      </c>
      <c r="K15" s="28"/>
    </row>
    <row r="16" spans="1:13" x14ac:dyDescent="0.2">
      <c r="A16" s="25">
        <v>4</v>
      </c>
      <c r="B16" s="26" t="s">
        <v>15</v>
      </c>
      <c r="C16" s="54"/>
      <c r="D16" s="55"/>
      <c r="E16" s="27">
        <f>SUM(C16:D16)</f>
        <v>0</v>
      </c>
      <c r="F16" s="54">
        <f t="shared" si="1"/>
        <v>1582322.82</v>
      </c>
      <c r="G16" s="55"/>
      <c r="H16" s="27">
        <f t="shared" si="2"/>
        <v>1582322.82</v>
      </c>
      <c r="I16" s="35">
        <v>1582322.82</v>
      </c>
      <c r="J16" s="44">
        <f t="shared" si="3"/>
        <v>1582322.82</v>
      </c>
      <c r="K16" s="28"/>
    </row>
    <row r="17" spans="1:13" x14ac:dyDescent="0.2">
      <c r="A17" s="25"/>
      <c r="B17" s="26"/>
      <c r="C17" s="54"/>
      <c r="D17" s="55"/>
      <c r="E17" s="27"/>
      <c r="F17" s="54">
        <f t="shared" si="1"/>
        <v>0</v>
      </c>
      <c r="G17" s="55"/>
      <c r="H17" s="27">
        <f t="shared" si="2"/>
        <v>0</v>
      </c>
      <c r="I17" s="35"/>
      <c r="J17" s="44">
        <f t="shared" si="3"/>
        <v>0</v>
      </c>
      <c r="K17" s="28"/>
    </row>
    <row r="18" spans="1:13" x14ac:dyDescent="0.2">
      <c r="A18" s="25">
        <v>4</v>
      </c>
      <c r="B18" s="26" t="s">
        <v>46</v>
      </c>
      <c r="C18" s="54"/>
      <c r="D18" s="55"/>
      <c r="E18" s="27">
        <f t="shared" si="0"/>
        <v>0</v>
      </c>
      <c r="F18" s="54">
        <f t="shared" si="1"/>
        <v>0</v>
      </c>
      <c r="G18" s="55"/>
      <c r="H18" s="27">
        <f t="shared" si="2"/>
        <v>0</v>
      </c>
      <c r="I18" s="35"/>
      <c r="J18" s="44">
        <f t="shared" si="3"/>
        <v>0</v>
      </c>
      <c r="K18" s="28"/>
    </row>
    <row r="19" spans="1:13" x14ac:dyDescent="0.2">
      <c r="A19" s="25"/>
      <c r="B19" s="26"/>
      <c r="C19" s="54"/>
      <c r="D19" s="55"/>
      <c r="E19" s="27"/>
      <c r="F19" s="54">
        <f t="shared" si="1"/>
        <v>0</v>
      </c>
      <c r="G19" s="55"/>
      <c r="H19" s="27">
        <f t="shared" si="2"/>
        <v>0</v>
      </c>
      <c r="I19" s="35"/>
      <c r="J19" s="78"/>
      <c r="K19" s="28"/>
    </row>
    <row r="20" spans="1:13" ht="13.5" thickBot="1" x14ac:dyDescent="0.25">
      <c r="A20" s="29"/>
      <c r="B20" s="30" t="s">
        <v>11</v>
      </c>
      <c r="C20" s="56">
        <f>SUM(C9:C19)</f>
        <v>0</v>
      </c>
      <c r="D20" s="57">
        <f t="shared" ref="D20:J20" si="4">SUM(D9:D19)</f>
        <v>0</v>
      </c>
      <c r="E20" s="31">
        <f t="shared" si="4"/>
        <v>0</v>
      </c>
      <c r="F20" s="74">
        <f t="shared" si="4"/>
        <v>50685198.909999996</v>
      </c>
      <c r="G20" s="57">
        <f t="shared" si="4"/>
        <v>0</v>
      </c>
      <c r="H20" s="31">
        <f t="shared" si="4"/>
        <v>50685198.909999996</v>
      </c>
      <c r="I20" s="32">
        <f t="shared" si="4"/>
        <v>50685198.909999996</v>
      </c>
      <c r="J20" s="48">
        <f t="shared" si="4"/>
        <v>50685198.909999996</v>
      </c>
      <c r="K20" s="28"/>
    </row>
    <row r="21" spans="1:13" ht="13.5" thickTop="1" x14ac:dyDescent="0.2">
      <c r="A21" s="29"/>
      <c r="B21" s="30"/>
      <c r="C21" s="54"/>
      <c r="D21" s="55"/>
      <c r="E21" s="27">
        <f t="shared" ref="E21:E54" si="5">SUM(C21:D21)</f>
        <v>0</v>
      </c>
      <c r="F21" s="54"/>
      <c r="G21" s="55"/>
      <c r="H21" s="27"/>
      <c r="I21" s="35"/>
      <c r="J21" s="44">
        <f t="shared" si="3"/>
        <v>0</v>
      </c>
      <c r="K21" s="28"/>
    </row>
    <row r="22" spans="1:13" x14ac:dyDescent="0.2">
      <c r="A22" s="33" t="s">
        <v>12</v>
      </c>
      <c r="B22" s="23" t="s">
        <v>13</v>
      </c>
      <c r="C22" s="54"/>
      <c r="D22" s="55"/>
      <c r="E22" s="27">
        <f t="shared" si="5"/>
        <v>0</v>
      </c>
      <c r="F22" s="54"/>
      <c r="G22" s="55"/>
      <c r="H22" s="27"/>
      <c r="I22" s="35"/>
      <c r="J22" s="44">
        <f t="shared" si="3"/>
        <v>0</v>
      </c>
      <c r="K22" s="28"/>
    </row>
    <row r="23" spans="1:13" x14ac:dyDescent="0.2">
      <c r="A23" s="25">
        <v>1</v>
      </c>
      <c r="B23" s="26" t="s">
        <v>10</v>
      </c>
      <c r="C23" s="54">
        <v>9.92</v>
      </c>
      <c r="D23" s="55"/>
      <c r="E23" s="27">
        <f t="shared" si="5"/>
        <v>9.92</v>
      </c>
      <c r="F23" s="54">
        <f>+H23-G23</f>
        <v>42228505.780000001</v>
      </c>
      <c r="G23" s="68"/>
      <c r="H23" s="27">
        <f>+I23-E23</f>
        <v>42228505.780000001</v>
      </c>
      <c r="I23" s="35">
        <f>27167761.39-959.69+15058587+3127</f>
        <v>42228515.700000003</v>
      </c>
      <c r="J23" s="44">
        <f t="shared" si="3"/>
        <v>42228515.700000003</v>
      </c>
      <c r="K23" s="35">
        <f>+D23+G23</f>
        <v>0</v>
      </c>
      <c r="L23" s="3" t="s">
        <v>27</v>
      </c>
      <c r="M23" s="43">
        <f>I23+I53</f>
        <v>43561933.700000003</v>
      </c>
    </row>
    <row r="24" spans="1:13" x14ac:dyDescent="0.2">
      <c r="A24" s="29"/>
      <c r="B24" s="34"/>
      <c r="C24" s="54"/>
      <c r="D24" s="55"/>
      <c r="E24" s="27">
        <f t="shared" si="5"/>
        <v>0</v>
      </c>
      <c r="F24" s="54"/>
      <c r="G24" s="55"/>
      <c r="H24" s="27"/>
      <c r="I24" s="35"/>
      <c r="J24" s="44">
        <f t="shared" si="3"/>
        <v>0</v>
      </c>
      <c r="K24" s="35">
        <f t="shared" ref="K24:K54" si="6">+D24</f>
        <v>0</v>
      </c>
      <c r="L24" s="3" t="s">
        <v>28</v>
      </c>
      <c r="M24" s="43">
        <f>SUM(I27:I39)</f>
        <v>3435223</v>
      </c>
    </row>
    <row r="25" spans="1:13" x14ac:dyDescent="0.2">
      <c r="A25" s="25">
        <f>A23+1</f>
        <v>2</v>
      </c>
      <c r="B25" s="26" t="s">
        <v>14</v>
      </c>
      <c r="C25" s="54"/>
      <c r="D25" s="55"/>
      <c r="E25" s="27">
        <f t="shared" si="5"/>
        <v>0</v>
      </c>
      <c r="F25" s="54">
        <f>+H25-G25</f>
        <v>0</v>
      </c>
      <c r="G25" s="55"/>
      <c r="H25" s="27">
        <f>+I25-E24</f>
        <v>0</v>
      </c>
      <c r="I25" s="35"/>
      <c r="J25" s="44">
        <f t="shared" si="3"/>
        <v>0</v>
      </c>
      <c r="K25" s="35">
        <f t="shared" si="6"/>
        <v>0</v>
      </c>
      <c r="L25" s="3" t="s">
        <v>29</v>
      </c>
      <c r="M25" s="43">
        <f>SUM(I41:I51)</f>
        <v>1155703.96</v>
      </c>
    </row>
    <row r="26" spans="1:13" ht="13.5" thickBot="1" x14ac:dyDescent="0.25">
      <c r="A26" s="25"/>
      <c r="B26" s="26"/>
      <c r="C26" s="54"/>
      <c r="D26" s="55"/>
      <c r="E26" s="27">
        <f t="shared" si="5"/>
        <v>0</v>
      </c>
      <c r="F26" s="54">
        <f>+H26-G26</f>
        <v>0</v>
      </c>
      <c r="G26" s="55"/>
      <c r="H26" s="27">
        <f>+I26-E25</f>
        <v>0</v>
      </c>
      <c r="I26" s="35"/>
      <c r="J26" s="44">
        <f t="shared" si="3"/>
        <v>0</v>
      </c>
      <c r="K26" s="35">
        <f t="shared" si="6"/>
        <v>0</v>
      </c>
      <c r="M26" s="60">
        <f>SUM(M23:M25)</f>
        <v>48152860.660000004</v>
      </c>
    </row>
    <row r="27" spans="1:13" ht="13.5" thickTop="1" x14ac:dyDescent="0.2">
      <c r="A27" s="25">
        <f>A25+1</f>
        <v>3</v>
      </c>
      <c r="B27" s="26" t="s">
        <v>15</v>
      </c>
      <c r="C27" s="54"/>
      <c r="D27" s="55">
        <v>500000</v>
      </c>
      <c r="E27" s="27">
        <f t="shared" si="5"/>
        <v>500000</v>
      </c>
      <c r="F27" s="54">
        <f>+H27-G27</f>
        <v>1138515</v>
      </c>
      <c r="G27" s="55"/>
      <c r="H27" s="27">
        <f>+I27-E27</f>
        <v>1138515</v>
      </c>
      <c r="I27" s="35">
        <f>1139482-967+500000</f>
        <v>1638515</v>
      </c>
      <c r="J27" s="44">
        <f t="shared" si="3"/>
        <v>1638515</v>
      </c>
      <c r="K27" s="35">
        <f>+D27+G27</f>
        <v>500000</v>
      </c>
      <c r="M27" s="43">
        <f>I55</f>
        <v>48152860.660000004</v>
      </c>
    </row>
    <row r="28" spans="1:13" x14ac:dyDescent="0.2">
      <c r="A28" s="25"/>
      <c r="B28" s="26"/>
      <c r="C28" s="54"/>
      <c r="D28" s="55"/>
      <c r="E28" s="27">
        <f t="shared" si="5"/>
        <v>0</v>
      </c>
      <c r="F28" s="54"/>
      <c r="G28" s="55"/>
      <c r="H28" s="27"/>
      <c r="I28" s="35"/>
      <c r="J28" s="44">
        <f t="shared" si="3"/>
        <v>0</v>
      </c>
      <c r="K28" s="35">
        <f t="shared" si="6"/>
        <v>0</v>
      </c>
    </row>
    <row r="29" spans="1:13" x14ac:dyDescent="0.2">
      <c r="A29" s="25">
        <f>A27+1</f>
        <v>4</v>
      </c>
      <c r="B29" s="34" t="s">
        <v>16</v>
      </c>
      <c r="C29" s="54">
        <v>62160</v>
      </c>
      <c r="D29" s="55"/>
      <c r="E29" s="27">
        <f t="shared" si="5"/>
        <v>62160</v>
      </c>
      <c r="F29" s="54">
        <f>+H29-G29</f>
        <v>81660</v>
      </c>
      <c r="G29" s="55"/>
      <c r="H29" s="27">
        <f>+I29-E29</f>
        <v>81660</v>
      </c>
      <c r="I29" s="35">
        <v>143820</v>
      </c>
      <c r="J29" s="44">
        <f t="shared" si="3"/>
        <v>143820</v>
      </c>
      <c r="K29" s="35">
        <f t="shared" si="6"/>
        <v>0</v>
      </c>
    </row>
    <row r="30" spans="1:13" x14ac:dyDescent="0.2">
      <c r="A30" s="36"/>
      <c r="B30" s="34"/>
      <c r="C30" s="54"/>
      <c r="D30" s="55"/>
      <c r="E30" s="27">
        <f t="shared" si="5"/>
        <v>0</v>
      </c>
      <c r="F30" s="54"/>
      <c r="G30" s="55"/>
      <c r="H30" s="27"/>
      <c r="I30" s="35"/>
      <c r="J30" s="44">
        <f t="shared" si="3"/>
        <v>0</v>
      </c>
      <c r="K30" s="35">
        <f t="shared" si="6"/>
        <v>0</v>
      </c>
    </row>
    <row r="31" spans="1:13" x14ac:dyDescent="0.2">
      <c r="A31" s="25">
        <f>A29+1</f>
        <v>5</v>
      </c>
      <c r="B31" s="34" t="s">
        <v>25</v>
      </c>
      <c r="C31" s="54"/>
      <c r="D31" s="55"/>
      <c r="E31" s="27">
        <f t="shared" si="5"/>
        <v>0</v>
      </c>
      <c r="F31" s="54">
        <f>+H31-G31</f>
        <v>0</v>
      </c>
      <c r="G31" s="55"/>
      <c r="H31" s="27">
        <f>+I31-E31</f>
        <v>0</v>
      </c>
      <c r="I31" s="35"/>
      <c r="J31" s="44">
        <f t="shared" si="3"/>
        <v>0</v>
      </c>
      <c r="K31" s="35">
        <f t="shared" si="6"/>
        <v>0</v>
      </c>
    </row>
    <row r="32" spans="1:13" x14ac:dyDescent="0.2">
      <c r="A32" s="29"/>
      <c r="B32" s="34"/>
      <c r="C32" s="54"/>
      <c r="D32" s="55"/>
      <c r="E32" s="27">
        <f t="shared" si="5"/>
        <v>0</v>
      </c>
      <c r="F32" s="54"/>
      <c r="G32" s="55"/>
      <c r="H32" s="27"/>
      <c r="I32" s="35"/>
      <c r="J32" s="44">
        <f t="shared" si="3"/>
        <v>0</v>
      </c>
      <c r="K32" s="35">
        <f t="shared" si="6"/>
        <v>0</v>
      </c>
    </row>
    <row r="33" spans="1:11" x14ac:dyDescent="0.2">
      <c r="A33" s="25">
        <f>A31+1</f>
        <v>6</v>
      </c>
      <c r="B33" s="26" t="s">
        <v>41</v>
      </c>
      <c r="C33" s="54"/>
      <c r="D33" s="55"/>
      <c r="E33" s="27">
        <f t="shared" si="5"/>
        <v>0</v>
      </c>
      <c r="F33" s="54">
        <f>+H33-G33</f>
        <v>281250</v>
      </c>
      <c r="G33" s="55"/>
      <c r="H33" s="27">
        <f>+I33-E32</f>
        <v>281250</v>
      </c>
      <c r="I33" s="35">
        <v>281250</v>
      </c>
      <c r="J33" s="44">
        <f t="shared" si="3"/>
        <v>281250</v>
      </c>
      <c r="K33" s="35">
        <f t="shared" si="6"/>
        <v>0</v>
      </c>
    </row>
    <row r="34" spans="1:11" x14ac:dyDescent="0.2">
      <c r="A34" s="29"/>
      <c r="B34" s="34"/>
      <c r="C34" s="54"/>
      <c r="D34" s="55"/>
      <c r="E34" s="27">
        <f t="shared" si="5"/>
        <v>0</v>
      </c>
      <c r="F34" s="54">
        <f>+H34-G34</f>
        <v>0</v>
      </c>
      <c r="G34" s="55"/>
      <c r="H34" s="27">
        <f>+I34-E33</f>
        <v>0</v>
      </c>
      <c r="I34" s="35"/>
      <c r="J34" s="44">
        <f t="shared" si="3"/>
        <v>0</v>
      </c>
      <c r="K34" s="35">
        <f t="shared" si="6"/>
        <v>0</v>
      </c>
    </row>
    <row r="35" spans="1:11" x14ac:dyDescent="0.2">
      <c r="A35" s="25">
        <f>A33+1</f>
        <v>7</v>
      </c>
      <c r="B35" s="34" t="s">
        <v>36</v>
      </c>
      <c r="C35" s="54"/>
      <c r="D35" s="55"/>
      <c r="E35" s="27">
        <f t="shared" si="5"/>
        <v>0</v>
      </c>
      <c r="F35" s="54">
        <f>+H35-G35</f>
        <v>261643</v>
      </c>
      <c r="G35" s="68"/>
      <c r="H35" s="27">
        <f>+I35-E35</f>
        <v>261643</v>
      </c>
      <c r="I35" s="35">
        <v>261643</v>
      </c>
      <c r="J35" s="44">
        <f t="shared" si="3"/>
        <v>261643</v>
      </c>
      <c r="K35" s="35">
        <f t="shared" si="6"/>
        <v>0</v>
      </c>
    </row>
    <row r="36" spans="1:11" x14ac:dyDescent="0.2">
      <c r="A36" s="29"/>
      <c r="B36" s="34"/>
      <c r="C36" s="54"/>
      <c r="D36" s="55"/>
      <c r="E36" s="27">
        <f t="shared" si="5"/>
        <v>0</v>
      </c>
      <c r="F36" s="54"/>
      <c r="G36" s="55"/>
      <c r="H36" s="27"/>
      <c r="I36" s="35"/>
      <c r="J36" s="44">
        <f t="shared" si="3"/>
        <v>0</v>
      </c>
      <c r="K36" s="35">
        <f t="shared" si="6"/>
        <v>0</v>
      </c>
    </row>
    <row r="37" spans="1:11" x14ac:dyDescent="0.2">
      <c r="A37" s="25">
        <f>A35+1</f>
        <v>8</v>
      </c>
      <c r="B37" s="34" t="s">
        <v>47</v>
      </c>
      <c r="C37" s="54"/>
      <c r="D37" s="55"/>
      <c r="E37" s="27">
        <f>SUM(C37:D37)</f>
        <v>0</v>
      </c>
      <c r="F37" s="54">
        <f>+H37-G37</f>
        <v>0</v>
      </c>
      <c r="G37" s="68">
        <v>1109995</v>
      </c>
      <c r="H37" s="27">
        <f>+I37-E37</f>
        <v>1109995</v>
      </c>
      <c r="I37" s="35">
        <v>1109995</v>
      </c>
      <c r="J37" s="44">
        <f>+I37</f>
        <v>1109995</v>
      </c>
      <c r="K37" s="35">
        <f>+D37+G37</f>
        <v>1109995</v>
      </c>
    </row>
    <row r="38" spans="1:11" x14ac:dyDescent="0.2">
      <c r="A38" s="29"/>
      <c r="B38" s="34"/>
      <c r="C38" s="54"/>
      <c r="D38" s="55"/>
      <c r="E38" s="27">
        <f>SUM(C38:D38)</f>
        <v>0</v>
      </c>
      <c r="F38" s="54"/>
      <c r="G38" s="55"/>
      <c r="H38" s="27"/>
      <c r="I38" s="35"/>
      <c r="J38" s="44">
        <f>+I38</f>
        <v>0</v>
      </c>
      <c r="K38" s="35">
        <f>+D38</f>
        <v>0</v>
      </c>
    </row>
    <row r="39" spans="1:11" x14ac:dyDescent="0.2">
      <c r="A39" s="25">
        <f>+A37+1</f>
        <v>9</v>
      </c>
      <c r="B39" s="34" t="s">
        <v>33</v>
      </c>
      <c r="C39" s="54"/>
      <c r="D39" s="55"/>
      <c r="E39" s="27">
        <f t="shared" si="5"/>
        <v>0</v>
      </c>
      <c r="F39" s="54">
        <f>+H39-G39</f>
        <v>0</v>
      </c>
      <c r="G39" s="55"/>
      <c r="H39" s="27">
        <f>+I39-E36</f>
        <v>0</v>
      </c>
      <c r="I39" s="35"/>
      <c r="J39" s="44">
        <f t="shared" si="3"/>
        <v>0</v>
      </c>
      <c r="K39" s="35">
        <f t="shared" si="6"/>
        <v>0</v>
      </c>
    </row>
    <row r="40" spans="1:11" x14ac:dyDescent="0.2">
      <c r="A40" s="29"/>
      <c r="B40" s="34"/>
      <c r="C40" s="54"/>
      <c r="D40" s="55"/>
      <c r="E40" s="27">
        <f t="shared" si="5"/>
        <v>0</v>
      </c>
      <c r="F40" s="54">
        <f>+H40-G40</f>
        <v>0</v>
      </c>
      <c r="G40" s="55"/>
      <c r="H40" s="27">
        <f>+I40-E39</f>
        <v>0</v>
      </c>
      <c r="I40" s="35"/>
      <c r="J40" s="44">
        <f t="shared" si="3"/>
        <v>0</v>
      </c>
      <c r="K40" s="35">
        <f t="shared" si="6"/>
        <v>0</v>
      </c>
    </row>
    <row r="41" spans="1:11" x14ac:dyDescent="0.2">
      <c r="A41" s="25">
        <f>A39+1</f>
        <v>10</v>
      </c>
      <c r="B41" s="26" t="s">
        <v>17</v>
      </c>
      <c r="C41" s="54">
        <v>581645.96</v>
      </c>
      <c r="D41" s="55"/>
      <c r="E41" s="27">
        <f t="shared" si="5"/>
        <v>581645.96</v>
      </c>
      <c r="F41" s="54">
        <f>+H41-G41</f>
        <v>294595</v>
      </c>
      <c r="G41" s="55"/>
      <c r="H41" s="27">
        <f>+I41-E41</f>
        <v>294595</v>
      </c>
      <c r="I41" s="35">
        <v>876240.96</v>
      </c>
      <c r="J41" s="44">
        <f t="shared" si="3"/>
        <v>876240.96</v>
      </c>
      <c r="K41" s="35">
        <f t="shared" si="6"/>
        <v>0</v>
      </c>
    </row>
    <row r="42" spans="1:11" x14ac:dyDescent="0.2">
      <c r="A42" s="29"/>
      <c r="B42" s="34"/>
      <c r="C42" s="54"/>
      <c r="D42" s="55"/>
      <c r="E42" s="27">
        <f t="shared" si="5"/>
        <v>0</v>
      </c>
      <c r="F42" s="54"/>
      <c r="G42" s="55"/>
      <c r="H42" s="27"/>
      <c r="I42" s="35"/>
      <c r="J42" s="44">
        <f t="shared" si="3"/>
        <v>0</v>
      </c>
      <c r="K42" s="35">
        <f t="shared" si="6"/>
        <v>0</v>
      </c>
    </row>
    <row r="43" spans="1:11" x14ac:dyDescent="0.2">
      <c r="A43" s="25">
        <f>A41+1</f>
        <v>11</v>
      </c>
      <c r="B43" s="34" t="s">
        <v>18</v>
      </c>
      <c r="C43" s="54">
        <v>179190</v>
      </c>
      <c r="D43" s="55"/>
      <c r="E43" s="27">
        <f t="shared" si="5"/>
        <v>179190</v>
      </c>
      <c r="F43" s="54">
        <f>+H43-G43</f>
        <v>83688</v>
      </c>
      <c r="G43" s="55"/>
      <c r="H43" s="27">
        <f>+I43-E43</f>
        <v>83688</v>
      </c>
      <c r="I43" s="35">
        <f>258010+4868</f>
        <v>262878</v>
      </c>
      <c r="J43" s="44">
        <f t="shared" si="3"/>
        <v>262878</v>
      </c>
      <c r="K43" s="35">
        <f t="shared" si="6"/>
        <v>0</v>
      </c>
    </row>
    <row r="44" spans="1:11" x14ac:dyDescent="0.2">
      <c r="A44" s="25"/>
      <c r="B44" s="34"/>
      <c r="C44" s="54"/>
      <c r="D44" s="55"/>
      <c r="E44" s="27"/>
      <c r="F44" s="54">
        <f t="shared" ref="F44:F54" si="7">+H44-G44</f>
        <v>0</v>
      </c>
      <c r="G44" s="55"/>
      <c r="H44" s="27">
        <f t="shared" ref="H44:H54" si="8">+I44-E44</f>
        <v>0</v>
      </c>
      <c r="I44" s="35"/>
      <c r="J44" s="44">
        <f t="shared" si="3"/>
        <v>0</v>
      </c>
      <c r="K44" s="35"/>
    </row>
    <row r="45" spans="1:11" x14ac:dyDescent="0.2">
      <c r="A45" s="25">
        <v>11</v>
      </c>
      <c r="B45" s="34" t="s">
        <v>43</v>
      </c>
      <c r="C45" s="54"/>
      <c r="D45" s="55"/>
      <c r="E45" s="27">
        <f>SUM(C45:D45)</f>
        <v>0</v>
      </c>
      <c r="F45" s="54">
        <f t="shared" si="7"/>
        <v>0</v>
      </c>
      <c r="G45" s="55"/>
      <c r="H45" s="27">
        <f t="shared" si="8"/>
        <v>0</v>
      </c>
      <c r="I45" s="35"/>
      <c r="J45" s="44">
        <f t="shared" si="3"/>
        <v>0</v>
      </c>
      <c r="K45" s="35"/>
    </row>
    <row r="46" spans="1:11" x14ac:dyDescent="0.2">
      <c r="A46" s="25"/>
      <c r="B46" s="34"/>
      <c r="C46" s="54"/>
      <c r="D46" s="55"/>
      <c r="E46" s="27">
        <f t="shared" si="5"/>
        <v>0</v>
      </c>
      <c r="F46" s="54">
        <f t="shared" si="7"/>
        <v>0</v>
      </c>
      <c r="G46" s="55"/>
      <c r="H46" s="27">
        <f t="shared" si="8"/>
        <v>0</v>
      </c>
      <c r="I46" s="35"/>
      <c r="J46" s="44">
        <f t="shared" si="3"/>
        <v>0</v>
      </c>
      <c r="K46" s="35">
        <f t="shared" si="6"/>
        <v>0</v>
      </c>
    </row>
    <row r="47" spans="1:11" x14ac:dyDescent="0.2">
      <c r="A47" s="25">
        <v>12</v>
      </c>
      <c r="B47" s="34" t="s">
        <v>19</v>
      </c>
      <c r="C47" s="54"/>
      <c r="D47" s="55"/>
      <c r="E47" s="27">
        <f t="shared" si="5"/>
        <v>0</v>
      </c>
      <c r="F47" s="54">
        <f t="shared" si="7"/>
        <v>0</v>
      </c>
      <c r="G47" s="55"/>
      <c r="H47" s="27">
        <f t="shared" si="8"/>
        <v>0</v>
      </c>
      <c r="I47" s="35"/>
      <c r="J47" s="44">
        <f t="shared" si="3"/>
        <v>0</v>
      </c>
      <c r="K47" s="35">
        <f t="shared" si="6"/>
        <v>0</v>
      </c>
    </row>
    <row r="48" spans="1:11" x14ac:dyDescent="0.2">
      <c r="A48" s="25"/>
      <c r="B48" s="34"/>
      <c r="C48" s="54"/>
      <c r="D48" s="55"/>
      <c r="E48" s="27">
        <f t="shared" si="5"/>
        <v>0</v>
      </c>
      <c r="F48" s="54">
        <f t="shared" si="7"/>
        <v>0</v>
      </c>
      <c r="G48" s="55"/>
      <c r="H48" s="27">
        <f t="shared" si="8"/>
        <v>0</v>
      </c>
      <c r="I48" s="35"/>
      <c r="J48" s="44">
        <f t="shared" si="3"/>
        <v>0</v>
      </c>
      <c r="K48" s="35">
        <f t="shared" si="6"/>
        <v>0</v>
      </c>
    </row>
    <row r="49" spans="1:11" x14ac:dyDescent="0.2">
      <c r="A49" s="25">
        <f>A47+1</f>
        <v>13</v>
      </c>
      <c r="B49" s="34" t="s">
        <v>35</v>
      </c>
      <c r="C49" s="54"/>
      <c r="D49" s="55"/>
      <c r="E49" s="27">
        <f t="shared" si="5"/>
        <v>0</v>
      </c>
      <c r="F49" s="54">
        <f t="shared" si="7"/>
        <v>0</v>
      </c>
      <c r="G49" s="55"/>
      <c r="H49" s="27">
        <f t="shared" si="8"/>
        <v>0</v>
      </c>
      <c r="I49" s="35"/>
      <c r="J49" s="44">
        <f t="shared" si="3"/>
        <v>0</v>
      </c>
      <c r="K49" s="35">
        <f t="shared" si="6"/>
        <v>0</v>
      </c>
    </row>
    <row r="50" spans="1:11" x14ac:dyDescent="0.2">
      <c r="A50" s="25"/>
      <c r="B50" s="34"/>
      <c r="C50" s="54"/>
      <c r="D50" s="55"/>
      <c r="E50" s="27">
        <f t="shared" si="5"/>
        <v>0</v>
      </c>
      <c r="F50" s="54">
        <f t="shared" si="7"/>
        <v>0</v>
      </c>
      <c r="G50" s="55"/>
      <c r="H50" s="27">
        <f t="shared" si="8"/>
        <v>0</v>
      </c>
      <c r="I50" s="35"/>
      <c r="J50" s="44">
        <f t="shared" si="3"/>
        <v>0</v>
      </c>
      <c r="K50" s="35">
        <f t="shared" si="6"/>
        <v>0</v>
      </c>
    </row>
    <row r="51" spans="1:11" x14ac:dyDescent="0.2">
      <c r="A51" s="25">
        <f>A49+1</f>
        <v>14</v>
      </c>
      <c r="B51" s="34" t="s">
        <v>20</v>
      </c>
      <c r="C51" s="54">
        <f>1065+9826+4370</f>
        <v>15261</v>
      </c>
      <c r="D51" s="55"/>
      <c r="E51" s="27">
        <f t="shared" si="5"/>
        <v>15261</v>
      </c>
      <c r="F51" s="54">
        <f t="shared" si="7"/>
        <v>1324</v>
      </c>
      <c r="G51" s="55"/>
      <c r="H51" s="27">
        <f t="shared" si="8"/>
        <v>1324</v>
      </c>
      <c r="I51" s="35">
        <f>1065+1324+9826+4370</f>
        <v>16585</v>
      </c>
      <c r="J51" s="44">
        <f t="shared" si="3"/>
        <v>16585</v>
      </c>
      <c r="K51" s="35">
        <f t="shared" si="6"/>
        <v>0</v>
      </c>
    </row>
    <row r="52" spans="1:11" x14ac:dyDescent="0.2">
      <c r="A52" s="36"/>
      <c r="B52" s="26"/>
      <c r="C52" s="54"/>
      <c r="D52" s="55"/>
      <c r="E52" s="27">
        <f t="shared" si="5"/>
        <v>0</v>
      </c>
      <c r="F52" s="54">
        <f t="shared" si="7"/>
        <v>0</v>
      </c>
      <c r="G52" s="55"/>
      <c r="H52" s="27">
        <f t="shared" si="8"/>
        <v>0</v>
      </c>
      <c r="I52" s="35"/>
      <c r="J52" s="44">
        <f t="shared" si="3"/>
        <v>0</v>
      </c>
      <c r="K52" s="35">
        <f t="shared" si="6"/>
        <v>0</v>
      </c>
    </row>
    <row r="53" spans="1:11" x14ac:dyDescent="0.2">
      <c r="A53" s="25">
        <f>A51+1</f>
        <v>15</v>
      </c>
      <c r="B53" s="26" t="s">
        <v>50</v>
      </c>
      <c r="C53" s="54"/>
      <c r="D53" s="55"/>
      <c r="E53" s="27">
        <f t="shared" si="5"/>
        <v>0</v>
      </c>
      <c r="F53" s="54">
        <f t="shared" si="7"/>
        <v>0</v>
      </c>
      <c r="G53" s="68">
        <v>1333418</v>
      </c>
      <c r="H53" s="27">
        <f t="shared" si="8"/>
        <v>1333418</v>
      </c>
      <c r="I53" s="35">
        <v>1333418</v>
      </c>
      <c r="J53" s="44">
        <f t="shared" si="3"/>
        <v>1333418</v>
      </c>
      <c r="K53" s="35">
        <f>+D53+G53</f>
        <v>1333418</v>
      </c>
    </row>
    <row r="54" spans="1:11" x14ac:dyDescent="0.2">
      <c r="A54" s="36"/>
      <c r="B54" s="34"/>
      <c r="C54" s="54"/>
      <c r="D54" s="55"/>
      <c r="E54" s="27">
        <f t="shared" si="5"/>
        <v>0</v>
      </c>
      <c r="F54" s="54">
        <f t="shared" si="7"/>
        <v>0</v>
      </c>
      <c r="G54" s="55"/>
      <c r="H54" s="27">
        <f t="shared" si="8"/>
        <v>0</v>
      </c>
      <c r="I54" s="35"/>
      <c r="J54" s="44">
        <f t="shared" si="3"/>
        <v>0</v>
      </c>
      <c r="K54" s="35">
        <f t="shared" si="6"/>
        <v>0</v>
      </c>
    </row>
    <row r="55" spans="1:11" ht="13.5" thickBot="1" x14ac:dyDescent="0.25">
      <c r="A55" s="29"/>
      <c r="B55" s="30" t="s">
        <v>21</v>
      </c>
      <c r="C55" s="56">
        <f t="shared" ref="C55:J55" si="9">SUM(C21:C54)</f>
        <v>838266.88</v>
      </c>
      <c r="D55" s="57">
        <f t="shared" si="9"/>
        <v>500000</v>
      </c>
      <c r="E55" s="31">
        <f t="shared" si="9"/>
        <v>1338266.8799999999</v>
      </c>
      <c r="F55" s="56">
        <f t="shared" si="9"/>
        <v>44371180.780000001</v>
      </c>
      <c r="G55" s="57">
        <f t="shared" si="9"/>
        <v>2443413</v>
      </c>
      <c r="H55" s="31">
        <f t="shared" si="9"/>
        <v>46814593.780000001</v>
      </c>
      <c r="I55" s="32">
        <f t="shared" si="9"/>
        <v>48152860.660000004</v>
      </c>
      <c r="J55" s="32">
        <f t="shared" si="9"/>
        <v>48152860.660000004</v>
      </c>
      <c r="K55" s="65">
        <f>SUM(K22:K54)</f>
        <v>2943413</v>
      </c>
    </row>
    <row r="56" spans="1:11" ht="14.25" thickTop="1" thickBot="1" x14ac:dyDescent="0.25">
      <c r="A56" s="37" t="s">
        <v>22</v>
      </c>
      <c r="B56" s="38" t="s">
        <v>23</v>
      </c>
      <c r="C56" s="58"/>
      <c r="D56" s="59"/>
      <c r="E56" s="39">
        <f>E20-E55</f>
        <v>-1338266.8799999999</v>
      </c>
      <c r="F56" s="75"/>
      <c r="G56" s="76"/>
      <c r="H56" s="39">
        <f>H20-H55</f>
        <v>3870605.1299999952</v>
      </c>
      <c r="I56" s="40">
        <f>I20-I55</f>
        <v>2532338.2499999925</v>
      </c>
      <c r="J56" s="40">
        <f>J20-J55</f>
        <v>2532338.2499999925</v>
      </c>
      <c r="K56" s="41"/>
    </row>
    <row r="57" spans="1:11" ht="16.5" thickTop="1" x14ac:dyDescent="0.25">
      <c r="A57" s="1"/>
      <c r="B57" s="42"/>
      <c r="E57" s="77" t="e">
        <f>+D53/C10</f>
        <v>#DIV/0!</v>
      </c>
      <c r="I57" s="77">
        <f>+I53/I10</f>
        <v>2.9999997750143035E-2</v>
      </c>
      <c r="J57" s="43">
        <f>+I56</f>
        <v>2532338.2499999925</v>
      </c>
    </row>
    <row r="58" spans="1:11" x14ac:dyDescent="0.2">
      <c r="G58" s="61" t="s">
        <v>5</v>
      </c>
      <c r="H58" s="61" t="s">
        <v>38</v>
      </c>
      <c r="I58" s="61" t="s">
        <v>39</v>
      </c>
      <c r="J58" s="62" t="s">
        <v>40</v>
      </c>
      <c r="K58" s="66" t="s">
        <v>30</v>
      </c>
    </row>
    <row r="59" spans="1:11" x14ac:dyDescent="0.2">
      <c r="F59" s="64" t="s">
        <v>32</v>
      </c>
      <c r="G59" s="43">
        <f>4490+550</f>
        <v>5040</v>
      </c>
      <c r="I59" s="43">
        <f>+G59-H59</f>
        <v>5040</v>
      </c>
      <c r="J59" s="43">
        <f>(+I10+I18)/100000</f>
        <v>444.47269999999997</v>
      </c>
      <c r="K59" s="43">
        <f>I59-J59</f>
        <v>4595.5272999999997</v>
      </c>
    </row>
    <row r="60" spans="1:11" x14ac:dyDescent="0.2">
      <c r="F60" s="63" t="s">
        <v>31</v>
      </c>
      <c r="G60" s="43">
        <v>297</v>
      </c>
      <c r="I60" s="43">
        <f>+G60-H60</f>
        <v>297</v>
      </c>
      <c r="J60" s="43">
        <f>+I60/I59*J59</f>
        <v>26.192141249999999</v>
      </c>
      <c r="K60" s="43">
        <f>I60-J60</f>
        <v>270.80785874999998</v>
      </c>
    </row>
    <row r="61" spans="1:11" x14ac:dyDescent="0.2">
      <c r="J61" s="43">
        <f>+I56/100000-J60</f>
        <v>-0.86875875000007241</v>
      </c>
    </row>
    <row r="62" spans="1:11" x14ac:dyDescent="0.2">
      <c r="C62" s="43"/>
    </row>
    <row r="63" spans="1:11" x14ac:dyDescent="0.2">
      <c r="I63" s="43">
        <f>+I55-G53-G23-G37</f>
        <v>45709447.660000004</v>
      </c>
    </row>
    <row r="64" spans="1:11" x14ac:dyDescent="0.2">
      <c r="I64" s="3">
        <f>45428197.66+281250</f>
        <v>45709447.659999996</v>
      </c>
    </row>
    <row r="65" spans="9:9" x14ac:dyDescent="0.2">
      <c r="I65" s="43">
        <f>+I63-I64</f>
        <v>0</v>
      </c>
    </row>
  </sheetData>
  <mergeCells count="2">
    <mergeCell ref="C6:E6"/>
    <mergeCell ref="F6:H6"/>
  </mergeCells>
  <phoneticPr fontId="29" type="noConversion"/>
  <printOptions horizontalCentered="1"/>
  <pageMargins left="0.2" right="0.2" top="0.24" bottom="0.24" header="0.2" footer="0.19"/>
  <pageSetup paperSize="9" scale="66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CS</vt:lpstr>
      <vt:lpstr>S&amp;C Jun'11</vt:lpstr>
      <vt:lpstr>S&amp;C Mar'11</vt:lpstr>
      <vt:lpstr>S&amp;C Dec'10</vt:lpstr>
      <vt:lpstr>S&amp;C Sept'10 </vt:lpstr>
      <vt:lpstr>S&amp;C Jun'10</vt:lpstr>
      <vt:lpstr>'S&amp;C Dec''10'!Print_Area</vt:lpstr>
      <vt:lpstr>'S&amp;C Jun''10'!Print_Area</vt:lpstr>
      <vt:lpstr>'S&amp;C Jun''11'!Print_Area</vt:lpstr>
      <vt:lpstr>'S&amp;C Mar''11'!Print_Area</vt:lpstr>
      <vt:lpstr>'S&amp;C Sept''10 '!Print_Area</vt:lpstr>
    </vt:vector>
  </TitlesOfParts>
  <Company>isgec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</dc:creator>
  <cp:lastModifiedBy>lalit</cp:lastModifiedBy>
  <cp:lastPrinted>2017-01-06T11:05:23Z</cp:lastPrinted>
  <dcterms:created xsi:type="dcterms:W3CDTF">1999-01-27T22:30:50Z</dcterms:created>
  <dcterms:modified xsi:type="dcterms:W3CDTF">2017-01-10T14:45:35Z</dcterms:modified>
</cp:coreProperties>
</file>