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terpublic-my.sharepoint.com/personal/pallavi_singhal_rufusww_com/Documents/Desktop/2024/June/Pay/UPI Plan/"/>
    </mc:Choice>
  </mc:AlternateContent>
  <xr:revisionPtr revIDLastSave="2110" documentId="8_{6D3DEEED-AA41-466D-A657-473DFF913B1A}" xr6:coauthVersionLast="47" xr6:coauthVersionMax="47" xr10:uidLastSave="{F2502591-7A35-4762-A04C-221F79D616BF}"/>
  <bookViews>
    <workbookView xWindow="-110" yWindow="-110" windowWidth="19420" windowHeight="10420" tabRatio="892" firstSheet="1" activeTab="1" xr2:uid="{0378D4E7-6FF8-4A38-8673-3A7962ECAC17}"/>
  </bookViews>
  <sheets>
    <sheet name="Overall Summary" sheetId="78" state="hidden" r:id="rId1"/>
    <sheet name="Digital - Summary" sheetId="173" r:id="rId2"/>
    <sheet name="Sheet1" sheetId="184" state="hidden" r:id="rId3"/>
    <sheet name="Digital Plan - UPI" sheetId="174" r:id="rId4"/>
    <sheet name="Digital Updated Schedule" sheetId="186" r:id="rId5"/>
    <sheet name="Digital Schedule-Overall" sheetId="185" state="hidden" r:id="rId6"/>
    <sheet name="Digital - Targeting" sheetId="175" r:id="rId7"/>
    <sheet name="Digital - Schedule" sheetId="176" state="hidden" r:id="rId8"/>
    <sheet name="Sheet4" sheetId="183" state="hidden" r:id="rId9"/>
    <sheet name="NoBroker Dates" sheetId="177" r:id="rId10"/>
    <sheet name="Creative Roll Out" sheetId="181" state="hidden" r:id="rId11"/>
    <sheet name="Sheet3" sheetId="182" state="hidden" r:id="rId12"/>
    <sheet name="Impact" sheetId="80" state="hidden" r:id="rId13"/>
    <sheet name="working" sheetId="110" state="hidden" r:id="rId14"/>
    <sheet name="Hindi GEC" sheetId="112" state="hidden" r:id="rId15"/>
    <sheet name="Hindi Movies" sheetId="113" state="hidden" r:id="rId16"/>
    <sheet name="Hindi News" sheetId="114" state="hidden" r:id="rId17"/>
    <sheet name="Kids" sheetId="117" state="hidden" r:id="rId18"/>
    <sheet name="AP GEC" sheetId="119" state="hidden" r:id="rId19"/>
    <sheet name="AP Movies" sheetId="120" state="hidden" r:id="rId20"/>
    <sheet name="AP News" sheetId="121" state="hidden" r:id="rId21"/>
    <sheet name="AP HD" sheetId="122" state="hidden" r:id="rId22"/>
    <sheet name="TN GEC" sheetId="123" state="hidden" r:id="rId23"/>
    <sheet name="TN Movies" sheetId="124" state="hidden" r:id="rId24"/>
    <sheet name="TN News" sheetId="134" state="hidden" r:id="rId25"/>
    <sheet name="TN HD" sheetId="125" state="hidden" r:id="rId26"/>
    <sheet name="KAR GEC" sheetId="127" state="hidden" r:id="rId27"/>
    <sheet name="Kar Movies" sheetId="135" state="hidden" r:id="rId28"/>
    <sheet name="KAR News" sheetId="128" state="hidden" r:id="rId29"/>
    <sheet name="KAR HD" sheetId="129" state="hidden" r:id="rId30"/>
    <sheet name="MAH GEC" sheetId="130" state="hidden" r:id="rId31"/>
    <sheet name="Mah Movies" sheetId="136" state="hidden" r:id="rId32"/>
    <sheet name="MAH News" sheetId="131" state="hidden" r:id="rId33"/>
    <sheet name="Mah HD" sheetId="137" state="hidden" r:id="rId34"/>
    <sheet name="WB GEC" sheetId="132" state="hidden" r:id="rId35"/>
    <sheet name="WB Movies" sheetId="138" state="hidden" r:id="rId36"/>
    <sheet name="WB News" sheetId="133" state="hidden" r:id="rId37"/>
    <sheet name="WB HD1" sheetId="139" state="hidden" r:id="rId38"/>
    <sheet name="English News" sheetId="118" state="hidden" r:id="rId39"/>
    <sheet name="Hindi HD" sheetId="115" state="hidden" r:id="rId40"/>
    <sheet name="KER GEC" sheetId="146" state="hidden" r:id="rId41"/>
    <sheet name="KER Movies" sheetId="147" state="hidden" r:id="rId42"/>
    <sheet name="KER News" sheetId="148" state="hidden" r:id="rId43"/>
    <sheet name="KER HD" sheetId="150" state="hidden" r:id="rId44"/>
    <sheet name="Cricket increment" sheetId="75" state="hidden" r:id="rId45"/>
    <sheet name="WB HD" sheetId="105" state="hidden" r:id="rId46"/>
  </sheets>
  <definedNames>
    <definedName name="_xlnm._FilterDatabase" localSheetId="18" hidden="1">'AP GEC'!$A$30:$F$37</definedName>
    <definedName name="_xlnm._FilterDatabase" localSheetId="21" hidden="1">'AP HD'!$A$30:$F$37</definedName>
    <definedName name="_xlnm._FilterDatabase" localSheetId="19" hidden="1">'AP Movies'!$A$24:$F$28</definedName>
    <definedName name="_xlnm._FilterDatabase" localSheetId="20" hidden="1">'AP News'!$A$26:$F$31</definedName>
    <definedName name="_xlnm._FilterDatabase" localSheetId="7" hidden="1">'Digital - Schedule'!$A$1:$AJ$282</definedName>
    <definedName name="_xlnm._FilterDatabase" localSheetId="3" hidden="1">'Digital Plan - UPI'!$A$1:$AM$198</definedName>
    <definedName name="_xlnm._FilterDatabase" localSheetId="5" hidden="1">'Digital Schedule-Overall'!$B$2:$AP$197</definedName>
    <definedName name="_xlnm._FilterDatabase" localSheetId="4" hidden="1">'Digital Updated Schedule'!$A$2:$AM$197</definedName>
    <definedName name="_xlnm._FilterDatabase" localSheetId="14" hidden="1">'Hindi GEC'!$A$48:$F$62</definedName>
    <definedName name="_xlnm._FilterDatabase" localSheetId="39" hidden="1">'Hindi HD'!$A$42:$F$53</definedName>
    <definedName name="_xlnm._FilterDatabase" localSheetId="15" hidden="1">'Hindi Movies'!$A$55:$F$74</definedName>
    <definedName name="_xlnm._FilterDatabase" localSheetId="16" hidden="1">'Hindi News'!$A$37:$L$37</definedName>
    <definedName name="_xlnm._FilterDatabase" localSheetId="12" hidden="1">Impact!$A$2:$N$5</definedName>
    <definedName name="_xlnm._FilterDatabase" localSheetId="26" hidden="1">'KAR GEC'!$A$27:$F$33</definedName>
    <definedName name="_xlnm._FilterDatabase" localSheetId="29" hidden="1">'KAR HD'!$A$23:$F$26</definedName>
    <definedName name="_xlnm._FilterDatabase" localSheetId="28" hidden="1">'KAR News'!$A$23:$F$27</definedName>
    <definedName name="_xlnm._FilterDatabase" localSheetId="40" hidden="1">'KER GEC'!$A$29:$M$29</definedName>
    <definedName name="_xlnm._FilterDatabase" localSheetId="43" hidden="1">'KER HD'!#REF!</definedName>
    <definedName name="_xlnm._FilterDatabase" localSheetId="41" hidden="1">'KER Movies'!$A$21:$J$21</definedName>
    <definedName name="_xlnm._FilterDatabase" localSheetId="42" hidden="1">'KER News'!$A$27:$J$27</definedName>
    <definedName name="_xlnm._FilterDatabase" localSheetId="17" hidden="1">Kids!$A$40:$F$51</definedName>
    <definedName name="_xlnm._FilterDatabase" localSheetId="30" hidden="1">'MAH GEC'!$A$33:$F$40</definedName>
    <definedName name="_xlnm._FilterDatabase" localSheetId="32" hidden="1">'MAH News'!$A$28:$F$32</definedName>
    <definedName name="_xlnm._FilterDatabase" localSheetId="22" hidden="1">'TN GEC'!$A$32:$F$40</definedName>
    <definedName name="_xlnm._FilterDatabase" localSheetId="25" hidden="1">'TN HD'!$A$30:$F$36</definedName>
    <definedName name="_xlnm._FilterDatabase" localSheetId="23" hidden="1">'TN Movies'!$A$26:$F$30</definedName>
    <definedName name="_xlnm._FilterDatabase" localSheetId="34" hidden="1">'WB GEC'!$A$26:$F$32</definedName>
    <definedName name="_xlnm._FilterDatabase" localSheetId="45" hidden="1">'WB HD'!$A$25:$M$25</definedName>
    <definedName name="_xlnm._FilterDatabase" localSheetId="36" hidden="1">'WB News'!$A$30:$F$37</definedName>
    <definedName name="a" localSheetId="18">#REF!</definedName>
    <definedName name="a" localSheetId="21">#REF!</definedName>
    <definedName name="a" localSheetId="19">#REF!</definedName>
    <definedName name="a" localSheetId="20">#REF!</definedName>
    <definedName name="a" localSheetId="14">#REF!</definedName>
    <definedName name="a" localSheetId="39">#REF!</definedName>
    <definedName name="a" localSheetId="15">#REF!</definedName>
    <definedName name="a" localSheetId="16">#REF!</definedName>
    <definedName name="a" localSheetId="26">#REF!</definedName>
    <definedName name="a" localSheetId="29">#REF!</definedName>
    <definedName name="a" localSheetId="28">#REF!</definedName>
    <definedName name="a" localSheetId="17">#REF!</definedName>
    <definedName name="a" localSheetId="32">#REF!</definedName>
    <definedName name="a" localSheetId="22">#REF!</definedName>
    <definedName name="a" localSheetId="25">#REF!</definedName>
    <definedName name="a" localSheetId="23">#REF!</definedName>
    <definedName name="a" localSheetId="34">#REF!</definedName>
    <definedName name="a" localSheetId="45">#REF!</definedName>
    <definedName name="a" localSheetId="36">#REF!</definedName>
    <definedName name="a">#REF!</definedName>
    <definedName name="AA" localSheetId="18">#REF!</definedName>
    <definedName name="AA" localSheetId="21">#REF!</definedName>
    <definedName name="AA" localSheetId="19">#REF!</definedName>
    <definedName name="AA" localSheetId="20">#REF!</definedName>
    <definedName name="AA" localSheetId="14">#REF!</definedName>
    <definedName name="AA" localSheetId="39">#REF!</definedName>
    <definedName name="AA" localSheetId="15">#REF!</definedName>
    <definedName name="AA" localSheetId="16">#REF!</definedName>
    <definedName name="AA" localSheetId="26">#REF!</definedName>
    <definedName name="AA" localSheetId="29">#REF!</definedName>
    <definedName name="AA" localSheetId="28">#REF!</definedName>
    <definedName name="AA" localSheetId="17">#REF!</definedName>
    <definedName name="AA" localSheetId="32">#REF!</definedName>
    <definedName name="AA" localSheetId="22">#REF!</definedName>
    <definedName name="AA" localSheetId="25">#REF!</definedName>
    <definedName name="AA" localSheetId="23">#REF!</definedName>
    <definedName name="AA" localSheetId="34">#REF!</definedName>
    <definedName name="AA" localSheetId="45">#REF!</definedName>
    <definedName name="AA" localSheetId="36">#REF!</definedName>
    <definedName name="AA">#REF!</definedName>
    <definedName name="abc">#REF!</definedName>
    <definedName name="ACDchange">#REF!</definedName>
    <definedName name="ADQ" localSheetId="18">#REF!</definedName>
    <definedName name="ADQ" localSheetId="21">#REF!</definedName>
    <definedName name="ADQ" localSheetId="19">#REF!</definedName>
    <definedName name="ADQ" localSheetId="20">#REF!</definedName>
    <definedName name="ADQ" localSheetId="14">#REF!</definedName>
    <definedName name="ADQ" localSheetId="39">#REF!</definedName>
    <definedName name="ADQ" localSheetId="15">#REF!</definedName>
    <definedName name="ADQ" localSheetId="16">#REF!</definedName>
    <definedName name="ADQ" localSheetId="26">#REF!</definedName>
    <definedName name="ADQ" localSheetId="29">#REF!</definedName>
    <definedName name="ADQ" localSheetId="28">#REF!</definedName>
    <definedName name="ADQ" localSheetId="17">#REF!</definedName>
    <definedName name="ADQ" localSheetId="32">#REF!</definedName>
    <definedName name="ADQ" localSheetId="22">#REF!</definedName>
    <definedName name="ADQ" localSheetId="25">#REF!</definedName>
    <definedName name="ADQ" localSheetId="23">#REF!</definedName>
    <definedName name="ADQ" localSheetId="34">#REF!</definedName>
    <definedName name="ADQ" localSheetId="45">#REF!</definedName>
    <definedName name="ADQ" localSheetId="36">#REF!</definedName>
    <definedName name="ADQ">#REF!</definedName>
    <definedName name="adSd" localSheetId="18">#REF!</definedName>
    <definedName name="adSd" localSheetId="21">#REF!</definedName>
    <definedName name="adSd" localSheetId="19">#REF!</definedName>
    <definedName name="adSd" localSheetId="20">#REF!</definedName>
    <definedName name="adSd" localSheetId="14">#REF!</definedName>
    <definedName name="adSd" localSheetId="39">#REF!</definedName>
    <definedName name="adSd" localSheetId="15">#REF!</definedName>
    <definedName name="adSd" localSheetId="16">#REF!</definedName>
    <definedName name="adSd" localSheetId="26">#REF!</definedName>
    <definedName name="adSd" localSheetId="29">#REF!</definedName>
    <definedName name="adSd" localSheetId="28">#REF!</definedName>
    <definedName name="adSd" localSheetId="17">#REF!</definedName>
    <definedName name="adSd" localSheetId="32">#REF!</definedName>
    <definedName name="adSd" localSheetId="22">#REF!</definedName>
    <definedName name="adSd" localSheetId="25">#REF!</definedName>
    <definedName name="adSd" localSheetId="23">#REF!</definedName>
    <definedName name="adSd" localSheetId="34">#REF!</definedName>
    <definedName name="adSd" localSheetId="45">#REF!</definedName>
    <definedName name="adSd" localSheetId="36">#REF!</definedName>
    <definedName name="adSd">#REF!</definedName>
    <definedName name="aerhdfrh" localSheetId="18">#REF!</definedName>
    <definedName name="aerhdfrh" localSheetId="21">#REF!</definedName>
    <definedName name="aerhdfrh" localSheetId="19">#REF!</definedName>
    <definedName name="aerhdfrh" localSheetId="20">#REF!</definedName>
    <definedName name="aerhdfrh" localSheetId="14">#REF!</definedName>
    <definedName name="aerhdfrh" localSheetId="39">#REF!</definedName>
    <definedName name="aerhdfrh" localSheetId="15">#REF!</definedName>
    <definedName name="aerhdfrh" localSheetId="16">#REF!</definedName>
    <definedName name="aerhdfrh" localSheetId="26">#REF!</definedName>
    <definedName name="aerhdfrh" localSheetId="29">#REF!</definedName>
    <definedName name="aerhdfrh" localSheetId="28">#REF!</definedName>
    <definedName name="aerhdfrh" localSheetId="17">#REF!</definedName>
    <definedName name="aerhdfrh" localSheetId="32">#REF!</definedName>
    <definedName name="aerhdfrh" localSheetId="22">#REF!</definedName>
    <definedName name="aerhdfrh" localSheetId="25">#REF!</definedName>
    <definedName name="aerhdfrh" localSheetId="23">#REF!</definedName>
    <definedName name="aerhdfrh" localSheetId="34">#REF!</definedName>
    <definedName name="aerhdfrh" localSheetId="45">#REF!</definedName>
    <definedName name="aerhdfrh" localSheetId="36">#REF!</definedName>
    <definedName name="aerhdfrh">#REF!</definedName>
    <definedName name="aewgeshgaer" localSheetId="18">#REF!</definedName>
    <definedName name="aewgeshgaer" localSheetId="21">#REF!</definedName>
    <definedName name="aewgeshgaer" localSheetId="19">#REF!</definedName>
    <definedName name="aewgeshgaer" localSheetId="20">#REF!</definedName>
    <definedName name="aewgeshgaer" localSheetId="14">#REF!</definedName>
    <definedName name="aewgeshgaer" localSheetId="39">#REF!</definedName>
    <definedName name="aewgeshgaer" localSheetId="15">#REF!</definedName>
    <definedName name="aewgeshgaer" localSheetId="16">#REF!</definedName>
    <definedName name="aewgeshgaer" localSheetId="26">#REF!</definedName>
    <definedName name="aewgeshgaer" localSheetId="29">#REF!</definedName>
    <definedName name="aewgeshgaer" localSheetId="28">#REF!</definedName>
    <definedName name="aewgeshgaer" localSheetId="17">#REF!</definedName>
    <definedName name="aewgeshgaer" localSheetId="32">#REF!</definedName>
    <definedName name="aewgeshgaer" localSheetId="22">#REF!</definedName>
    <definedName name="aewgeshgaer" localSheetId="25">#REF!</definedName>
    <definedName name="aewgeshgaer" localSheetId="23">#REF!</definedName>
    <definedName name="aewgeshgaer" localSheetId="34">#REF!</definedName>
    <definedName name="aewgeshgaer" localSheetId="45">#REF!</definedName>
    <definedName name="aewgeshgaer" localSheetId="36">#REF!</definedName>
    <definedName name="aewgeshgaer">#REF!</definedName>
    <definedName name="aeyraeyreaq" localSheetId="18">#REF!</definedName>
    <definedName name="aeyraeyreaq" localSheetId="21">#REF!</definedName>
    <definedName name="aeyraeyreaq" localSheetId="19">#REF!</definedName>
    <definedName name="aeyraeyreaq" localSheetId="20">#REF!</definedName>
    <definedName name="aeyraeyreaq" localSheetId="14">#REF!</definedName>
    <definedName name="aeyraeyreaq" localSheetId="39">#REF!</definedName>
    <definedName name="aeyraeyreaq" localSheetId="15">#REF!</definedName>
    <definedName name="aeyraeyreaq" localSheetId="16">#REF!</definedName>
    <definedName name="aeyraeyreaq" localSheetId="26">#REF!</definedName>
    <definedName name="aeyraeyreaq" localSheetId="29">#REF!</definedName>
    <definedName name="aeyraeyreaq" localSheetId="28">#REF!</definedName>
    <definedName name="aeyraeyreaq" localSheetId="17">#REF!</definedName>
    <definedName name="aeyraeyreaq" localSheetId="32">#REF!</definedName>
    <definedName name="aeyraeyreaq" localSheetId="22">#REF!</definedName>
    <definedName name="aeyraeyreaq" localSheetId="25">#REF!</definedName>
    <definedName name="aeyraeyreaq" localSheetId="23">#REF!</definedName>
    <definedName name="aeyraeyreaq" localSheetId="34">#REF!</definedName>
    <definedName name="aeyraeyreaq" localSheetId="45">#REF!</definedName>
    <definedName name="aeyraeyreaq" localSheetId="36">#REF!</definedName>
    <definedName name="aeyraeyreaq">#REF!</definedName>
    <definedName name="AGHASDFG" localSheetId="18">#REF!</definedName>
    <definedName name="AGHASDFG" localSheetId="21">#REF!</definedName>
    <definedName name="AGHASDFG" localSheetId="19">#REF!</definedName>
    <definedName name="AGHASDFG" localSheetId="20">#REF!</definedName>
    <definedName name="AGHASDFG" localSheetId="14">#REF!</definedName>
    <definedName name="AGHASDFG" localSheetId="39">#REF!</definedName>
    <definedName name="AGHASDFG" localSheetId="15">#REF!</definedName>
    <definedName name="AGHASDFG" localSheetId="16">#REF!</definedName>
    <definedName name="AGHASDFG" localSheetId="26">#REF!</definedName>
    <definedName name="AGHASDFG" localSheetId="29">#REF!</definedName>
    <definedName name="AGHASDFG" localSheetId="28">#REF!</definedName>
    <definedName name="AGHASDFG" localSheetId="17">#REF!</definedName>
    <definedName name="AGHASDFG" localSheetId="32">#REF!</definedName>
    <definedName name="AGHASDFG" localSheetId="22">#REF!</definedName>
    <definedName name="AGHASDFG" localSheetId="25">#REF!</definedName>
    <definedName name="AGHASDFG" localSheetId="23">#REF!</definedName>
    <definedName name="AGHASDFG" localSheetId="34">#REF!</definedName>
    <definedName name="AGHASDFG" localSheetId="45">#REF!</definedName>
    <definedName name="AGHASDFG" localSheetId="36">#REF!</definedName>
    <definedName name="AGHASDFG">#REF!</definedName>
    <definedName name="ahrfedh" localSheetId="18">#REF!</definedName>
    <definedName name="ahrfedh" localSheetId="21">#REF!</definedName>
    <definedName name="ahrfedh" localSheetId="19">#REF!</definedName>
    <definedName name="ahrfedh" localSheetId="20">#REF!</definedName>
    <definedName name="ahrfedh" localSheetId="14">#REF!</definedName>
    <definedName name="ahrfedh" localSheetId="39">#REF!</definedName>
    <definedName name="ahrfedh" localSheetId="15">#REF!</definedName>
    <definedName name="ahrfedh" localSheetId="16">#REF!</definedName>
    <definedName name="ahrfedh" localSheetId="26">#REF!</definedName>
    <definedName name="ahrfedh" localSheetId="29">#REF!</definedName>
    <definedName name="ahrfedh" localSheetId="28">#REF!</definedName>
    <definedName name="ahrfedh" localSheetId="17">#REF!</definedName>
    <definedName name="ahrfedh" localSheetId="32">#REF!</definedName>
    <definedName name="ahrfedh" localSheetId="22">#REF!</definedName>
    <definedName name="ahrfedh" localSheetId="25">#REF!</definedName>
    <definedName name="ahrfedh" localSheetId="23">#REF!</definedName>
    <definedName name="ahrfedh" localSheetId="34">#REF!</definedName>
    <definedName name="ahrfedh" localSheetId="45">#REF!</definedName>
    <definedName name="ahrfedh" localSheetId="36">#REF!</definedName>
    <definedName name="ahrfedh">#REF!</definedName>
    <definedName name="ajitha" localSheetId="18">#REF!</definedName>
    <definedName name="ajitha" localSheetId="21">#REF!</definedName>
    <definedName name="ajitha" localSheetId="19">#REF!</definedName>
    <definedName name="ajitha" localSheetId="20">#REF!</definedName>
    <definedName name="ajitha" localSheetId="14">#REF!</definedName>
    <definedName name="ajitha" localSheetId="39">#REF!</definedName>
    <definedName name="ajitha" localSheetId="15">#REF!</definedName>
    <definedName name="ajitha" localSheetId="16">#REF!</definedName>
    <definedName name="ajitha" localSheetId="26">#REF!</definedName>
    <definedName name="ajitha" localSheetId="29">#REF!</definedName>
    <definedName name="ajitha" localSheetId="28">#REF!</definedName>
    <definedName name="ajitha" localSheetId="17">#REF!</definedName>
    <definedName name="ajitha" localSheetId="32">#REF!</definedName>
    <definedName name="ajitha" localSheetId="22">#REF!</definedName>
    <definedName name="ajitha" localSheetId="25">#REF!</definedName>
    <definedName name="ajitha" localSheetId="23">#REF!</definedName>
    <definedName name="ajitha" localSheetId="34">#REF!</definedName>
    <definedName name="ajitha" localSheetId="45">#REF!</definedName>
    <definedName name="ajitha" localSheetId="36">#REF!</definedName>
    <definedName name="ajitha">#REF!</definedName>
    <definedName name="ajithaa">#REF!</definedName>
    <definedName name="as">#REF!</definedName>
    <definedName name="asasasasa" localSheetId="18">#REF!</definedName>
    <definedName name="asasasasa" localSheetId="21">#REF!</definedName>
    <definedName name="asasasasa" localSheetId="19">#REF!</definedName>
    <definedName name="asasasasa" localSheetId="20">#REF!</definedName>
    <definedName name="asasasasa" localSheetId="14">#REF!</definedName>
    <definedName name="asasasasa" localSheetId="39">#REF!</definedName>
    <definedName name="asasasasa" localSheetId="15">#REF!</definedName>
    <definedName name="asasasasa" localSheetId="16">#REF!</definedName>
    <definedName name="asasasasa" localSheetId="26">#REF!</definedName>
    <definedName name="asasasasa" localSheetId="29">#REF!</definedName>
    <definedName name="asasasasa" localSheetId="28">#REF!</definedName>
    <definedName name="asasasasa" localSheetId="17">#REF!</definedName>
    <definedName name="asasasasa" localSheetId="32">#REF!</definedName>
    <definedName name="asasasasa" localSheetId="22">#REF!</definedName>
    <definedName name="asasasasa" localSheetId="25">#REF!</definedName>
    <definedName name="asasasasa" localSheetId="23">#REF!</definedName>
    <definedName name="asasasasa" localSheetId="34">#REF!</definedName>
    <definedName name="asasasasa" localSheetId="45">#REF!</definedName>
    <definedName name="asasasasa" localSheetId="36">#REF!</definedName>
    <definedName name="asasasasa">#REF!</definedName>
    <definedName name="asasd" localSheetId="18">#REF!</definedName>
    <definedName name="asasd" localSheetId="21">#REF!</definedName>
    <definedName name="asasd" localSheetId="19">#REF!</definedName>
    <definedName name="asasd" localSheetId="20">#REF!</definedName>
    <definedName name="asasd" localSheetId="14">#REF!</definedName>
    <definedName name="asasd" localSheetId="39">#REF!</definedName>
    <definedName name="asasd" localSheetId="15">#REF!</definedName>
    <definedName name="asasd" localSheetId="16">#REF!</definedName>
    <definedName name="asasd" localSheetId="26">#REF!</definedName>
    <definedName name="asasd" localSheetId="29">#REF!</definedName>
    <definedName name="asasd" localSheetId="28">#REF!</definedName>
    <definedName name="asasd" localSheetId="17">#REF!</definedName>
    <definedName name="asasd" localSheetId="32">#REF!</definedName>
    <definedName name="asasd" localSheetId="22">#REF!</definedName>
    <definedName name="asasd" localSheetId="25">#REF!</definedName>
    <definedName name="asasd" localSheetId="23">#REF!</definedName>
    <definedName name="asasd" localSheetId="34">#REF!</definedName>
    <definedName name="asasd" localSheetId="45">#REF!</definedName>
    <definedName name="asasd" localSheetId="36">#REF!</definedName>
    <definedName name="asasd">#REF!</definedName>
    <definedName name="asdfasdf" localSheetId="18">#REF!</definedName>
    <definedName name="asdfasdf" localSheetId="21">#REF!</definedName>
    <definedName name="asdfasdf" localSheetId="19">#REF!</definedName>
    <definedName name="asdfasdf" localSheetId="20">#REF!</definedName>
    <definedName name="asdfasdf" localSheetId="14">#REF!</definedName>
    <definedName name="asdfasdf" localSheetId="39">#REF!</definedName>
    <definedName name="asdfasdf" localSheetId="15">#REF!</definedName>
    <definedName name="asdfasdf" localSheetId="16">#REF!</definedName>
    <definedName name="asdfasdf" localSheetId="26">#REF!</definedName>
    <definedName name="asdfasdf" localSheetId="29">#REF!</definedName>
    <definedName name="asdfasdf" localSheetId="28">#REF!</definedName>
    <definedName name="asdfasdf" localSheetId="17">#REF!</definedName>
    <definedName name="asdfasdf" localSheetId="32">#REF!</definedName>
    <definedName name="asdfasdf" localSheetId="22">#REF!</definedName>
    <definedName name="asdfasdf" localSheetId="25">#REF!</definedName>
    <definedName name="asdfasdf" localSheetId="23">#REF!</definedName>
    <definedName name="asdfasdf" localSheetId="34">#REF!</definedName>
    <definedName name="asdfasdf" localSheetId="45">#REF!</definedName>
    <definedName name="asdfasdf" localSheetId="36">#REF!</definedName>
    <definedName name="asdfasdf">#REF!</definedName>
    <definedName name="asgfrgtf" localSheetId="18">#REF!</definedName>
    <definedName name="asgfrgtf" localSheetId="21">#REF!</definedName>
    <definedName name="asgfrgtf" localSheetId="19">#REF!</definedName>
    <definedName name="asgfrgtf" localSheetId="20">#REF!</definedName>
    <definedName name="asgfrgtf" localSheetId="14">#REF!</definedName>
    <definedName name="asgfrgtf" localSheetId="39">#REF!</definedName>
    <definedName name="asgfrgtf" localSheetId="15">#REF!</definedName>
    <definedName name="asgfrgtf" localSheetId="16">#REF!</definedName>
    <definedName name="asgfrgtf" localSheetId="26">#REF!</definedName>
    <definedName name="asgfrgtf" localSheetId="29">#REF!</definedName>
    <definedName name="asgfrgtf" localSheetId="28">#REF!</definedName>
    <definedName name="asgfrgtf" localSheetId="17">#REF!</definedName>
    <definedName name="asgfrgtf" localSheetId="32">#REF!</definedName>
    <definedName name="asgfrgtf" localSheetId="22">#REF!</definedName>
    <definedName name="asgfrgtf" localSheetId="25">#REF!</definedName>
    <definedName name="asgfrgtf" localSheetId="23">#REF!</definedName>
    <definedName name="asgfrgtf" localSheetId="34">#REF!</definedName>
    <definedName name="asgfrgtf" localSheetId="45">#REF!</definedName>
    <definedName name="asgfrgtf" localSheetId="36">#REF!</definedName>
    <definedName name="asgfrgtf">#REF!</definedName>
    <definedName name="avc" localSheetId="18">#REF!</definedName>
    <definedName name="avc" localSheetId="21">#REF!</definedName>
    <definedName name="avc" localSheetId="19">#REF!</definedName>
    <definedName name="avc" localSheetId="20">#REF!</definedName>
    <definedName name="avc" localSheetId="14">#REF!</definedName>
    <definedName name="avc" localSheetId="39">#REF!</definedName>
    <definedName name="avc" localSheetId="15">#REF!</definedName>
    <definedName name="avc" localSheetId="16">#REF!</definedName>
    <definedName name="avc" localSheetId="26">#REF!</definedName>
    <definedName name="avc" localSheetId="29">#REF!</definedName>
    <definedName name="avc" localSheetId="28">#REF!</definedName>
    <definedName name="avc" localSheetId="17">#REF!</definedName>
    <definedName name="avc" localSheetId="32">#REF!</definedName>
    <definedName name="avc" localSheetId="22">#REF!</definedName>
    <definedName name="avc" localSheetId="25">#REF!</definedName>
    <definedName name="avc" localSheetId="23">#REF!</definedName>
    <definedName name="avc" localSheetId="34">#REF!</definedName>
    <definedName name="avc" localSheetId="45">#REF!</definedName>
    <definedName name="avc" localSheetId="36">#REF!</definedName>
    <definedName name="avc">#REF!</definedName>
    <definedName name="b" localSheetId="18">#REF!</definedName>
    <definedName name="b" localSheetId="21">#REF!</definedName>
    <definedName name="b" localSheetId="19">#REF!</definedName>
    <definedName name="b" localSheetId="20">#REF!</definedName>
    <definedName name="b" localSheetId="14">#REF!</definedName>
    <definedName name="b" localSheetId="39">#REF!</definedName>
    <definedName name="b" localSheetId="15">#REF!</definedName>
    <definedName name="b" localSheetId="16">#REF!</definedName>
    <definedName name="b" localSheetId="26">#REF!</definedName>
    <definedName name="b" localSheetId="29">#REF!</definedName>
    <definedName name="b" localSheetId="28">#REF!</definedName>
    <definedName name="b" localSheetId="17">#REF!</definedName>
    <definedName name="b" localSheetId="32">#REF!</definedName>
    <definedName name="b" localSheetId="22">#REF!</definedName>
    <definedName name="b" localSheetId="25">#REF!</definedName>
    <definedName name="b" localSheetId="23">#REF!</definedName>
    <definedName name="b" localSheetId="34">#REF!</definedName>
    <definedName name="b" localSheetId="45">#REF!</definedName>
    <definedName name="b" localSheetId="36">#REF!</definedName>
    <definedName name="b">#REF!</definedName>
    <definedName name="Beanchmark">#REF!</definedName>
    <definedName name="benchmark">#REF!</definedName>
    <definedName name="BFX_BRANDFX">60122</definedName>
    <definedName name="bv">#REF!</definedName>
    <definedName name="cdac" localSheetId="18">#REF!</definedName>
    <definedName name="cdac" localSheetId="21">#REF!</definedName>
    <definedName name="cdac" localSheetId="19">#REF!</definedName>
    <definedName name="cdac" localSheetId="20">#REF!</definedName>
    <definedName name="cdac" localSheetId="14">#REF!</definedName>
    <definedName name="cdac" localSheetId="39">#REF!</definedName>
    <definedName name="cdac" localSheetId="15">#REF!</definedName>
    <definedName name="cdac" localSheetId="16">#REF!</definedName>
    <definedName name="cdac" localSheetId="26">#REF!</definedName>
    <definedName name="cdac" localSheetId="29">#REF!</definedName>
    <definedName name="cdac" localSheetId="28">#REF!</definedName>
    <definedName name="cdac" localSheetId="17">#REF!</definedName>
    <definedName name="cdac" localSheetId="32">#REF!</definedName>
    <definedName name="cdac" localSheetId="22">#REF!</definedName>
    <definedName name="cdac" localSheetId="25">#REF!</definedName>
    <definedName name="cdac" localSheetId="23">#REF!</definedName>
    <definedName name="cdac" localSheetId="34">#REF!</definedName>
    <definedName name="cdac" localSheetId="45">#REF!</definedName>
    <definedName name="cdac" localSheetId="36">#REF!</definedName>
    <definedName name="cdac">#REF!</definedName>
    <definedName name="cfhfd" localSheetId="18">#REF!</definedName>
    <definedName name="cfhfd" localSheetId="21">#REF!</definedName>
    <definedName name="cfhfd" localSheetId="19">#REF!</definedName>
    <definedName name="cfhfd" localSheetId="20">#REF!</definedName>
    <definedName name="cfhfd" localSheetId="14">#REF!</definedName>
    <definedName name="cfhfd" localSheetId="39">#REF!</definedName>
    <definedName name="cfhfd" localSheetId="15">#REF!</definedName>
    <definedName name="cfhfd" localSheetId="16">#REF!</definedName>
    <definedName name="cfhfd" localSheetId="26">#REF!</definedName>
    <definedName name="cfhfd" localSheetId="29">#REF!</definedName>
    <definedName name="cfhfd" localSheetId="28">#REF!</definedName>
    <definedName name="cfhfd" localSheetId="17">#REF!</definedName>
    <definedName name="cfhfd" localSheetId="32">#REF!</definedName>
    <definedName name="cfhfd" localSheetId="22">#REF!</definedName>
    <definedName name="cfhfd" localSheetId="25">#REF!</definedName>
    <definedName name="cfhfd" localSheetId="23">#REF!</definedName>
    <definedName name="cfhfd" localSheetId="34">#REF!</definedName>
    <definedName name="cfhfd" localSheetId="45">#REF!</definedName>
    <definedName name="cfhfd" localSheetId="36">#REF!</definedName>
    <definedName name="cfhfd">#REF!</definedName>
    <definedName name="comedymashup">#REF!</definedName>
    <definedName name="d">#REF!</definedName>
    <definedName name="defs">#REF!</definedName>
    <definedName name="des" localSheetId="18">#REF!</definedName>
    <definedName name="des" localSheetId="21">#REF!</definedName>
    <definedName name="des" localSheetId="19">#REF!</definedName>
    <definedName name="des" localSheetId="20">#REF!</definedName>
    <definedName name="des" localSheetId="14">#REF!</definedName>
    <definedName name="des" localSheetId="39">#REF!</definedName>
    <definedName name="des" localSheetId="15">#REF!</definedName>
    <definedName name="des" localSheetId="16">#REF!</definedName>
    <definedName name="des" localSheetId="26">#REF!</definedName>
    <definedName name="des" localSheetId="29">#REF!</definedName>
    <definedName name="des" localSheetId="28">#REF!</definedName>
    <definedName name="des" localSheetId="17">#REF!</definedName>
    <definedName name="des" localSheetId="32">#REF!</definedName>
    <definedName name="des" localSheetId="22">#REF!</definedName>
    <definedName name="des" localSheetId="25">#REF!</definedName>
    <definedName name="des" localSheetId="23">#REF!</definedName>
    <definedName name="des" localSheetId="34">#REF!</definedName>
    <definedName name="des" localSheetId="45">#REF!</definedName>
    <definedName name="des" localSheetId="36">#REF!</definedName>
    <definedName name="des">#REF!</definedName>
    <definedName name="dfhdfhd" localSheetId="18">#REF!</definedName>
    <definedName name="dfhdfhd" localSheetId="21">#REF!</definedName>
    <definedName name="dfhdfhd" localSheetId="19">#REF!</definedName>
    <definedName name="dfhdfhd" localSheetId="20">#REF!</definedName>
    <definedName name="dfhdfhd" localSheetId="14">#REF!</definedName>
    <definedName name="dfhdfhd" localSheetId="39">#REF!</definedName>
    <definedName name="dfhdfhd" localSheetId="15">#REF!</definedName>
    <definedName name="dfhdfhd" localSheetId="16">#REF!</definedName>
    <definedName name="dfhdfhd" localSheetId="26">#REF!</definedName>
    <definedName name="dfhdfhd" localSheetId="29">#REF!</definedName>
    <definedName name="dfhdfhd" localSheetId="28">#REF!</definedName>
    <definedName name="dfhdfhd" localSheetId="17">#REF!</definedName>
    <definedName name="dfhdfhd" localSheetId="32">#REF!</definedName>
    <definedName name="dfhdfhd" localSheetId="22">#REF!</definedName>
    <definedName name="dfhdfhd" localSheetId="25">#REF!</definedName>
    <definedName name="dfhdfhd" localSheetId="23">#REF!</definedName>
    <definedName name="dfhdfhd" localSheetId="34">#REF!</definedName>
    <definedName name="dfhdfhd" localSheetId="45">#REF!</definedName>
    <definedName name="dfhdfhd" localSheetId="36">#REF!</definedName>
    <definedName name="dfhdfhd">#REF!</definedName>
    <definedName name="dfhfdhzd" localSheetId="18">#REF!</definedName>
    <definedName name="dfhfdhzd" localSheetId="21">#REF!</definedName>
    <definedName name="dfhfdhzd" localSheetId="19">#REF!</definedName>
    <definedName name="dfhfdhzd" localSheetId="20">#REF!</definedName>
    <definedName name="dfhfdhzd" localSheetId="14">#REF!</definedName>
    <definedName name="dfhfdhzd" localSheetId="39">#REF!</definedName>
    <definedName name="dfhfdhzd" localSheetId="15">#REF!</definedName>
    <definedName name="dfhfdhzd" localSheetId="16">#REF!</definedName>
    <definedName name="dfhfdhzd" localSheetId="26">#REF!</definedName>
    <definedName name="dfhfdhzd" localSheetId="29">#REF!</definedName>
    <definedName name="dfhfdhzd" localSheetId="28">#REF!</definedName>
    <definedName name="dfhfdhzd" localSheetId="17">#REF!</definedName>
    <definedName name="dfhfdhzd" localSheetId="32">#REF!</definedName>
    <definedName name="dfhfdhzd" localSheetId="22">#REF!</definedName>
    <definedName name="dfhfdhzd" localSheetId="25">#REF!</definedName>
    <definedName name="dfhfdhzd" localSheetId="23">#REF!</definedName>
    <definedName name="dfhfdhzd" localSheetId="34">#REF!</definedName>
    <definedName name="dfhfdhzd" localSheetId="45">#REF!</definedName>
    <definedName name="dfhfdhzd" localSheetId="36">#REF!</definedName>
    <definedName name="dfhfdhzd">#REF!</definedName>
    <definedName name="dgs" localSheetId="18">#REF!</definedName>
    <definedName name="dgs" localSheetId="21">#REF!</definedName>
    <definedName name="dgs" localSheetId="19">#REF!</definedName>
    <definedName name="dgs" localSheetId="20">#REF!</definedName>
    <definedName name="dgs" localSheetId="14">#REF!</definedName>
    <definedName name="dgs" localSheetId="39">#REF!</definedName>
    <definedName name="dgs" localSheetId="15">#REF!</definedName>
    <definedName name="dgs" localSheetId="16">#REF!</definedName>
    <definedName name="dgs" localSheetId="26">#REF!</definedName>
    <definedName name="dgs" localSheetId="29">#REF!</definedName>
    <definedName name="dgs" localSheetId="28">#REF!</definedName>
    <definedName name="dgs" localSheetId="17">#REF!</definedName>
    <definedName name="dgs" localSheetId="32">#REF!</definedName>
    <definedName name="dgs" localSheetId="22">#REF!</definedName>
    <definedName name="dgs" localSheetId="25">#REF!</definedName>
    <definedName name="dgs" localSheetId="23">#REF!</definedName>
    <definedName name="dgs" localSheetId="34">#REF!</definedName>
    <definedName name="dgs" localSheetId="45">#REF!</definedName>
    <definedName name="dgs" localSheetId="36">#REF!</definedName>
    <definedName name="dgs">#REF!</definedName>
    <definedName name="dqD" localSheetId="18">#REF!</definedName>
    <definedName name="dqD" localSheetId="21">#REF!</definedName>
    <definedName name="dqD" localSheetId="19">#REF!</definedName>
    <definedName name="dqD" localSheetId="20">#REF!</definedName>
    <definedName name="dqD" localSheetId="14">#REF!</definedName>
    <definedName name="dqD" localSheetId="39">#REF!</definedName>
    <definedName name="dqD" localSheetId="15">#REF!</definedName>
    <definedName name="dqD" localSheetId="16">#REF!</definedName>
    <definedName name="dqD" localSheetId="26">#REF!</definedName>
    <definedName name="dqD" localSheetId="29">#REF!</definedName>
    <definedName name="dqD" localSheetId="28">#REF!</definedName>
    <definedName name="dqD" localSheetId="17">#REF!</definedName>
    <definedName name="dqD" localSheetId="32">#REF!</definedName>
    <definedName name="dqD" localSheetId="22">#REF!</definedName>
    <definedName name="dqD" localSheetId="25">#REF!</definedName>
    <definedName name="dqD" localSheetId="23">#REF!</definedName>
    <definedName name="dqD" localSheetId="34">#REF!</definedName>
    <definedName name="dqD" localSheetId="45">#REF!</definedName>
    <definedName name="dqD" localSheetId="36">#REF!</definedName>
    <definedName name="dqD">#REF!</definedName>
    <definedName name="DQW" localSheetId="18">#REF!</definedName>
    <definedName name="DQW" localSheetId="21">#REF!</definedName>
    <definedName name="DQW" localSheetId="19">#REF!</definedName>
    <definedName name="DQW" localSheetId="20">#REF!</definedName>
    <definedName name="DQW" localSheetId="14">#REF!</definedName>
    <definedName name="DQW" localSheetId="39">#REF!</definedName>
    <definedName name="DQW" localSheetId="15">#REF!</definedName>
    <definedName name="DQW" localSheetId="16">#REF!</definedName>
    <definedName name="DQW" localSheetId="26">#REF!</definedName>
    <definedName name="DQW" localSheetId="29">#REF!</definedName>
    <definedName name="DQW" localSheetId="28">#REF!</definedName>
    <definedName name="DQW" localSheetId="17">#REF!</definedName>
    <definedName name="DQW" localSheetId="32">#REF!</definedName>
    <definedName name="DQW" localSheetId="22">#REF!</definedName>
    <definedName name="DQW" localSheetId="25">#REF!</definedName>
    <definedName name="DQW" localSheetId="23">#REF!</definedName>
    <definedName name="DQW" localSheetId="34">#REF!</definedName>
    <definedName name="DQW" localSheetId="45">#REF!</definedName>
    <definedName name="DQW" localSheetId="36">#REF!</definedName>
    <definedName name="DQW">#REF!</definedName>
    <definedName name="drf">#REF!</definedName>
    <definedName name="drg">#REF!</definedName>
    <definedName name="dsdfzsdfgdSZ" localSheetId="18">#REF!</definedName>
    <definedName name="dsdfzsdfgdSZ" localSheetId="21">#REF!</definedName>
    <definedName name="dsdfzsdfgdSZ" localSheetId="19">#REF!</definedName>
    <definedName name="dsdfzsdfgdSZ" localSheetId="20">#REF!</definedName>
    <definedName name="dsdfzsdfgdSZ" localSheetId="14">#REF!</definedName>
    <definedName name="dsdfzsdfgdSZ" localSheetId="39">#REF!</definedName>
    <definedName name="dsdfzsdfgdSZ" localSheetId="15">#REF!</definedName>
    <definedName name="dsdfzsdfgdSZ" localSheetId="16">#REF!</definedName>
    <definedName name="dsdfzsdfgdSZ" localSheetId="26">#REF!</definedName>
    <definedName name="dsdfzsdfgdSZ" localSheetId="29">#REF!</definedName>
    <definedName name="dsdfzsdfgdSZ" localSheetId="28">#REF!</definedName>
    <definedName name="dsdfzsdfgdSZ" localSheetId="17">#REF!</definedName>
    <definedName name="dsdfzsdfgdSZ" localSheetId="32">#REF!</definedName>
    <definedName name="dsdfzsdfgdSZ" localSheetId="22">#REF!</definedName>
    <definedName name="dsdfzsdfgdSZ" localSheetId="25">#REF!</definedName>
    <definedName name="dsdfzsdfgdSZ" localSheetId="23">#REF!</definedName>
    <definedName name="dsdfzsdfgdSZ" localSheetId="34">#REF!</definedName>
    <definedName name="dsdfzsdfgdSZ" localSheetId="45">#REF!</definedName>
    <definedName name="dsdfzsdfgdSZ" localSheetId="36">#REF!</definedName>
    <definedName name="dsdfzsdfgdSZ">#REF!</definedName>
    <definedName name="dwqwq">#REF!</definedName>
    <definedName name="ed">#REF!</definedName>
    <definedName name="esdfsf" localSheetId="18">#REF!</definedName>
    <definedName name="esdfsf" localSheetId="21">#REF!</definedName>
    <definedName name="esdfsf" localSheetId="19">#REF!</definedName>
    <definedName name="esdfsf" localSheetId="20">#REF!</definedName>
    <definedName name="esdfsf" localSheetId="14">#REF!</definedName>
    <definedName name="esdfsf" localSheetId="39">#REF!</definedName>
    <definedName name="esdfsf" localSheetId="15">#REF!</definedName>
    <definedName name="esdfsf" localSheetId="16">#REF!</definedName>
    <definedName name="esdfsf" localSheetId="26">#REF!</definedName>
    <definedName name="esdfsf" localSheetId="29">#REF!</definedName>
    <definedName name="esdfsf" localSheetId="28">#REF!</definedName>
    <definedName name="esdfsf" localSheetId="17">#REF!</definedName>
    <definedName name="esdfsf" localSheetId="32">#REF!</definedName>
    <definedName name="esdfsf" localSheetId="22">#REF!</definedName>
    <definedName name="esdfsf" localSheetId="25">#REF!</definedName>
    <definedName name="esdfsf" localSheetId="23">#REF!</definedName>
    <definedName name="esdfsf" localSheetId="34">#REF!</definedName>
    <definedName name="esdfsf" localSheetId="45">#REF!</definedName>
    <definedName name="esdfsf" localSheetId="36">#REF!</definedName>
    <definedName name="esdfsf">#REF!</definedName>
    <definedName name="ewfc" localSheetId="18">#REF!</definedName>
    <definedName name="ewfc" localSheetId="21">#REF!</definedName>
    <definedName name="ewfc" localSheetId="19">#REF!</definedName>
    <definedName name="ewfc" localSheetId="20">#REF!</definedName>
    <definedName name="ewfc" localSheetId="14">#REF!</definedName>
    <definedName name="ewfc" localSheetId="39">#REF!</definedName>
    <definedName name="ewfc" localSheetId="15">#REF!</definedName>
    <definedName name="ewfc" localSheetId="16">#REF!</definedName>
    <definedName name="ewfc" localSheetId="26">#REF!</definedName>
    <definedName name="ewfc" localSheetId="29">#REF!</definedName>
    <definedName name="ewfc" localSheetId="28">#REF!</definedName>
    <definedName name="ewfc" localSheetId="17">#REF!</definedName>
    <definedName name="ewfc" localSheetId="32">#REF!</definedName>
    <definedName name="ewfc" localSheetId="22">#REF!</definedName>
    <definedName name="ewfc" localSheetId="25">#REF!</definedName>
    <definedName name="ewfc" localSheetId="23">#REF!</definedName>
    <definedName name="ewfc" localSheetId="34">#REF!</definedName>
    <definedName name="ewfc" localSheetId="45">#REF!</definedName>
    <definedName name="ewfc" localSheetId="36">#REF!</definedName>
    <definedName name="ewfc">#REF!</definedName>
    <definedName name="f">#REF!</definedName>
    <definedName name="fdsa" localSheetId="18">#REF!</definedName>
    <definedName name="fdsa" localSheetId="21">#REF!</definedName>
    <definedName name="fdsa" localSheetId="19">#REF!</definedName>
    <definedName name="fdsa" localSheetId="20">#REF!</definedName>
    <definedName name="fdsa" localSheetId="14">#REF!</definedName>
    <definedName name="fdsa" localSheetId="39">#REF!</definedName>
    <definedName name="fdsa" localSheetId="15">#REF!</definedName>
    <definedName name="fdsa" localSheetId="16">#REF!</definedName>
    <definedName name="fdsa" localSheetId="26">#REF!</definedName>
    <definedName name="fdsa" localSheetId="29">#REF!</definedName>
    <definedName name="fdsa" localSheetId="28">#REF!</definedName>
    <definedName name="fdsa" localSheetId="17">#REF!</definedName>
    <definedName name="fdsa" localSheetId="32">#REF!</definedName>
    <definedName name="fdsa" localSheetId="22">#REF!</definedName>
    <definedName name="fdsa" localSheetId="25">#REF!</definedName>
    <definedName name="fdsa" localSheetId="23">#REF!</definedName>
    <definedName name="fdsa" localSheetId="34">#REF!</definedName>
    <definedName name="fdsa" localSheetId="45">#REF!</definedName>
    <definedName name="fdsa" localSheetId="36">#REF!</definedName>
    <definedName name="fdsa">#REF!</definedName>
    <definedName name="fdxgmjxfgk" localSheetId="18">#REF!</definedName>
    <definedName name="fdxgmjxfgk" localSheetId="21">#REF!</definedName>
    <definedName name="fdxgmjxfgk" localSheetId="19">#REF!</definedName>
    <definedName name="fdxgmjxfgk" localSheetId="20">#REF!</definedName>
    <definedName name="fdxgmjxfgk" localSheetId="14">#REF!</definedName>
    <definedName name="fdxgmjxfgk" localSheetId="39">#REF!</definedName>
    <definedName name="fdxgmjxfgk" localSheetId="15">#REF!</definedName>
    <definedName name="fdxgmjxfgk" localSheetId="16">#REF!</definedName>
    <definedName name="fdxgmjxfgk" localSheetId="26">#REF!</definedName>
    <definedName name="fdxgmjxfgk" localSheetId="29">#REF!</definedName>
    <definedName name="fdxgmjxfgk" localSheetId="28">#REF!</definedName>
    <definedName name="fdxgmjxfgk" localSheetId="17">#REF!</definedName>
    <definedName name="fdxgmjxfgk" localSheetId="32">#REF!</definedName>
    <definedName name="fdxgmjxfgk" localSheetId="22">#REF!</definedName>
    <definedName name="fdxgmjxfgk" localSheetId="25">#REF!</definedName>
    <definedName name="fdxgmjxfgk" localSheetId="23">#REF!</definedName>
    <definedName name="fdxgmjxfgk" localSheetId="34">#REF!</definedName>
    <definedName name="fdxgmjxfgk" localSheetId="45">#REF!</definedName>
    <definedName name="fdxgmjxfgk" localSheetId="36">#REF!</definedName>
    <definedName name="fdxgmjxfgk">#REF!</definedName>
    <definedName name="fea">#REF!</definedName>
    <definedName name="fed" localSheetId="18">#REF!</definedName>
    <definedName name="fed" localSheetId="21">#REF!</definedName>
    <definedName name="fed" localSheetId="19">#REF!</definedName>
    <definedName name="fed" localSheetId="20">#REF!</definedName>
    <definedName name="fed" localSheetId="14">#REF!</definedName>
    <definedName name="fed" localSheetId="39">#REF!</definedName>
    <definedName name="fed" localSheetId="15">#REF!</definedName>
    <definedName name="fed" localSheetId="16">#REF!</definedName>
    <definedName name="fed" localSheetId="26">#REF!</definedName>
    <definedName name="fed" localSheetId="29">#REF!</definedName>
    <definedName name="fed" localSheetId="28">#REF!</definedName>
    <definedName name="fed" localSheetId="17">#REF!</definedName>
    <definedName name="fed" localSheetId="32">#REF!</definedName>
    <definedName name="fed" localSheetId="22">#REF!</definedName>
    <definedName name="fed" localSheetId="25">#REF!</definedName>
    <definedName name="fed" localSheetId="23">#REF!</definedName>
    <definedName name="fed" localSheetId="34">#REF!</definedName>
    <definedName name="fed" localSheetId="45">#REF!</definedName>
    <definedName name="fed" localSheetId="36">#REF!</definedName>
    <definedName name="fed">#REF!</definedName>
    <definedName name="frda">#REF!</definedName>
    <definedName name="fre" localSheetId="18">#REF!</definedName>
    <definedName name="fre" localSheetId="21">#REF!</definedName>
    <definedName name="fre" localSheetId="19">#REF!</definedName>
    <definedName name="fre" localSheetId="20">#REF!</definedName>
    <definedName name="fre" localSheetId="14">#REF!</definedName>
    <definedName name="fre" localSheetId="39">#REF!</definedName>
    <definedName name="fre" localSheetId="15">#REF!</definedName>
    <definedName name="fre" localSheetId="16">#REF!</definedName>
    <definedName name="fre" localSheetId="26">#REF!</definedName>
    <definedName name="fre" localSheetId="29">#REF!</definedName>
    <definedName name="fre" localSheetId="28">#REF!</definedName>
    <definedName name="fre" localSheetId="17">#REF!</definedName>
    <definedName name="fre" localSheetId="32">#REF!</definedName>
    <definedName name="fre" localSheetId="22">#REF!</definedName>
    <definedName name="fre" localSheetId="25">#REF!</definedName>
    <definedName name="fre" localSheetId="23">#REF!</definedName>
    <definedName name="fre" localSheetId="34">#REF!</definedName>
    <definedName name="fre" localSheetId="45">#REF!</definedName>
    <definedName name="fre" localSheetId="36">#REF!</definedName>
    <definedName name="fre">#REF!</definedName>
    <definedName name="freg" localSheetId="18">#REF!</definedName>
    <definedName name="freg" localSheetId="21">#REF!</definedName>
    <definedName name="freg" localSheetId="19">#REF!</definedName>
    <definedName name="freg" localSheetId="20">#REF!</definedName>
    <definedName name="freg" localSheetId="14">#REF!</definedName>
    <definedName name="freg" localSheetId="39">#REF!</definedName>
    <definedName name="freg" localSheetId="15">#REF!</definedName>
    <definedName name="freg" localSheetId="16">#REF!</definedName>
    <definedName name="freg" localSheetId="26">#REF!</definedName>
    <definedName name="freg" localSheetId="29">#REF!</definedName>
    <definedName name="freg" localSheetId="28">#REF!</definedName>
    <definedName name="freg" localSheetId="17">#REF!</definedName>
    <definedName name="freg" localSheetId="32">#REF!</definedName>
    <definedName name="freg" localSheetId="22">#REF!</definedName>
    <definedName name="freg" localSheetId="25">#REF!</definedName>
    <definedName name="freg" localSheetId="23">#REF!</definedName>
    <definedName name="freg" localSheetId="34">#REF!</definedName>
    <definedName name="freg" localSheetId="45">#REF!</definedName>
    <definedName name="freg" localSheetId="36">#REF!</definedName>
    <definedName name="freg">#REF!</definedName>
    <definedName name="frtd" localSheetId="18">#REF!</definedName>
    <definedName name="frtd" localSheetId="21">#REF!</definedName>
    <definedName name="frtd" localSheetId="19">#REF!</definedName>
    <definedName name="frtd" localSheetId="20">#REF!</definedName>
    <definedName name="frtd" localSheetId="14">#REF!</definedName>
    <definedName name="frtd" localSheetId="39">#REF!</definedName>
    <definedName name="frtd" localSheetId="15">#REF!</definedName>
    <definedName name="frtd" localSheetId="16">#REF!</definedName>
    <definedName name="frtd" localSheetId="26">#REF!</definedName>
    <definedName name="frtd" localSheetId="29">#REF!</definedName>
    <definedName name="frtd" localSheetId="28">#REF!</definedName>
    <definedName name="frtd" localSheetId="17">#REF!</definedName>
    <definedName name="frtd" localSheetId="32">#REF!</definedName>
    <definedName name="frtd" localSheetId="22">#REF!</definedName>
    <definedName name="frtd" localSheetId="25">#REF!</definedName>
    <definedName name="frtd" localSheetId="23">#REF!</definedName>
    <definedName name="frtd" localSheetId="34">#REF!</definedName>
    <definedName name="frtd" localSheetId="45">#REF!</definedName>
    <definedName name="frtd" localSheetId="36">#REF!</definedName>
    <definedName name="frtd">#REF!</definedName>
    <definedName name="fsdfedf" localSheetId="18">#REF!</definedName>
    <definedName name="fsdfedf" localSheetId="21">#REF!</definedName>
    <definedName name="fsdfedf" localSheetId="19">#REF!</definedName>
    <definedName name="fsdfedf" localSheetId="20">#REF!</definedName>
    <definedName name="fsdfedf" localSheetId="14">#REF!</definedName>
    <definedName name="fsdfedf" localSheetId="39">#REF!</definedName>
    <definedName name="fsdfedf" localSheetId="15">#REF!</definedName>
    <definedName name="fsdfedf" localSheetId="16">#REF!</definedName>
    <definedName name="fsdfedf" localSheetId="26">#REF!</definedName>
    <definedName name="fsdfedf" localSheetId="29">#REF!</definedName>
    <definedName name="fsdfedf" localSheetId="28">#REF!</definedName>
    <definedName name="fsdfedf" localSheetId="17">#REF!</definedName>
    <definedName name="fsdfedf" localSheetId="32">#REF!</definedName>
    <definedName name="fsdfedf" localSheetId="22">#REF!</definedName>
    <definedName name="fsdfedf" localSheetId="25">#REF!</definedName>
    <definedName name="fsdfedf" localSheetId="23">#REF!</definedName>
    <definedName name="fsdfedf" localSheetId="34">#REF!</definedName>
    <definedName name="fsdfedf" localSheetId="45">#REF!</definedName>
    <definedName name="fsdfedf" localSheetId="36">#REF!</definedName>
    <definedName name="fsdfedf">#REF!</definedName>
    <definedName name="g" localSheetId="18">#REF!</definedName>
    <definedName name="g" localSheetId="21">#REF!</definedName>
    <definedName name="g" localSheetId="19">#REF!</definedName>
    <definedName name="g" localSheetId="20">#REF!</definedName>
    <definedName name="g" localSheetId="14">#REF!</definedName>
    <definedName name="g" localSheetId="39">#REF!</definedName>
    <definedName name="g" localSheetId="15">#REF!</definedName>
    <definedName name="g" localSheetId="16">#REF!</definedName>
    <definedName name="g" localSheetId="26">#REF!</definedName>
    <definedName name="g" localSheetId="29">#REF!</definedName>
    <definedName name="g" localSheetId="28">#REF!</definedName>
    <definedName name="g" localSheetId="17">#REF!</definedName>
    <definedName name="g" localSheetId="32">#REF!</definedName>
    <definedName name="g" localSheetId="22">#REF!</definedName>
    <definedName name="g" localSheetId="25">#REF!</definedName>
    <definedName name="g" localSheetId="23">#REF!</definedName>
    <definedName name="g" localSheetId="34">#REF!</definedName>
    <definedName name="g" localSheetId="45">#REF!</definedName>
    <definedName name="g" localSheetId="36">#REF!</definedName>
    <definedName name="g">#REF!</definedName>
    <definedName name="ggyh" localSheetId="18">#REF!</definedName>
    <definedName name="ggyh" localSheetId="21">#REF!</definedName>
    <definedName name="ggyh" localSheetId="19">#REF!</definedName>
    <definedName name="ggyh" localSheetId="20">#REF!</definedName>
    <definedName name="ggyh" localSheetId="14">#REF!</definedName>
    <definedName name="ggyh" localSheetId="39">#REF!</definedName>
    <definedName name="ggyh" localSheetId="15">#REF!</definedName>
    <definedName name="ggyh" localSheetId="16">#REF!</definedName>
    <definedName name="ggyh" localSheetId="26">#REF!</definedName>
    <definedName name="ggyh" localSheetId="29">#REF!</definedName>
    <definedName name="ggyh" localSheetId="28">#REF!</definedName>
    <definedName name="ggyh" localSheetId="17">#REF!</definedName>
    <definedName name="ggyh" localSheetId="32">#REF!</definedName>
    <definedName name="ggyh" localSheetId="22">#REF!</definedName>
    <definedName name="ggyh" localSheetId="25">#REF!</definedName>
    <definedName name="ggyh" localSheetId="23">#REF!</definedName>
    <definedName name="ggyh" localSheetId="34">#REF!</definedName>
    <definedName name="ggyh" localSheetId="45">#REF!</definedName>
    <definedName name="ggyh" localSheetId="36">#REF!</definedName>
    <definedName name="ggyh">#REF!</definedName>
    <definedName name="guds" localSheetId="18">#REF!</definedName>
    <definedName name="guds" localSheetId="21">#REF!</definedName>
    <definedName name="guds" localSheetId="19">#REF!</definedName>
    <definedName name="guds" localSheetId="20">#REF!</definedName>
    <definedName name="guds" localSheetId="14">#REF!</definedName>
    <definedName name="guds" localSheetId="39">#REF!</definedName>
    <definedName name="guds" localSheetId="15">#REF!</definedName>
    <definedName name="guds" localSheetId="16">#REF!</definedName>
    <definedName name="guds" localSheetId="26">#REF!</definedName>
    <definedName name="guds" localSheetId="29">#REF!</definedName>
    <definedName name="guds" localSheetId="28">#REF!</definedName>
    <definedName name="guds" localSheetId="17">#REF!</definedName>
    <definedName name="guds" localSheetId="32">#REF!</definedName>
    <definedName name="guds" localSheetId="22">#REF!</definedName>
    <definedName name="guds" localSheetId="25">#REF!</definedName>
    <definedName name="guds" localSheetId="23">#REF!</definedName>
    <definedName name="guds" localSheetId="34">#REF!</definedName>
    <definedName name="guds" localSheetId="45">#REF!</definedName>
    <definedName name="guds" localSheetId="36">#REF!</definedName>
    <definedName name="guds">#REF!</definedName>
    <definedName name="gykygt" localSheetId="18">#REF!</definedName>
    <definedName name="gykygt" localSheetId="21">#REF!</definedName>
    <definedName name="gykygt" localSheetId="19">#REF!</definedName>
    <definedName name="gykygt" localSheetId="20">#REF!</definedName>
    <definedName name="gykygt" localSheetId="14">#REF!</definedName>
    <definedName name="gykygt" localSheetId="39">#REF!</definedName>
    <definedName name="gykygt" localSheetId="15">#REF!</definedName>
    <definedName name="gykygt" localSheetId="16">#REF!</definedName>
    <definedName name="gykygt" localSheetId="26">#REF!</definedName>
    <definedName name="gykygt" localSheetId="29">#REF!</definedName>
    <definedName name="gykygt" localSheetId="28">#REF!</definedName>
    <definedName name="gykygt" localSheetId="17">#REF!</definedName>
    <definedName name="gykygt" localSheetId="32">#REF!</definedName>
    <definedName name="gykygt" localSheetId="22">#REF!</definedName>
    <definedName name="gykygt" localSheetId="25">#REF!</definedName>
    <definedName name="gykygt" localSheetId="23">#REF!</definedName>
    <definedName name="gykygt" localSheetId="34">#REF!</definedName>
    <definedName name="gykygt" localSheetId="45">#REF!</definedName>
    <definedName name="gykygt" localSheetId="36">#REF!</definedName>
    <definedName name="gykygt">#REF!</definedName>
    <definedName name="h">#REF!</definedName>
    <definedName name="hfggeudhuded">#REF!</definedName>
    <definedName name="hjhj">#REF!</definedName>
    <definedName name="httfsp" localSheetId="18">#REF!</definedName>
    <definedName name="httfsp" localSheetId="21">#REF!</definedName>
    <definedName name="httfsp" localSheetId="19">#REF!</definedName>
    <definedName name="httfsp" localSheetId="20">#REF!</definedName>
    <definedName name="httfsp" localSheetId="14">#REF!</definedName>
    <definedName name="httfsp" localSheetId="39">#REF!</definedName>
    <definedName name="httfsp" localSheetId="15">#REF!</definedName>
    <definedName name="httfsp" localSheetId="16">#REF!</definedName>
    <definedName name="httfsp" localSheetId="26">#REF!</definedName>
    <definedName name="httfsp" localSheetId="29">#REF!</definedName>
    <definedName name="httfsp" localSheetId="28">#REF!</definedName>
    <definedName name="httfsp" localSheetId="17">#REF!</definedName>
    <definedName name="httfsp" localSheetId="32">#REF!</definedName>
    <definedName name="httfsp" localSheetId="22">#REF!</definedName>
    <definedName name="httfsp" localSheetId="25">#REF!</definedName>
    <definedName name="httfsp" localSheetId="23">#REF!</definedName>
    <definedName name="httfsp" localSheetId="34">#REF!</definedName>
    <definedName name="httfsp" localSheetId="45">#REF!</definedName>
    <definedName name="httfsp" localSheetId="36">#REF!</definedName>
    <definedName name="httfsp">#REF!</definedName>
    <definedName name="j">#REF!</definedName>
    <definedName name="k">#REF!</definedName>
    <definedName name="kjfdnsdofn" localSheetId="18">#REF!</definedName>
    <definedName name="kjfdnsdofn" localSheetId="21">#REF!</definedName>
    <definedName name="kjfdnsdofn" localSheetId="19">#REF!</definedName>
    <definedName name="kjfdnsdofn" localSheetId="20">#REF!</definedName>
    <definedName name="kjfdnsdofn" localSheetId="14">#REF!</definedName>
    <definedName name="kjfdnsdofn" localSheetId="39">#REF!</definedName>
    <definedName name="kjfdnsdofn" localSheetId="15">#REF!</definedName>
    <definedName name="kjfdnsdofn" localSheetId="16">#REF!</definedName>
    <definedName name="kjfdnsdofn" localSheetId="26">#REF!</definedName>
    <definedName name="kjfdnsdofn" localSheetId="29">#REF!</definedName>
    <definedName name="kjfdnsdofn" localSheetId="28">#REF!</definedName>
    <definedName name="kjfdnsdofn" localSheetId="17">#REF!</definedName>
    <definedName name="kjfdnsdofn" localSheetId="32">#REF!</definedName>
    <definedName name="kjfdnsdofn" localSheetId="22">#REF!</definedName>
    <definedName name="kjfdnsdofn" localSheetId="25">#REF!</definedName>
    <definedName name="kjfdnsdofn" localSheetId="23">#REF!</definedName>
    <definedName name="kjfdnsdofn" localSheetId="34">#REF!</definedName>
    <definedName name="kjfdnsdofn" localSheetId="45">#REF!</definedName>
    <definedName name="kjfdnsdofn" localSheetId="36">#REF!</definedName>
    <definedName name="kjfdnsdofn">#REF!</definedName>
    <definedName name="kk">#REF!</definedName>
    <definedName name="kkkkk" localSheetId="18">#REF!</definedName>
    <definedName name="kkkkk" localSheetId="21">#REF!</definedName>
    <definedName name="kkkkk" localSheetId="19">#REF!</definedName>
    <definedName name="kkkkk" localSheetId="20">#REF!</definedName>
    <definedName name="kkkkk" localSheetId="14">#REF!</definedName>
    <definedName name="kkkkk" localSheetId="39">#REF!</definedName>
    <definedName name="kkkkk" localSheetId="15">#REF!</definedName>
    <definedName name="kkkkk" localSheetId="16">#REF!</definedName>
    <definedName name="kkkkk" localSheetId="26">#REF!</definedName>
    <definedName name="kkkkk" localSheetId="29">#REF!</definedName>
    <definedName name="kkkkk" localSheetId="28">#REF!</definedName>
    <definedName name="kkkkk" localSheetId="17">#REF!</definedName>
    <definedName name="kkkkk" localSheetId="32">#REF!</definedName>
    <definedName name="kkkkk" localSheetId="22">#REF!</definedName>
    <definedName name="kkkkk" localSheetId="25">#REF!</definedName>
    <definedName name="kkkkk" localSheetId="23">#REF!</definedName>
    <definedName name="kkkkk" localSheetId="34">#REF!</definedName>
    <definedName name="kkkkk" localSheetId="45">#REF!</definedName>
    <definedName name="kkkkk" localSheetId="36">#REF!</definedName>
    <definedName name="kkkkk">#REF!</definedName>
    <definedName name="kkkkklllljjjhfdfdfdfshgc">#REF!</definedName>
    <definedName name="Kolkatta" localSheetId="18">#REF!</definedName>
    <definedName name="Kolkatta" localSheetId="21">#REF!</definedName>
    <definedName name="Kolkatta" localSheetId="19">#REF!</definedName>
    <definedName name="Kolkatta" localSheetId="20">#REF!</definedName>
    <definedName name="Kolkatta" localSheetId="14">#REF!</definedName>
    <definedName name="Kolkatta" localSheetId="39">#REF!</definedName>
    <definedName name="Kolkatta" localSheetId="15">#REF!</definedName>
    <definedName name="Kolkatta" localSheetId="16">#REF!</definedName>
    <definedName name="Kolkatta" localSheetId="26">#REF!</definedName>
    <definedName name="Kolkatta" localSheetId="29">#REF!</definedName>
    <definedName name="Kolkatta" localSheetId="28">#REF!</definedName>
    <definedName name="Kolkatta" localSheetId="17">#REF!</definedName>
    <definedName name="Kolkatta" localSheetId="32">#REF!</definedName>
    <definedName name="Kolkatta" localSheetId="22">#REF!</definedName>
    <definedName name="Kolkatta" localSheetId="25">#REF!</definedName>
    <definedName name="Kolkatta" localSheetId="23">#REF!</definedName>
    <definedName name="Kolkatta" localSheetId="34">#REF!</definedName>
    <definedName name="Kolkatta" localSheetId="45">#REF!</definedName>
    <definedName name="Kolkatta" localSheetId="36">#REF!</definedName>
    <definedName name="Kolkatta">#REF!</definedName>
    <definedName name="kolkatttaaaa" localSheetId="18">#REF!</definedName>
    <definedName name="kolkatttaaaa" localSheetId="21">#REF!</definedName>
    <definedName name="kolkatttaaaa" localSheetId="19">#REF!</definedName>
    <definedName name="kolkatttaaaa" localSheetId="20">#REF!</definedName>
    <definedName name="kolkatttaaaa" localSheetId="14">#REF!</definedName>
    <definedName name="kolkatttaaaa" localSheetId="39">#REF!</definedName>
    <definedName name="kolkatttaaaa" localSheetId="15">#REF!</definedName>
    <definedName name="kolkatttaaaa" localSheetId="16">#REF!</definedName>
    <definedName name="kolkatttaaaa" localSheetId="26">#REF!</definedName>
    <definedName name="kolkatttaaaa" localSheetId="29">#REF!</definedName>
    <definedName name="kolkatttaaaa" localSheetId="28">#REF!</definedName>
    <definedName name="kolkatttaaaa" localSheetId="17">#REF!</definedName>
    <definedName name="kolkatttaaaa" localSheetId="32">#REF!</definedName>
    <definedName name="kolkatttaaaa" localSheetId="22">#REF!</definedName>
    <definedName name="kolkatttaaaa" localSheetId="25">#REF!</definedName>
    <definedName name="kolkatttaaaa" localSheetId="23">#REF!</definedName>
    <definedName name="kolkatttaaaa" localSheetId="34">#REF!</definedName>
    <definedName name="kolkatttaaaa" localSheetId="45">#REF!</definedName>
    <definedName name="kolkatttaaaa" localSheetId="36">#REF!</definedName>
    <definedName name="kolkatttaaaa">#REF!</definedName>
    <definedName name="l">#REF!</definedName>
    <definedName name="MYNTRA" localSheetId="18">#REF!</definedName>
    <definedName name="MYNTRA" localSheetId="21">#REF!</definedName>
    <definedName name="MYNTRA" localSheetId="19">#REF!</definedName>
    <definedName name="MYNTRA" localSheetId="20">#REF!</definedName>
    <definedName name="MYNTRA" localSheetId="14">#REF!</definedName>
    <definedName name="MYNTRA" localSheetId="39">#REF!</definedName>
    <definedName name="MYNTRA" localSheetId="15">#REF!</definedName>
    <definedName name="MYNTRA" localSheetId="16">#REF!</definedName>
    <definedName name="MYNTRA" localSheetId="26">#REF!</definedName>
    <definedName name="MYNTRA" localSheetId="29">#REF!</definedName>
    <definedName name="MYNTRA" localSheetId="28">#REF!</definedName>
    <definedName name="MYNTRA" localSheetId="17">#REF!</definedName>
    <definedName name="MYNTRA" localSheetId="32">#REF!</definedName>
    <definedName name="MYNTRA" localSheetId="22">#REF!</definedName>
    <definedName name="MYNTRA" localSheetId="25">#REF!</definedName>
    <definedName name="MYNTRA" localSheetId="23">#REF!</definedName>
    <definedName name="MYNTRA" localSheetId="34">#REF!</definedName>
    <definedName name="MYNTRA" localSheetId="45">#REF!</definedName>
    <definedName name="MYNTRA" localSheetId="36">#REF!</definedName>
    <definedName name="MYNTRA">#REF!</definedName>
    <definedName name="n">#REF!</definedName>
    <definedName name="NEWNAME" localSheetId="18">#REF!</definedName>
    <definedName name="NEWNAME" localSheetId="21">#REF!</definedName>
    <definedName name="NEWNAME" localSheetId="19">#REF!</definedName>
    <definedName name="NEWNAME" localSheetId="20">#REF!</definedName>
    <definedName name="NEWNAME" localSheetId="14">#REF!</definedName>
    <definedName name="NEWNAME" localSheetId="39">#REF!</definedName>
    <definedName name="NEWNAME" localSheetId="15">#REF!</definedName>
    <definedName name="NEWNAME" localSheetId="16">#REF!</definedName>
    <definedName name="NEWNAME" localSheetId="26">#REF!</definedName>
    <definedName name="NEWNAME" localSheetId="29">#REF!</definedName>
    <definedName name="NEWNAME" localSheetId="28">#REF!</definedName>
    <definedName name="NEWNAME" localSheetId="17">#REF!</definedName>
    <definedName name="NEWNAME" localSheetId="32">#REF!</definedName>
    <definedName name="NEWNAME" localSheetId="22">#REF!</definedName>
    <definedName name="NEWNAME" localSheetId="25">#REF!</definedName>
    <definedName name="NEWNAME" localSheetId="23">#REF!</definedName>
    <definedName name="NEWNAME" localSheetId="34">#REF!</definedName>
    <definedName name="NEWNAME" localSheetId="45">#REF!</definedName>
    <definedName name="NEWNAME" localSheetId="36">#REF!</definedName>
    <definedName name="NEWNAME">#REF!</definedName>
    <definedName name="no">#REF!</definedName>
    <definedName name="o" localSheetId="18">#REF!</definedName>
    <definedName name="o" localSheetId="21">#REF!</definedName>
    <definedName name="o" localSheetId="19">#REF!</definedName>
    <definedName name="o" localSheetId="20">#REF!</definedName>
    <definedName name="o" localSheetId="14">#REF!</definedName>
    <definedName name="o" localSheetId="39">#REF!</definedName>
    <definedName name="o" localSheetId="15">#REF!</definedName>
    <definedName name="o" localSheetId="16">#REF!</definedName>
    <definedName name="o" localSheetId="26">#REF!</definedName>
    <definedName name="o" localSheetId="29">#REF!</definedName>
    <definedName name="o" localSheetId="28">#REF!</definedName>
    <definedName name="o" localSheetId="17">#REF!</definedName>
    <definedName name="o" localSheetId="32">#REF!</definedName>
    <definedName name="o" localSheetId="22">#REF!</definedName>
    <definedName name="o" localSheetId="25">#REF!</definedName>
    <definedName name="o" localSheetId="23">#REF!</definedName>
    <definedName name="o" localSheetId="34">#REF!</definedName>
    <definedName name="o" localSheetId="45">#REF!</definedName>
    <definedName name="o" localSheetId="36">#REF!</definedName>
    <definedName name="o">#REF!</definedName>
    <definedName name="okjmbtefsvx">#REF!</definedName>
    <definedName name="oldeeee">#REF!</definedName>
    <definedName name="OLDNAME" localSheetId="18">#REF!</definedName>
    <definedName name="OLDNAME" localSheetId="21">#REF!</definedName>
    <definedName name="OLDNAME" localSheetId="19">#REF!</definedName>
    <definedName name="OLDNAME" localSheetId="20">#REF!</definedName>
    <definedName name="OLDNAME" localSheetId="14">#REF!</definedName>
    <definedName name="OLDNAME" localSheetId="39">#REF!</definedName>
    <definedName name="OLDNAME" localSheetId="15">#REF!</definedName>
    <definedName name="OLDNAME" localSheetId="16">#REF!</definedName>
    <definedName name="OLDNAME" localSheetId="26">#REF!</definedName>
    <definedName name="OLDNAME" localSheetId="29">#REF!</definedName>
    <definedName name="OLDNAME" localSheetId="28">#REF!</definedName>
    <definedName name="OLDNAME" localSheetId="17">#REF!</definedName>
    <definedName name="OLDNAME" localSheetId="32">#REF!</definedName>
    <definedName name="OLDNAME" localSheetId="22">#REF!</definedName>
    <definedName name="OLDNAME" localSheetId="25">#REF!</definedName>
    <definedName name="OLDNAME" localSheetId="23">#REF!</definedName>
    <definedName name="OLDNAME" localSheetId="34">#REF!</definedName>
    <definedName name="OLDNAME" localSheetId="45">#REF!</definedName>
    <definedName name="OLDNAME" localSheetId="36">#REF!</definedName>
    <definedName name="OLDNAME">#REF!</definedName>
    <definedName name="Phase_2___Catchment" localSheetId="18">#REF!</definedName>
    <definedName name="Phase_2___Catchment" localSheetId="21">#REF!</definedName>
    <definedName name="Phase_2___Catchment" localSheetId="19">#REF!</definedName>
    <definedName name="Phase_2___Catchment" localSheetId="20">#REF!</definedName>
    <definedName name="Phase_2___Catchment" localSheetId="14">#REF!</definedName>
    <definedName name="Phase_2___Catchment" localSheetId="39">#REF!</definedName>
    <definedName name="Phase_2___Catchment" localSheetId="15">#REF!</definedName>
    <definedName name="Phase_2___Catchment" localSheetId="16">#REF!</definedName>
    <definedName name="Phase_2___Catchment" localSheetId="26">#REF!</definedName>
    <definedName name="Phase_2___Catchment" localSheetId="29">#REF!</definedName>
    <definedName name="Phase_2___Catchment" localSheetId="28">#REF!</definedName>
    <definedName name="Phase_2___Catchment" localSheetId="17">#REF!</definedName>
    <definedName name="Phase_2___Catchment" localSheetId="32">#REF!</definedName>
    <definedName name="Phase_2___Catchment" localSheetId="22">#REF!</definedName>
    <definedName name="Phase_2___Catchment" localSheetId="25">#REF!</definedName>
    <definedName name="Phase_2___Catchment" localSheetId="23">#REF!</definedName>
    <definedName name="Phase_2___Catchment" localSheetId="34">#REF!</definedName>
    <definedName name="Phase_2___Catchment" localSheetId="45">#REF!</definedName>
    <definedName name="Phase_2___Catchment" localSheetId="36">#REF!</definedName>
    <definedName name="Phase_2___Catchment">#REF!</definedName>
    <definedName name="PLAN_BRANDFX" localSheetId="18">#REF!</definedName>
    <definedName name="PLAN_BRANDFX" localSheetId="21">#REF!</definedName>
    <definedName name="PLAN_BRANDFX" localSheetId="19">#REF!</definedName>
    <definedName name="PLAN_BRANDFX" localSheetId="20">#REF!</definedName>
    <definedName name="PLAN_BRANDFX" localSheetId="14">#REF!</definedName>
    <definedName name="PLAN_BRANDFX" localSheetId="39">#REF!</definedName>
    <definedName name="PLAN_BRANDFX" localSheetId="15">#REF!</definedName>
    <definedName name="PLAN_BRANDFX" localSheetId="16">#REF!</definedName>
    <definedName name="PLAN_BRANDFX" localSheetId="26">#REF!</definedName>
    <definedName name="PLAN_BRANDFX" localSheetId="29">#REF!</definedName>
    <definedName name="PLAN_BRANDFX" localSheetId="28">#REF!</definedName>
    <definedName name="PLAN_BRANDFX" localSheetId="17">#REF!</definedName>
    <definedName name="PLAN_BRANDFX" localSheetId="32">#REF!</definedName>
    <definedName name="PLAN_BRANDFX" localSheetId="22">#REF!</definedName>
    <definedName name="PLAN_BRANDFX" localSheetId="25">#REF!</definedName>
    <definedName name="PLAN_BRANDFX" localSheetId="23">#REF!</definedName>
    <definedName name="PLAN_BRANDFX" localSheetId="34">#REF!</definedName>
    <definedName name="PLAN_BRANDFX" localSheetId="45">#REF!</definedName>
    <definedName name="PLAN_BRANDFX" localSheetId="36">#REF!</definedName>
    <definedName name="PLAN_BRANDFX">#REF!</definedName>
    <definedName name="Plan22">#REF!</definedName>
    <definedName name="plplplp">#REF!</definedName>
    <definedName name="prada" localSheetId="18">#REF!</definedName>
    <definedName name="prada" localSheetId="21">#REF!</definedName>
    <definedName name="prada" localSheetId="19">#REF!</definedName>
    <definedName name="prada" localSheetId="20">#REF!</definedName>
    <definedName name="prada" localSheetId="14">#REF!</definedName>
    <definedName name="prada" localSheetId="39">#REF!</definedName>
    <definedName name="prada" localSheetId="15">#REF!</definedName>
    <definedName name="prada" localSheetId="16">#REF!</definedName>
    <definedName name="prada" localSheetId="26">#REF!</definedName>
    <definedName name="prada" localSheetId="29">#REF!</definedName>
    <definedName name="prada" localSheetId="28">#REF!</definedName>
    <definedName name="prada" localSheetId="17">#REF!</definedName>
    <definedName name="prada" localSheetId="32">#REF!</definedName>
    <definedName name="prada" localSheetId="22">#REF!</definedName>
    <definedName name="prada" localSheetId="25">#REF!</definedName>
    <definedName name="prada" localSheetId="23">#REF!</definedName>
    <definedName name="prada" localSheetId="34">#REF!</definedName>
    <definedName name="prada" localSheetId="45">#REF!</definedName>
    <definedName name="prada" localSheetId="36">#REF!</definedName>
    <definedName name="prada">#REF!</definedName>
    <definedName name="_xlnm.Print_Area">#N/A</definedName>
    <definedName name="PS">#REF!</definedName>
    <definedName name="q" localSheetId="18">#REF!</definedName>
    <definedName name="q" localSheetId="21">#REF!</definedName>
    <definedName name="q" localSheetId="19">#REF!</definedName>
    <definedName name="q" localSheetId="20">#REF!</definedName>
    <definedName name="q" localSheetId="14">#REF!</definedName>
    <definedName name="q" localSheetId="39">#REF!</definedName>
    <definedName name="q" localSheetId="15">#REF!</definedName>
    <definedName name="q" localSheetId="16">#REF!</definedName>
    <definedName name="q" localSheetId="26">#REF!</definedName>
    <definedName name="q" localSheetId="29">#REF!</definedName>
    <definedName name="q" localSheetId="28">#REF!</definedName>
    <definedName name="q" localSheetId="17">#REF!</definedName>
    <definedName name="q" localSheetId="32">#REF!</definedName>
    <definedName name="q" localSheetId="22">#REF!</definedName>
    <definedName name="q" localSheetId="25">#REF!</definedName>
    <definedName name="q" localSheetId="23">#REF!</definedName>
    <definedName name="q" localSheetId="34">#REF!</definedName>
    <definedName name="q" localSheetId="45">#REF!</definedName>
    <definedName name="q" localSheetId="36">#REF!</definedName>
    <definedName name="q">#REF!</definedName>
    <definedName name="reyhaey" localSheetId="18">#REF!</definedName>
    <definedName name="reyhaey" localSheetId="21">#REF!</definedName>
    <definedName name="reyhaey" localSheetId="19">#REF!</definedName>
    <definedName name="reyhaey" localSheetId="20">#REF!</definedName>
    <definedName name="reyhaey" localSheetId="14">#REF!</definedName>
    <definedName name="reyhaey" localSheetId="39">#REF!</definedName>
    <definedName name="reyhaey" localSheetId="15">#REF!</definedName>
    <definedName name="reyhaey" localSheetId="16">#REF!</definedName>
    <definedName name="reyhaey" localSheetId="26">#REF!</definedName>
    <definedName name="reyhaey" localSheetId="29">#REF!</definedName>
    <definedName name="reyhaey" localSheetId="28">#REF!</definedName>
    <definedName name="reyhaey" localSheetId="17">#REF!</definedName>
    <definedName name="reyhaey" localSheetId="32">#REF!</definedName>
    <definedName name="reyhaey" localSheetId="22">#REF!</definedName>
    <definedName name="reyhaey" localSheetId="25">#REF!</definedName>
    <definedName name="reyhaey" localSheetId="23">#REF!</definedName>
    <definedName name="reyhaey" localSheetId="34">#REF!</definedName>
    <definedName name="reyhaey" localSheetId="45">#REF!</definedName>
    <definedName name="reyhaey" localSheetId="36">#REF!</definedName>
    <definedName name="reyhaey">#REF!</definedName>
    <definedName name="s" localSheetId="18">#REF!</definedName>
    <definedName name="s" localSheetId="21">#REF!</definedName>
    <definedName name="s" localSheetId="19">#REF!</definedName>
    <definedName name="s" localSheetId="20">#REF!</definedName>
    <definedName name="s" localSheetId="14">#REF!</definedName>
    <definedName name="s" localSheetId="39">#REF!</definedName>
    <definedName name="s" localSheetId="15">#REF!</definedName>
    <definedName name="s" localSheetId="16">#REF!</definedName>
    <definedName name="s" localSheetId="26">#REF!</definedName>
    <definedName name="s" localSheetId="29">#REF!</definedName>
    <definedName name="s" localSheetId="28">#REF!</definedName>
    <definedName name="s" localSheetId="17">#REF!</definedName>
    <definedName name="s" localSheetId="32">#REF!</definedName>
    <definedName name="s" localSheetId="22">#REF!</definedName>
    <definedName name="s" localSheetId="25">#REF!</definedName>
    <definedName name="s" localSheetId="23">#REF!</definedName>
    <definedName name="s" localSheetId="34">#REF!</definedName>
    <definedName name="s" localSheetId="45">#REF!</definedName>
    <definedName name="s" localSheetId="36">#REF!</definedName>
    <definedName name="s">#REF!</definedName>
    <definedName name="sad">#REF!</definedName>
    <definedName name="sadas" localSheetId="18">#REF!</definedName>
    <definedName name="sadas" localSheetId="21">#REF!</definedName>
    <definedName name="sadas" localSheetId="19">#REF!</definedName>
    <definedName name="sadas" localSheetId="20">#REF!</definedName>
    <definedName name="sadas" localSheetId="14">#REF!</definedName>
    <definedName name="sadas" localSheetId="39">#REF!</definedName>
    <definedName name="sadas" localSheetId="15">#REF!</definedName>
    <definedName name="sadas" localSheetId="16">#REF!</definedName>
    <definedName name="sadas" localSheetId="26">#REF!</definedName>
    <definedName name="sadas" localSheetId="29">#REF!</definedName>
    <definedName name="sadas" localSheetId="28">#REF!</definedName>
    <definedName name="sadas" localSheetId="17">#REF!</definedName>
    <definedName name="sadas" localSheetId="32">#REF!</definedName>
    <definedName name="sadas" localSheetId="22">#REF!</definedName>
    <definedName name="sadas" localSheetId="25">#REF!</definedName>
    <definedName name="sadas" localSheetId="23">#REF!</definedName>
    <definedName name="sadas" localSheetId="34">#REF!</definedName>
    <definedName name="sadas" localSheetId="45">#REF!</definedName>
    <definedName name="sadas" localSheetId="36">#REF!</definedName>
    <definedName name="sadas">#REF!</definedName>
    <definedName name="safdf" localSheetId="18">#REF!</definedName>
    <definedName name="safdf" localSheetId="21">#REF!</definedName>
    <definedName name="safdf" localSheetId="19">#REF!</definedName>
    <definedName name="safdf" localSheetId="20">#REF!</definedName>
    <definedName name="safdf" localSheetId="14">#REF!</definedName>
    <definedName name="safdf" localSheetId="39">#REF!</definedName>
    <definedName name="safdf" localSheetId="15">#REF!</definedName>
    <definedName name="safdf" localSheetId="16">#REF!</definedName>
    <definedName name="safdf" localSheetId="26">#REF!</definedName>
    <definedName name="safdf" localSheetId="29">#REF!</definedName>
    <definedName name="safdf" localSheetId="28">#REF!</definedName>
    <definedName name="safdf" localSheetId="17">#REF!</definedName>
    <definedName name="safdf" localSheetId="32">#REF!</definedName>
    <definedName name="safdf" localSheetId="22">#REF!</definedName>
    <definedName name="safdf" localSheetId="25">#REF!</definedName>
    <definedName name="safdf" localSheetId="23">#REF!</definedName>
    <definedName name="safdf" localSheetId="34">#REF!</definedName>
    <definedName name="safdf" localSheetId="45">#REF!</definedName>
    <definedName name="safdf" localSheetId="36">#REF!</definedName>
    <definedName name="safdf">#REF!</definedName>
    <definedName name="safdfa" localSheetId="18">#REF!</definedName>
    <definedName name="safdfa" localSheetId="21">#REF!</definedName>
    <definedName name="safdfa" localSheetId="19">#REF!</definedName>
    <definedName name="safdfa" localSheetId="20">#REF!</definedName>
    <definedName name="safdfa" localSheetId="14">#REF!</definedName>
    <definedName name="safdfa" localSheetId="39">#REF!</definedName>
    <definedName name="safdfa" localSheetId="15">#REF!</definedName>
    <definedName name="safdfa" localSheetId="16">#REF!</definedName>
    <definedName name="safdfa" localSheetId="26">#REF!</definedName>
    <definedName name="safdfa" localSheetId="29">#REF!</definedName>
    <definedName name="safdfa" localSheetId="28">#REF!</definedName>
    <definedName name="safdfa" localSheetId="17">#REF!</definedName>
    <definedName name="safdfa" localSheetId="32">#REF!</definedName>
    <definedName name="safdfa" localSheetId="22">#REF!</definedName>
    <definedName name="safdfa" localSheetId="25">#REF!</definedName>
    <definedName name="safdfa" localSheetId="23">#REF!</definedName>
    <definedName name="safdfa" localSheetId="34">#REF!</definedName>
    <definedName name="safdfa" localSheetId="45">#REF!</definedName>
    <definedName name="safdfa" localSheetId="36">#REF!</definedName>
    <definedName name="safdfa">#REF!</definedName>
    <definedName name="saSDaSd" localSheetId="18">#REF!</definedName>
    <definedName name="saSDaSd" localSheetId="21">#REF!</definedName>
    <definedName name="saSDaSd" localSheetId="19">#REF!</definedName>
    <definedName name="saSDaSd" localSheetId="20">#REF!</definedName>
    <definedName name="saSDaSd" localSheetId="14">#REF!</definedName>
    <definedName name="saSDaSd" localSheetId="39">#REF!</definedName>
    <definedName name="saSDaSd" localSheetId="15">#REF!</definedName>
    <definedName name="saSDaSd" localSheetId="16">#REF!</definedName>
    <definedName name="saSDaSd" localSheetId="26">#REF!</definedName>
    <definedName name="saSDaSd" localSheetId="29">#REF!</definedName>
    <definedName name="saSDaSd" localSheetId="28">#REF!</definedName>
    <definedName name="saSDaSd" localSheetId="17">#REF!</definedName>
    <definedName name="saSDaSd" localSheetId="32">#REF!</definedName>
    <definedName name="saSDaSd" localSheetId="22">#REF!</definedName>
    <definedName name="saSDaSd" localSheetId="25">#REF!</definedName>
    <definedName name="saSDaSd" localSheetId="23">#REF!</definedName>
    <definedName name="saSDaSd" localSheetId="34">#REF!</definedName>
    <definedName name="saSDaSd" localSheetId="45">#REF!</definedName>
    <definedName name="saSDaSd" localSheetId="36">#REF!</definedName>
    <definedName name="saSDaSd">#REF!</definedName>
    <definedName name="scscs" localSheetId="18">#REF!</definedName>
    <definedName name="scscs" localSheetId="21">#REF!</definedName>
    <definedName name="scscs" localSheetId="19">#REF!</definedName>
    <definedName name="scscs" localSheetId="20">#REF!</definedName>
    <definedName name="scscs" localSheetId="14">#REF!</definedName>
    <definedName name="scscs" localSheetId="39">#REF!</definedName>
    <definedName name="scscs" localSheetId="15">#REF!</definedName>
    <definedName name="scscs" localSheetId="16">#REF!</definedName>
    <definedName name="scscs" localSheetId="26">#REF!</definedName>
    <definedName name="scscs" localSheetId="29">#REF!</definedName>
    <definedName name="scscs" localSheetId="28">#REF!</definedName>
    <definedName name="scscs" localSheetId="17">#REF!</definedName>
    <definedName name="scscs" localSheetId="32">#REF!</definedName>
    <definedName name="scscs" localSheetId="22">#REF!</definedName>
    <definedName name="scscs" localSheetId="25">#REF!</definedName>
    <definedName name="scscs" localSheetId="23">#REF!</definedName>
    <definedName name="scscs" localSheetId="34">#REF!</definedName>
    <definedName name="scscs" localSheetId="45">#REF!</definedName>
    <definedName name="scscs" localSheetId="36">#REF!</definedName>
    <definedName name="scscs">#REF!</definedName>
    <definedName name="sddfgds" localSheetId="18">#REF!</definedName>
    <definedName name="sddfgds" localSheetId="21">#REF!</definedName>
    <definedName name="sddfgds" localSheetId="19">#REF!</definedName>
    <definedName name="sddfgds" localSheetId="20">#REF!</definedName>
    <definedName name="sddfgds" localSheetId="14">#REF!</definedName>
    <definedName name="sddfgds" localSheetId="39">#REF!</definedName>
    <definedName name="sddfgds" localSheetId="15">#REF!</definedName>
    <definedName name="sddfgds" localSheetId="16">#REF!</definedName>
    <definedName name="sddfgds" localSheetId="26">#REF!</definedName>
    <definedName name="sddfgds" localSheetId="29">#REF!</definedName>
    <definedName name="sddfgds" localSheetId="28">#REF!</definedName>
    <definedName name="sddfgds" localSheetId="17">#REF!</definedName>
    <definedName name="sddfgds" localSheetId="32">#REF!</definedName>
    <definedName name="sddfgds" localSheetId="22">#REF!</definedName>
    <definedName name="sddfgds" localSheetId="25">#REF!</definedName>
    <definedName name="sddfgds" localSheetId="23">#REF!</definedName>
    <definedName name="sddfgds" localSheetId="34">#REF!</definedName>
    <definedName name="sddfgds" localSheetId="45">#REF!</definedName>
    <definedName name="sddfgds" localSheetId="36">#REF!</definedName>
    <definedName name="sddfgds">#REF!</definedName>
    <definedName name="sdfhfdzhdzf" localSheetId="18">#REF!</definedName>
    <definedName name="sdfhfdzhdzf" localSheetId="21">#REF!</definedName>
    <definedName name="sdfhfdzhdzf" localSheetId="19">#REF!</definedName>
    <definedName name="sdfhfdzhdzf" localSheetId="20">#REF!</definedName>
    <definedName name="sdfhfdzhdzf" localSheetId="14">#REF!</definedName>
    <definedName name="sdfhfdzhdzf" localSheetId="39">#REF!</definedName>
    <definedName name="sdfhfdzhdzf" localSheetId="15">#REF!</definedName>
    <definedName name="sdfhfdzhdzf" localSheetId="16">#REF!</definedName>
    <definedName name="sdfhfdzhdzf" localSheetId="26">#REF!</definedName>
    <definedName name="sdfhfdzhdzf" localSheetId="29">#REF!</definedName>
    <definedName name="sdfhfdzhdzf" localSheetId="28">#REF!</definedName>
    <definedName name="sdfhfdzhdzf" localSheetId="17">#REF!</definedName>
    <definedName name="sdfhfdzhdzf" localSheetId="32">#REF!</definedName>
    <definedName name="sdfhfdzhdzf" localSheetId="22">#REF!</definedName>
    <definedName name="sdfhfdzhdzf" localSheetId="25">#REF!</definedName>
    <definedName name="sdfhfdzhdzf" localSheetId="23">#REF!</definedName>
    <definedName name="sdfhfdzhdzf" localSheetId="34">#REF!</definedName>
    <definedName name="sdfhfdzhdzf" localSheetId="45">#REF!</definedName>
    <definedName name="sdfhfdzhdzf" localSheetId="36">#REF!</definedName>
    <definedName name="sdfhfdzhdzf">#REF!</definedName>
    <definedName name="SDGDSGSD" localSheetId="18">#REF!</definedName>
    <definedName name="SDGDSGSD" localSheetId="21">#REF!</definedName>
    <definedName name="SDGDSGSD" localSheetId="19">#REF!</definedName>
    <definedName name="SDGDSGSD" localSheetId="20">#REF!</definedName>
    <definedName name="SDGDSGSD" localSheetId="14">#REF!</definedName>
    <definedName name="SDGDSGSD" localSheetId="39">#REF!</definedName>
    <definedName name="SDGDSGSD" localSheetId="15">#REF!</definedName>
    <definedName name="SDGDSGSD" localSheetId="16">#REF!</definedName>
    <definedName name="SDGDSGSD" localSheetId="26">#REF!</definedName>
    <definedName name="SDGDSGSD" localSheetId="29">#REF!</definedName>
    <definedName name="SDGDSGSD" localSheetId="28">#REF!</definedName>
    <definedName name="SDGDSGSD" localSheetId="17">#REF!</definedName>
    <definedName name="SDGDSGSD" localSheetId="32">#REF!</definedName>
    <definedName name="SDGDSGSD" localSheetId="22">#REF!</definedName>
    <definedName name="SDGDSGSD" localSheetId="25">#REF!</definedName>
    <definedName name="SDGDSGSD" localSheetId="23">#REF!</definedName>
    <definedName name="SDGDSGSD" localSheetId="34">#REF!</definedName>
    <definedName name="SDGDSGSD" localSheetId="45">#REF!</definedName>
    <definedName name="SDGDSGSD" localSheetId="36">#REF!</definedName>
    <definedName name="SDGDSGSD">#REF!</definedName>
    <definedName name="sdsds" localSheetId="18">#REF!</definedName>
    <definedName name="sdsds" localSheetId="21">#REF!</definedName>
    <definedName name="sdsds" localSheetId="19">#REF!</definedName>
    <definedName name="sdsds" localSheetId="20">#REF!</definedName>
    <definedName name="sdsds" localSheetId="14">#REF!</definedName>
    <definedName name="sdsds" localSheetId="39">#REF!</definedName>
    <definedName name="sdsds" localSheetId="15">#REF!</definedName>
    <definedName name="sdsds" localSheetId="16">#REF!</definedName>
    <definedName name="sdsds" localSheetId="26">#REF!</definedName>
    <definedName name="sdsds" localSheetId="29">#REF!</definedName>
    <definedName name="sdsds" localSheetId="28">#REF!</definedName>
    <definedName name="sdsds" localSheetId="17">#REF!</definedName>
    <definedName name="sdsds" localSheetId="32">#REF!</definedName>
    <definedName name="sdsds" localSheetId="22">#REF!</definedName>
    <definedName name="sdsds" localSheetId="25">#REF!</definedName>
    <definedName name="sdsds" localSheetId="23">#REF!</definedName>
    <definedName name="sdsds" localSheetId="34">#REF!</definedName>
    <definedName name="sdsds" localSheetId="45">#REF!</definedName>
    <definedName name="sdsds" localSheetId="36">#REF!</definedName>
    <definedName name="sdsds">#REF!</definedName>
    <definedName name="sdzgfgv" localSheetId="18">#REF!</definedName>
    <definedName name="sdzgfgv" localSheetId="21">#REF!</definedName>
    <definedName name="sdzgfgv" localSheetId="19">#REF!</definedName>
    <definedName name="sdzgfgv" localSheetId="20">#REF!</definedName>
    <definedName name="sdzgfgv" localSheetId="14">#REF!</definedName>
    <definedName name="sdzgfgv" localSheetId="39">#REF!</definedName>
    <definedName name="sdzgfgv" localSheetId="15">#REF!</definedName>
    <definedName name="sdzgfgv" localSheetId="16">#REF!</definedName>
    <definedName name="sdzgfgv" localSheetId="26">#REF!</definedName>
    <definedName name="sdzgfgv" localSheetId="29">#REF!</definedName>
    <definedName name="sdzgfgv" localSheetId="28">#REF!</definedName>
    <definedName name="sdzgfgv" localSheetId="17">#REF!</definedName>
    <definedName name="sdzgfgv" localSheetId="32">#REF!</definedName>
    <definedName name="sdzgfgv" localSheetId="22">#REF!</definedName>
    <definedName name="sdzgfgv" localSheetId="25">#REF!</definedName>
    <definedName name="sdzgfgv" localSheetId="23">#REF!</definedName>
    <definedName name="sdzgfgv" localSheetId="34">#REF!</definedName>
    <definedName name="sdzgfgv" localSheetId="45">#REF!</definedName>
    <definedName name="sdzgfgv" localSheetId="36">#REF!</definedName>
    <definedName name="sdzgfgv">#REF!</definedName>
    <definedName name="segsDhgsD" localSheetId="18">#REF!</definedName>
    <definedName name="segsDhgsD" localSheetId="21">#REF!</definedName>
    <definedName name="segsDhgsD" localSheetId="19">#REF!</definedName>
    <definedName name="segsDhgsD" localSheetId="20">#REF!</definedName>
    <definedName name="segsDhgsD" localSheetId="14">#REF!</definedName>
    <definedName name="segsDhgsD" localSheetId="39">#REF!</definedName>
    <definedName name="segsDhgsD" localSheetId="15">#REF!</definedName>
    <definedName name="segsDhgsD" localSheetId="16">#REF!</definedName>
    <definedName name="segsDhgsD" localSheetId="26">#REF!</definedName>
    <definedName name="segsDhgsD" localSheetId="29">#REF!</definedName>
    <definedName name="segsDhgsD" localSheetId="28">#REF!</definedName>
    <definedName name="segsDhgsD" localSheetId="17">#REF!</definedName>
    <definedName name="segsDhgsD" localSheetId="32">#REF!</definedName>
    <definedName name="segsDhgsD" localSheetId="22">#REF!</definedName>
    <definedName name="segsDhgsD" localSheetId="25">#REF!</definedName>
    <definedName name="segsDhgsD" localSheetId="23">#REF!</definedName>
    <definedName name="segsDhgsD" localSheetId="34">#REF!</definedName>
    <definedName name="segsDhgsD" localSheetId="45">#REF!</definedName>
    <definedName name="segsDhgsD" localSheetId="36">#REF!</definedName>
    <definedName name="segsDhgsD">#REF!</definedName>
    <definedName name="sghsdhdsfh" localSheetId="18">#REF!</definedName>
    <definedName name="sghsdhdsfh" localSheetId="21">#REF!</definedName>
    <definedName name="sghsdhdsfh" localSheetId="19">#REF!</definedName>
    <definedName name="sghsdhdsfh" localSheetId="20">#REF!</definedName>
    <definedName name="sghsdhdsfh" localSheetId="14">#REF!</definedName>
    <definedName name="sghsdhdsfh" localSheetId="39">#REF!</definedName>
    <definedName name="sghsdhdsfh" localSheetId="15">#REF!</definedName>
    <definedName name="sghsdhdsfh" localSheetId="16">#REF!</definedName>
    <definedName name="sghsdhdsfh" localSheetId="26">#REF!</definedName>
    <definedName name="sghsdhdsfh" localSheetId="29">#REF!</definedName>
    <definedName name="sghsdhdsfh" localSheetId="28">#REF!</definedName>
    <definedName name="sghsdhdsfh" localSheetId="17">#REF!</definedName>
    <definedName name="sghsdhdsfh" localSheetId="32">#REF!</definedName>
    <definedName name="sghsdhdsfh" localSheetId="22">#REF!</definedName>
    <definedName name="sghsdhdsfh" localSheetId="25">#REF!</definedName>
    <definedName name="sghsdhdsfh" localSheetId="23">#REF!</definedName>
    <definedName name="sghsdhdsfh" localSheetId="34">#REF!</definedName>
    <definedName name="sghsdhdsfh" localSheetId="45">#REF!</definedName>
    <definedName name="sghsdhdsfh" localSheetId="36">#REF!</definedName>
    <definedName name="sghsdhdsfh">#REF!</definedName>
    <definedName name="SGSDZGS" localSheetId="18">#REF!</definedName>
    <definedName name="SGSDZGS" localSheetId="21">#REF!</definedName>
    <definedName name="SGSDZGS" localSheetId="19">#REF!</definedName>
    <definedName name="SGSDZGS" localSheetId="20">#REF!</definedName>
    <definedName name="SGSDZGS" localSheetId="14">#REF!</definedName>
    <definedName name="SGSDZGS" localSheetId="39">#REF!</definedName>
    <definedName name="SGSDZGS" localSheetId="15">#REF!</definedName>
    <definedName name="SGSDZGS" localSheetId="16">#REF!</definedName>
    <definedName name="SGSDZGS" localSheetId="26">#REF!</definedName>
    <definedName name="SGSDZGS" localSheetId="29">#REF!</definedName>
    <definedName name="SGSDZGS" localSheetId="28">#REF!</definedName>
    <definedName name="SGSDZGS" localSheetId="17">#REF!</definedName>
    <definedName name="SGSDZGS" localSheetId="32">#REF!</definedName>
    <definedName name="SGSDZGS" localSheetId="22">#REF!</definedName>
    <definedName name="SGSDZGS" localSheetId="25">#REF!</definedName>
    <definedName name="SGSDZGS" localSheetId="23">#REF!</definedName>
    <definedName name="SGSDZGS" localSheetId="34">#REF!</definedName>
    <definedName name="SGSDZGS" localSheetId="45">#REF!</definedName>
    <definedName name="SGSDZGS" localSheetId="36">#REF!</definedName>
    <definedName name="SGSDZGS">#REF!</definedName>
    <definedName name="szfdf" localSheetId="18">#REF!</definedName>
    <definedName name="szfdf" localSheetId="21">#REF!</definedName>
    <definedName name="szfdf" localSheetId="19">#REF!</definedName>
    <definedName name="szfdf" localSheetId="20">#REF!</definedName>
    <definedName name="szfdf" localSheetId="14">#REF!</definedName>
    <definedName name="szfdf" localSheetId="39">#REF!</definedName>
    <definedName name="szfdf" localSheetId="15">#REF!</definedName>
    <definedName name="szfdf" localSheetId="16">#REF!</definedName>
    <definedName name="szfdf" localSheetId="26">#REF!</definedName>
    <definedName name="szfdf" localSheetId="29">#REF!</definedName>
    <definedName name="szfdf" localSheetId="28">#REF!</definedName>
    <definedName name="szfdf" localSheetId="17">#REF!</definedName>
    <definedName name="szfdf" localSheetId="32">#REF!</definedName>
    <definedName name="szfdf" localSheetId="22">#REF!</definedName>
    <definedName name="szfdf" localSheetId="25">#REF!</definedName>
    <definedName name="szfdf" localSheetId="23">#REF!</definedName>
    <definedName name="szfdf" localSheetId="34">#REF!</definedName>
    <definedName name="szfdf" localSheetId="45">#REF!</definedName>
    <definedName name="szfdf" localSheetId="36">#REF!</definedName>
    <definedName name="szfdf">#REF!</definedName>
    <definedName name="u">#REF!</definedName>
    <definedName name="vandhandi">#REF!</definedName>
    <definedName name="vvv" localSheetId="18">#REF!</definedName>
    <definedName name="vvv" localSheetId="21">#REF!</definedName>
    <definedName name="vvv" localSheetId="19">#REF!</definedName>
    <definedName name="vvv" localSheetId="20">#REF!</definedName>
    <definedName name="vvv" localSheetId="14">#REF!</definedName>
    <definedName name="vvv" localSheetId="39">#REF!</definedName>
    <definedName name="vvv" localSheetId="15">#REF!</definedName>
    <definedName name="vvv" localSheetId="16">#REF!</definedName>
    <definedName name="vvv" localSheetId="26">#REF!</definedName>
    <definedName name="vvv" localSheetId="29">#REF!</definedName>
    <definedName name="vvv" localSheetId="28">#REF!</definedName>
    <definedName name="vvv" localSheetId="17">#REF!</definedName>
    <definedName name="vvv" localSheetId="32">#REF!</definedName>
    <definedName name="vvv" localSheetId="22">#REF!</definedName>
    <definedName name="vvv" localSheetId="25">#REF!</definedName>
    <definedName name="vvv" localSheetId="23">#REF!</definedName>
    <definedName name="vvv" localSheetId="34">#REF!</definedName>
    <definedName name="vvv" localSheetId="45">#REF!</definedName>
    <definedName name="vvv" localSheetId="36">#REF!</definedName>
    <definedName name="vvv">#REF!</definedName>
    <definedName name="vvvvvvaaeew">#REF!</definedName>
    <definedName name="wwwyetreuykncdbgybvh">#REF!</definedName>
    <definedName name="x">#REF!</definedName>
    <definedName name="y">#REF!</definedName>
    <definedName name="zdfhfdh" localSheetId="18">#REF!</definedName>
    <definedName name="zdfhfdh" localSheetId="21">#REF!</definedName>
    <definedName name="zdfhfdh" localSheetId="19">#REF!</definedName>
    <definedName name="zdfhfdh" localSheetId="20">#REF!</definedName>
    <definedName name="zdfhfdh" localSheetId="14">#REF!</definedName>
    <definedName name="zdfhfdh" localSheetId="39">#REF!</definedName>
    <definedName name="zdfhfdh" localSheetId="15">#REF!</definedName>
    <definedName name="zdfhfdh" localSheetId="16">#REF!</definedName>
    <definedName name="zdfhfdh" localSheetId="26">#REF!</definedName>
    <definedName name="zdfhfdh" localSheetId="29">#REF!</definedName>
    <definedName name="zdfhfdh" localSheetId="28">#REF!</definedName>
    <definedName name="zdfhfdh" localSheetId="17">#REF!</definedName>
    <definedName name="zdfhfdh" localSheetId="32">#REF!</definedName>
    <definedName name="zdfhfdh" localSheetId="22">#REF!</definedName>
    <definedName name="zdfhfdh" localSheetId="25">#REF!</definedName>
    <definedName name="zdfhfdh" localSheetId="23">#REF!</definedName>
    <definedName name="zdfhfdh" localSheetId="34">#REF!</definedName>
    <definedName name="zdfhfdh" localSheetId="45">#REF!</definedName>
    <definedName name="zdfhfdh" localSheetId="36">#REF!</definedName>
    <definedName name="zdfhfdh">#REF!</definedName>
    <definedName name="zsfzsfv" localSheetId="18">#REF!</definedName>
    <definedName name="zsfzsfv" localSheetId="21">#REF!</definedName>
    <definedName name="zsfzsfv" localSheetId="19">#REF!</definedName>
    <definedName name="zsfzsfv" localSheetId="20">#REF!</definedName>
    <definedName name="zsfzsfv" localSheetId="14">#REF!</definedName>
    <definedName name="zsfzsfv" localSheetId="39">#REF!</definedName>
    <definedName name="zsfzsfv" localSheetId="15">#REF!</definedName>
    <definedName name="zsfzsfv" localSheetId="16">#REF!</definedName>
    <definedName name="zsfzsfv" localSheetId="26">#REF!</definedName>
    <definedName name="zsfzsfv" localSheetId="29">#REF!</definedName>
    <definedName name="zsfzsfv" localSheetId="28">#REF!</definedName>
    <definedName name="zsfzsfv" localSheetId="17">#REF!</definedName>
    <definedName name="zsfzsfv" localSheetId="32">#REF!</definedName>
    <definedName name="zsfzsfv" localSheetId="22">#REF!</definedName>
    <definedName name="zsfzsfv" localSheetId="25">#REF!</definedName>
    <definedName name="zsfzsfv" localSheetId="23">#REF!</definedName>
    <definedName name="zsfzsfv" localSheetId="34">#REF!</definedName>
    <definedName name="zsfzsfv" localSheetId="45">#REF!</definedName>
    <definedName name="zsfzsfv" localSheetId="36">#REF!</definedName>
    <definedName name="zsfzsfv">#REF!</definedName>
    <definedName name="zzxzxz" localSheetId="18">#REF!</definedName>
    <definedName name="zzxzxz" localSheetId="21">#REF!</definedName>
    <definedName name="zzxzxz" localSheetId="19">#REF!</definedName>
    <definedName name="zzxzxz" localSheetId="20">#REF!</definedName>
    <definedName name="zzxzxz" localSheetId="14">#REF!</definedName>
    <definedName name="zzxzxz" localSheetId="39">#REF!</definedName>
    <definedName name="zzxzxz" localSheetId="15">#REF!</definedName>
    <definedName name="zzxzxz" localSheetId="16">#REF!</definedName>
    <definedName name="zzxzxz" localSheetId="26">#REF!</definedName>
    <definedName name="zzxzxz" localSheetId="29">#REF!</definedName>
    <definedName name="zzxzxz" localSheetId="28">#REF!</definedName>
    <definedName name="zzxzxz" localSheetId="17">#REF!</definedName>
    <definedName name="zzxzxz" localSheetId="32">#REF!</definedName>
    <definedName name="zzxzxz" localSheetId="22">#REF!</definedName>
    <definedName name="zzxzxz" localSheetId="25">#REF!</definedName>
    <definedName name="zzxzxz" localSheetId="23">#REF!</definedName>
    <definedName name="zzxzxz" localSheetId="34">#REF!</definedName>
    <definedName name="zzxzxz" localSheetId="45">#REF!</definedName>
    <definedName name="zzxzxz" localSheetId="36">#REF!</definedName>
    <definedName name="zzxzxz">#REF!</definedName>
  </definedNames>
  <calcPr calcId="191028"/>
  <pivotCaches>
    <pivotCache cacheId="0" r:id="rId4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15" i="174" l="1"/>
  <c r="O115" i="174" s="1"/>
  <c r="U115" i="174" s="1"/>
  <c r="AC115" i="174" s="1"/>
  <c r="P103" i="174"/>
  <c r="O103" i="174" s="1"/>
  <c r="U103" i="174" s="1"/>
  <c r="AC103" i="174" s="1"/>
  <c r="P91" i="174"/>
  <c r="O91" i="174" s="1"/>
  <c r="U91" i="174" s="1"/>
  <c r="AC91" i="174" s="1"/>
  <c r="P79" i="174"/>
  <c r="O79" i="174" s="1"/>
  <c r="U79" i="174" s="1"/>
  <c r="AC79" i="174" s="1"/>
  <c r="P67" i="174"/>
  <c r="O67" i="174" s="1"/>
  <c r="U67" i="174" s="1"/>
  <c r="AC67" i="174" s="1"/>
  <c r="P55" i="174"/>
  <c r="O55" i="174" s="1"/>
  <c r="U55" i="174" s="1"/>
  <c r="AC55" i="174" s="1"/>
  <c r="P35" i="174"/>
  <c r="O35" i="174" s="1"/>
  <c r="U35" i="174" s="1"/>
  <c r="AC35" i="174" s="1"/>
  <c r="P15" i="174"/>
  <c r="O15" i="174" s="1"/>
  <c r="U15" i="174" s="1"/>
  <c r="AC15" i="174" s="1"/>
  <c r="X41" i="174" l="1"/>
  <c r="O41" i="174" s="1"/>
  <c r="Z41" i="174" s="1"/>
  <c r="Y41" i="174"/>
  <c r="Y40" i="174"/>
  <c r="L41" i="174"/>
  <c r="X21" i="174"/>
  <c r="O21" i="174" s="1"/>
  <c r="Z21" i="174" s="1"/>
  <c r="Y21" i="174"/>
  <c r="Y20" i="174"/>
  <c r="AB21" i="174"/>
  <c r="L21" i="174"/>
  <c r="AP196" i="186"/>
  <c r="AO196" i="186"/>
  <c r="AN196" i="186"/>
  <c r="AL196" i="186"/>
  <c r="AK196" i="186"/>
  <c r="AJ196" i="186"/>
  <c r="AP194" i="186"/>
  <c r="AO194" i="186"/>
  <c r="AN194" i="186"/>
  <c r="AL194" i="186"/>
  <c r="AK194" i="186"/>
  <c r="AJ194" i="186"/>
  <c r="AP193" i="186"/>
  <c r="AO193" i="186"/>
  <c r="AN193" i="186"/>
  <c r="AL193" i="186"/>
  <c r="AK193" i="186"/>
  <c r="AJ193" i="186"/>
  <c r="AP191" i="186"/>
  <c r="AO191" i="186"/>
  <c r="AN191" i="186"/>
  <c r="AL191" i="186"/>
  <c r="AK191" i="186"/>
  <c r="AJ191" i="186"/>
  <c r="AP190" i="186"/>
  <c r="AO190" i="186"/>
  <c r="AN190" i="186"/>
  <c r="AL190" i="186"/>
  <c r="AK190" i="186"/>
  <c r="AJ190" i="186"/>
  <c r="AP189" i="186"/>
  <c r="AO189" i="186"/>
  <c r="AN189" i="186"/>
  <c r="AL189" i="186"/>
  <c r="AK189" i="186"/>
  <c r="AJ189" i="186"/>
  <c r="AP188" i="186"/>
  <c r="AO188" i="186"/>
  <c r="AN188" i="186"/>
  <c r="AL188" i="186"/>
  <c r="AK188" i="186"/>
  <c r="AJ188" i="186"/>
  <c r="AP187" i="186"/>
  <c r="AO187" i="186"/>
  <c r="AN187" i="186"/>
  <c r="AL187" i="186"/>
  <c r="AK187" i="186"/>
  <c r="AJ187" i="186"/>
  <c r="AP186" i="186"/>
  <c r="AO186" i="186"/>
  <c r="AN186" i="186"/>
  <c r="AL186" i="186"/>
  <c r="AK186" i="186"/>
  <c r="AJ186" i="186"/>
  <c r="AP185" i="186"/>
  <c r="AO185" i="186"/>
  <c r="AN185" i="186"/>
  <c r="AL185" i="186"/>
  <c r="AK185" i="186"/>
  <c r="AJ185" i="186"/>
  <c r="AP184" i="186"/>
  <c r="AO184" i="186"/>
  <c r="AN184" i="186"/>
  <c r="AL184" i="186"/>
  <c r="AK184" i="186"/>
  <c r="AJ184" i="186"/>
  <c r="AP183" i="186"/>
  <c r="AO183" i="186"/>
  <c r="AN183" i="186"/>
  <c r="AL183" i="186"/>
  <c r="AK183" i="186"/>
  <c r="AJ183" i="186"/>
  <c r="AP182" i="186"/>
  <c r="AO182" i="186"/>
  <c r="AN182" i="186"/>
  <c r="AL182" i="186"/>
  <c r="AK182" i="186"/>
  <c r="AJ182" i="186"/>
  <c r="AP181" i="186"/>
  <c r="AO181" i="186"/>
  <c r="AN181" i="186"/>
  <c r="AL181" i="186"/>
  <c r="AK181" i="186"/>
  <c r="AJ181" i="186"/>
  <c r="AP180" i="186"/>
  <c r="AO180" i="186"/>
  <c r="AN180" i="186"/>
  <c r="AL180" i="186"/>
  <c r="AK180" i="186"/>
  <c r="AJ180" i="186"/>
  <c r="AP179" i="186"/>
  <c r="AO179" i="186"/>
  <c r="AN179" i="186"/>
  <c r="AL179" i="186"/>
  <c r="AK179" i="186"/>
  <c r="AJ179" i="186"/>
  <c r="AP178" i="186"/>
  <c r="AO178" i="186"/>
  <c r="AN178" i="186"/>
  <c r="AL178" i="186"/>
  <c r="AK178" i="186"/>
  <c r="AJ178" i="186"/>
  <c r="AP177" i="186"/>
  <c r="AO177" i="186"/>
  <c r="AN177" i="186"/>
  <c r="AL177" i="186"/>
  <c r="AK177" i="186"/>
  <c r="AJ177" i="186"/>
  <c r="AP176" i="186"/>
  <c r="AO176" i="186"/>
  <c r="AN176" i="186"/>
  <c r="AL176" i="186"/>
  <c r="AK176" i="186"/>
  <c r="AJ176" i="186"/>
  <c r="AP175" i="186"/>
  <c r="AO175" i="186"/>
  <c r="AN175" i="186"/>
  <c r="AL175" i="186"/>
  <c r="AK175" i="186"/>
  <c r="AJ175" i="186"/>
  <c r="AP173" i="186"/>
  <c r="AO173" i="186"/>
  <c r="AN173" i="186"/>
  <c r="AL173" i="186"/>
  <c r="AK173" i="186"/>
  <c r="AJ173" i="186"/>
  <c r="AP172" i="186"/>
  <c r="AO172" i="186"/>
  <c r="AN172" i="186"/>
  <c r="AL172" i="186"/>
  <c r="AK172" i="186"/>
  <c r="AJ172" i="186"/>
  <c r="AP171" i="186"/>
  <c r="AO171" i="186"/>
  <c r="AN171" i="186"/>
  <c r="AL171" i="186"/>
  <c r="AK171" i="186"/>
  <c r="AJ171" i="186"/>
  <c r="AP170" i="186"/>
  <c r="AO170" i="186"/>
  <c r="AN170" i="186"/>
  <c r="AL170" i="186"/>
  <c r="AK170" i="186"/>
  <c r="AJ170" i="186"/>
  <c r="AP169" i="186"/>
  <c r="AO169" i="186"/>
  <c r="AN169" i="186"/>
  <c r="AL169" i="186"/>
  <c r="AK169" i="186"/>
  <c r="AJ169" i="186"/>
  <c r="AP168" i="186"/>
  <c r="AO168" i="186"/>
  <c r="AN168" i="186"/>
  <c r="AL168" i="186"/>
  <c r="AK168" i="186"/>
  <c r="AJ168" i="186"/>
  <c r="AP167" i="186"/>
  <c r="AO167" i="186"/>
  <c r="AN167" i="186"/>
  <c r="AL167" i="186"/>
  <c r="AK167" i="186"/>
  <c r="AJ167" i="186"/>
  <c r="AP165" i="186"/>
  <c r="AO165" i="186"/>
  <c r="AN165" i="186"/>
  <c r="AL165" i="186"/>
  <c r="AK165" i="186"/>
  <c r="AJ165" i="186"/>
  <c r="AP164" i="186"/>
  <c r="AO164" i="186"/>
  <c r="AN164" i="186"/>
  <c r="AL164" i="186"/>
  <c r="AK164" i="186"/>
  <c r="AJ164" i="186"/>
  <c r="AP163" i="186"/>
  <c r="AO163" i="186"/>
  <c r="AN163" i="186"/>
  <c r="AL163" i="186"/>
  <c r="AK163" i="186"/>
  <c r="AJ163" i="186"/>
  <c r="AP162" i="186"/>
  <c r="AO162" i="186"/>
  <c r="AN162" i="186"/>
  <c r="AL162" i="186"/>
  <c r="AK162" i="186"/>
  <c r="AJ162" i="186"/>
  <c r="AP161" i="186"/>
  <c r="AO161" i="186"/>
  <c r="AN161" i="186"/>
  <c r="AL161" i="186"/>
  <c r="AK161" i="186"/>
  <c r="AJ161" i="186"/>
  <c r="AP160" i="186"/>
  <c r="AO160" i="186"/>
  <c r="AN160" i="186"/>
  <c r="AL160" i="186"/>
  <c r="AK160" i="186"/>
  <c r="AJ160" i="186"/>
  <c r="AP159" i="186"/>
  <c r="AO159" i="186"/>
  <c r="AN159" i="186"/>
  <c r="AL159" i="186"/>
  <c r="AK159" i="186"/>
  <c r="AJ159" i="186"/>
  <c r="AP157" i="186"/>
  <c r="AO157" i="186"/>
  <c r="AN157" i="186"/>
  <c r="AL157" i="186"/>
  <c r="AK157" i="186"/>
  <c r="AJ157" i="186"/>
  <c r="AP156" i="186"/>
  <c r="AO156" i="186"/>
  <c r="AN156" i="186"/>
  <c r="AL156" i="186"/>
  <c r="AK156" i="186"/>
  <c r="AJ156" i="186"/>
  <c r="AP155" i="186"/>
  <c r="AO155" i="186"/>
  <c r="AN155" i="186"/>
  <c r="AL155" i="186"/>
  <c r="AK155" i="186"/>
  <c r="AJ155" i="186"/>
  <c r="AP154" i="186"/>
  <c r="AO154" i="186"/>
  <c r="AN154" i="186"/>
  <c r="AL154" i="186"/>
  <c r="AK154" i="186"/>
  <c r="AJ154" i="186"/>
  <c r="AP153" i="186"/>
  <c r="AO153" i="186"/>
  <c r="AN153" i="186"/>
  <c r="AL153" i="186"/>
  <c r="AK153" i="186"/>
  <c r="AJ153" i="186"/>
  <c r="AP152" i="186"/>
  <c r="AO152" i="186"/>
  <c r="AN152" i="186"/>
  <c r="AL152" i="186"/>
  <c r="AK152" i="186"/>
  <c r="AJ152" i="186"/>
  <c r="AP151" i="186"/>
  <c r="AO151" i="186"/>
  <c r="AN151" i="186"/>
  <c r="AL151" i="186"/>
  <c r="AK151" i="186"/>
  <c r="AJ151" i="186"/>
  <c r="AP149" i="186"/>
  <c r="AO149" i="186"/>
  <c r="AN149" i="186"/>
  <c r="AL149" i="186"/>
  <c r="AK149" i="186"/>
  <c r="AJ149" i="186"/>
  <c r="AP148" i="186"/>
  <c r="AO148" i="186"/>
  <c r="AN148" i="186"/>
  <c r="AL148" i="186"/>
  <c r="AK148" i="186"/>
  <c r="AJ148" i="186"/>
  <c r="AP147" i="186"/>
  <c r="AO147" i="186"/>
  <c r="AN147" i="186"/>
  <c r="AL147" i="186"/>
  <c r="AK147" i="186"/>
  <c r="AJ147" i="186"/>
  <c r="AP146" i="186"/>
  <c r="AO146" i="186"/>
  <c r="AN146" i="186"/>
  <c r="AL146" i="186"/>
  <c r="AK146" i="186"/>
  <c r="AJ146" i="186"/>
  <c r="AP145" i="186"/>
  <c r="AO145" i="186"/>
  <c r="AN145" i="186"/>
  <c r="AL145" i="186"/>
  <c r="AK145" i="186"/>
  <c r="AJ145" i="186"/>
  <c r="AP144" i="186"/>
  <c r="AO144" i="186"/>
  <c r="AN144" i="186"/>
  <c r="AL144" i="186"/>
  <c r="AK144" i="186"/>
  <c r="AJ144" i="186"/>
  <c r="AP143" i="186"/>
  <c r="AO143" i="186"/>
  <c r="AN143" i="186"/>
  <c r="AL143" i="186"/>
  <c r="AK143" i="186"/>
  <c r="AJ143" i="186"/>
  <c r="AP141" i="186"/>
  <c r="AO141" i="186"/>
  <c r="AN141" i="186"/>
  <c r="AL141" i="186"/>
  <c r="AK141" i="186"/>
  <c r="AJ141" i="186"/>
  <c r="AP140" i="186"/>
  <c r="AO140" i="186"/>
  <c r="AN140" i="186"/>
  <c r="AL140" i="186"/>
  <c r="AK140" i="186"/>
  <c r="AJ140" i="186"/>
  <c r="AP139" i="186"/>
  <c r="AO139" i="186"/>
  <c r="AN139" i="186"/>
  <c r="AL139" i="186"/>
  <c r="AK139" i="186"/>
  <c r="AJ139" i="186"/>
  <c r="AP138" i="186"/>
  <c r="AO138" i="186"/>
  <c r="AN138" i="186"/>
  <c r="AL138" i="186"/>
  <c r="AK138" i="186"/>
  <c r="AJ138" i="186"/>
  <c r="AP137" i="186"/>
  <c r="AO137" i="186"/>
  <c r="AN137" i="186"/>
  <c r="AL137" i="186"/>
  <c r="AK137" i="186"/>
  <c r="AJ137" i="186"/>
  <c r="AP136" i="186"/>
  <c r="AO136" i="186"/>
  <c r="AN136" i="186"/>
  <c r="AL136" i="186"/>
  <c r="AK136" i="186"/>
  <c r="AJ136" i="186"/>
  <c r="AP135" i="186"/>
  <c r="AO135" i="186"/>
  <c r="AN135" i="186"/>
  <c r="AL135" i="186"/>
  <c r="AK135" i="186"/>
  <c r="AJ135" i="186"/>
  <c r="AP133" i="186"/>
  <c r="AO133" i="186"/>
  <c r="AN133" i="186"/>
  <c r="AL133" i="186"/>
  <c r="AK133" i="186"/>
  <c r="AJ133" i="186"/>
  <c r="AP132" i="186"/>
  <c r="AO132" i="186"/>
  <c r="AN132" i="186"/>
  <c r="AL132" i="186"/>
  <c r="AK132" i="186"/>
  <c r="AJ132" i="186"/>
  <c r="AP131" i="186"/>
  <c r="AO131" i="186"/>
  <c r="AN131" i="186"/>
  <c r="AL131" i="186"/>
  <c r="AK131" i="186"/>
  <c r="AJ131" i="186"/>
  <c r="AP130" i="186"/>
  <c r="AO130" i="186"/>
  <c r="AN130" i="186"/>
  <c r="AL130" i="186"/>
  <c r="AK130" i="186"/>
  <c r="AJ130" i="186"/>
  <c r="AP129" i="186"/>
  <c r="AO129" i="186"/>
  <c r="AN129" i="186"/>
  <c r="AL129" i="186"/>
  <c r="AK129" i="186"/>
  <c r="AJ129" i="186"/>
  <c r="AP128" i="186"/>
  <c r="AO128" i="186"/>
  <c r="AN128" i="186"/>
  <c r="AL128" i="186"/>
  <c r="AK128" i="186"/>
  <c r="AJ128" i="186"/>
  <c r="AP127" i="186"/>
  <c r="AO127" i="186"/>
  <c r="AN127" i="186"/>
  <c r="AL127" i="186"/>
  <c r="AK127" i="186"/>
  <c r="AJ127" i="186"/>
  <c r="AP125" i="186"/>
  <c r="AO125" i="186"/>
  <c r="AN125" i="186"/>
  <c r="AL125" i="186"/>
  <c r="AK125" i="186"/>
  <c r="AJ125" i="186"/>
  <c r="AP124" i="186"/>
  <c r="AO124" i="186"/>
  <c r="AN124" i="186"/>
  <c r="AL124" i="186"/>
  <c r="AK124" i="186"/>
  <c r="AJ124" i="186"/>
  <c r="AP123" i="186"/>
  <c r="AO123" i="186"/>
  <c r="AN123" i="186"/>
  <c r="AL123" i="186"/>
  <c r="AK123" i="186"/>
  <c r="AJ123" i="186"/>
  <c r="AP122" i="186"/>
  <c r="AO122" i="186"/>
  <c r="AN122" i="186"/>
  <c r="AL122" i="186"/>
  <c r="AK122" i="186"/>
  <c r="AJ122" i="186"/>
  <c r="AP121" i="186"/>
  <c r="AO121" i="186"/>
  <c r="AN121" i="186"/>
  <c r="AL121" i="186"/>
  <c r="AK121" i="186"/>
  <c r="AJ121" i="186"/>
  <c r="AP120" i="186"/>
  <c r="AO120" i="186"/>
  <c r="AN120" i="186"/>
  <c r="AL120" i="186"/>
  <c r="AK120" i="186"/>
  <c r="AJ120" i="186"/>
  <c r="AP119" i="186"/>
  <c r="AO119" i="186"/>
  <c r="AN119" i="186"/>
  <c r="AL119" i="186"/>
  <c r="AK119" i="186"/>
  <c r="AJ119" i="186"/>
  <c r="AP117" i="186"/>
  <c r="AO117" i="186"/>
  <c r="AL117" i="186"/>
  <c r="AK117" i="186"/>
  <c r="AO116" i="186"/>
  <c r="AN116" i="186"/>
  <c r="AK116" i="186"/>
  <c r="AJ116" i="186"/>
  <c r="AP115" i="186"/>
  <c r="AO115" i="186"/>
  <c r="AN115" i="186"/>
  <c r="AL115" i="186"/>
  <c r="AK115" i="186"/>
  <c r="AJ115" i="186"/>
  <c r="AP114" i="186"/>
  <c r="AO114" i="186"/>
  <c r="AN114" i="186"/>
  <c r="AL114" i="186"/>
  <c r="AK114" i="186"/>
  <c r="AJ114" i="186"/>
  <c r="AP113" i="186"/>
  <c r="AO113" i="186"/>
  <c r="AN113" i="186"/>
  <c r="AL113" i="186"/>
  <c r="AK113" i="186"/>
  <c r="AJ113" i="186"/>
  <c r="AP112" i="186"/>
  <c r="AO112" i="186"/>
  <c r="AN112" i="186"/>
  <c r="AL112" i="186"/>
  <c r="AK112" i="186"/>
  <c r="AJ112" i="186"/>
  <c r="AP111" i="186"/>
  <c r="AO111" i="186"/>
  <c r="AN111" i="186"/>
  <c r="AL111" i="186"/>
  <c r="AK111" i="186"/>
  <c r="AJ111" i="186"/>
  <c r="AP110" i="186"/>
  <c r="AO110" i="186"/>
  <c r="AN110" i="186"/>
  <c r="AL110" i="186"/>
  <c r="AK110" i="186"/>
  <c r="AJ110" i="186"/>
  <c r="AP109" i="186"/>
  <c r="AO109" i="186"/>
  <c r="AN109" i="186"/>
  <c r="AL109" i="186"/>
  <c r="AK109" i="186"/>
  <c r="AJ109" i="186"/>
  <c r="AP108" i="186"/>
  <c r="AO108" i="186"/>
  <c r="AN108" i="186"/>
  <c r="AL108" i="186"/>
  <c r="AK108" i="186"/>
  <c r="AJ108" i="186"/>
  <c r="AP107" i="186"/>
  <c r="AO107" i="186"/>
  <c r="AN107" i="186"/>
  <c r="AL107" i="186"/>
  <c r="AK107" i="186"/>
  <c r="AJ107" i="186"/>
  <c r="AP105" i="186"/>
  <c r="AO105" i="186"/>
  <c r="AL105" i="186"/>
  <c r="AK105" i="186"/>
  <c r="AO104" i="186"/>
  <c r="AN104" i="186"/>
  <c r="AK104" i="186"/>
  <c r="AJ104" i="186"/>
  <c r="AP103" i="186"/>
  <c r="AO103" i="186"/>
  <c r="AN103" i="186"/>
  <c r="AL103" i="186"/>
  <c r="AK103" i="186"/>
  <c r="AJ103" i="186"/>
  <c r="AP102" i="186"/>
  <c r="AO102" i="186"/>
  <c r="AN102" i="186"/>
  <c r="AL102" i="186"/>
  <c r="AK102" i="186"/>
  <c r="AJ102" i="186"/>
  <c r="AP101" i="186"/>
  <c r="AO101" i="186"/>
  <c r="AN101" i="186"/>
  <c r="AL101" i="186"/>
  <c r="AK101" i="186"/>
  <c r="AJ101" i="186"/>
  <c r="AP100" i="186"/>
  <c r="AO100" i="186"/>
  <c r="AN100" i="186"/>
  <c r="AL100" i="186"/>
  <c r="AK100" i="186"/>
  <c r="AJ100" i="186"/>
  <c r="AP99" i="186"/>
  <c r="AO99" i="186"/>
  <c r="AN99" i="186"/>
  <c r="AL99" i="186"/>
  <c r="AK99" i="186"/>
  <c r="AJ99" i="186"/>
  <c r="AP98" i="186"/>
  <c r="AO98" i="186"/>
  <c r="AN98" i="186"/>
  <c r="AL98" i="186"/>
  <c r="AK98" i="186"/>
  <c r="AJ98" i="186"/>
  <c r="AP97" i="186"/>
  <c r="AO97" i="186"/>
  <c r="AN97" i="186"/>
  <c r="AL97" i="186"/>
  <c r="AK97" i="186"/>
  <c r="AJ97" i="186"/>
  <c r="AP96" i="186"/>
  <c r="AO96" i="186"/>
  <c r="AN96" i="186"/>
  <c r="AL96" i="186"/>
  <c r="AK96" i="186"/>
  <c r="AJ96" i="186"/>
  <c r="AP95" i="186"/>
  <c r="AO95" i="186"/>
  <c r="AN95" i="186"/>
  <c r="AL95" i="186"/>
  <c r="AK95" i="186"/>
  <c r="AJ95" i="186"/>
  <c r="AP93" i="186"/>
  <c r="AO93" i="186"/>
  <c r="AL93" i="186"/>
  <c r="AK93" i="186"/>
  <c r="AO92" i="186"/>
  <c r="AN92" i="186"/>
  <c r="AK92" i="186"/>
  <c r="AJ92" i="186"/>
  <c r="AP91" i="186"/>
  <c r="AO91" i="186"/>
  <c r="AN91" i="186"/>
  <c r="AL91" i="186"/>
  <c r="AK91" i="186"/>
  <c r="AJ91" i="186"/>
  <c r="AP90" i="186"/>
  <c r="AO90" i="186"/>
  <c r="AN90" i="186"/>
  <c r="AL90" i="186"/>
  <c r="AK90" i="186"/>
  <c r="AJ90" i="186"/>
  <c r="AP89" i="186"/>
  <c r="AO89" i="186"/>
  <c r="AN89" i="186"/>
  <c r="AL89" i="186"/>
  <c r="AK89" i="186"/>
  <c r="AJ89" i="186"/>
  <c r="AP88" i="186"/>
  <c r="AO88" i="186"/>
  <c r="AN88" i="186"/>
  <c r="AL88" i="186"/>
  <c r="AK88" i="186"/>
  <c r="AJ88" i="186"/>
  <c r="AP87" i="186"/>
  <c r="AO87" i="186"/>
  <c r="AN87" i="186"/>
  <c r="AL87" i="186"/>
  <c r="AK87" i="186"/>
  <c r="AJ87" i="186"/>
  <c r="AP86" i="186"/>
  <c r="AO86" i="186"/>
  <c r="AN86" i="186"/>
  <c r="AL86" i="186"/>
  <c r="AK86" i="186"/>
  <c r="AJ86" i="186"/>
  <c r="AP85" i="186"/>
  <c r="AO85" i="186"/>
  <c r="AN85" i="186"/>
  <c r="AL85" i="186"/>
  <c r="AK85" i="186"/>
  <c r="AJ85" i="186"/>
  <c r="AP84" i="186"/>
  <c r="AO84" i="186"/>
  <c r="AN84" i="186"/>
  <c r="AL84" i="186"/>
  <c r="AK84" i="186"/>
  <c r="AJ84" i="186"/>
  <c r="AP83" i="186"/>
  <c r="AO83" i="186"/>
  <c r="AN83" i="186"/>
  <c r="AL83" i="186"/>
  <c r="AK83" i="186"/>
  <c r="AJ83" i="186"/>
  <c r="AP81" i="186"/>
  <c r="AO81" i="186"/>
  <c r="AL81" i="186"/>
  <c r="AK81" i="186"/>
  <c r="AO80" i="186"/>
  <c r="AN80" i="186"/>
  <c r="AK80" i="186"/>
  <c r="AJ80" i="186"/>
  <c r="AP79" i="186"/>
  <c r="AO79" i="186"/>
  <c r="AN79" i="186"/>
  <c r="AL79" i="186"/>
  <c r="AK79" i="186"/>
  <c r="AJ79" i="186"/>
  <c r="AP78" i="186"/>
  <c r="AO78" i="186"/>
  <c r="AN78" i="186"/>
  <c r="AL78" i="186"/>
  <c r="AK78" i="186"/>
  <c r="AJ78" i="186"/>
  <c r="AP77" i="186"/>
  <c r="AO77" i="186"/>
  <c r="AN77" i="186"/>
  <c r="AL77" i="186"/>
  <c r="AK77" i="186"/>
  <c r="AJ77" i="186"/>
  <c r="AP76" i="186"/>
  <c r="AO76" i="186"/>
  <c r="AN76" i="186"/>
  <c r="AL76" i="186"/>
  <c r="AK76" i="186"/>
  <c r="AJ76" i="186"/>
  <c r="AP75" i="186"/>
  <c r="AO75" i="186"/>
  <c r="AN75" i="186"/>
  <c r="AL75" i="186"/>
  <c r="AK75" i="186"/>
  <c r="AJ75" i="186"/>
  <c r="AP74" i="186"/>
  <c r="AO74" i="186"/>
  <c r="AN74" i="186"/>
  <c r="AL74" i="186"/>
  <c r="AK74" i="186"/>
  <c r="AJ74" i="186"/>
  <c r="AP73" i="186"/>
  <c r="AO73" i="186"/>
  <c r="AN73" i="186"/>
  <c r="AL73" i="186"/>
  <c r="AK73" i="186"/>
  <c r="AJ73" i="186"/>
  <c r="AP72" i="186"/>
  <c r="AO72" i="186"/>
  <c r="AN72" i="186"/>
  <c r="AL72" i="186"/>
  <c r="AK72" i="186"/>
  <c r="AJ72" i="186"/>
  <c r="AP71" i="186"/>
  <c r="AO71" i="186"/>
  <c r="AN71" i="186"/>
  <c r="AL71" i="186"/>
  <c r="AK71" i="186"/>
  <c r="AJ71" i="186"/>
  <c r="AP69" i="186"/>
  <c r="AO69" i="186"/>
  <c r="AL69" i="186"/>
  <c r="AK69" i="186"/>
  <c r="AO68" i="186"/>
  <c r="AN68" i="186"/>
  <c r="AK68" i="186"/>
  <c r="AJ68" i="186"/>
  <c r="AP67" i="186"/>
  <c r="AO67" i="186"/>
  <c r="AN67" i="186"/>
  <c r="AL67" i="186"/>
  <c r="AK67" i="186"/>
  <c r="AJ67" i="186"/>
  <c r="AP66" i="186"/>
  <c r="AO66" i="186"/>
  <c r="AN66" i="186"/>
  <c r="AL66" i="186"/>
  <c r="AK66" i="186"/>
  <c r="AJ66" i="186"/>
  <c r="AP65" i="186"/>
  <c r="AO65" i="186"/>
  <c r="AN65" i="186"/>
  <c r="AL65" i="186"/>
  <c r="AK65" i="186"/>
  <c r="AJ65" i="186"/>
  <c r="AP64" i="186"/>
  <c r="AO64" i="186"/>
  <c r="AN64" i="186"/>
  <c r="AL64" i="186"/>
  <c r="AK64" i="186"/>
  <c r="AJ64" i="186"/>
  <c r="AP63" i="186"/>
  <c r="AO63" i="186"/>
  <c r="AN63" i="186"/>
  <c r="AL63" i="186"/>
  <c r="AK63" i="186"/>
  <c r="AJ63" i="186"/>
  <c r="AP62" i="186"/>
  <c r="AO62" i="186"/>
  <c r="AN62" i="186"/>
  <c r="AL62" i="186"/>
  <c r="AK62" i="186"/>
  <c r="AJ62" i="186"/>
  <c r="AP61" i="186"/>
  <c r="AO61" i="186"/>
  <c r="AN61" i="186"/>
  <c r="AL61" i="186"/>
  <c r="AK61" i="186"/>
  <c r="AJ61" i="186"/>
  <c r="AP60" i="186"/>
  <c r="AO60" i="186"/>
  <c r="AN60" i="186"/>
  <c r="AL60" i="186"/>
  <c r="AK60" i="186"/>
  <c r="AJ60" i="186"/>
  <c r="AP59" i="186"/>
  <c r="AO59" i="186"/>
  <c r="AN59" i="186"/>
  <c r="AL59" i="186"/>
  <c r="AK59" i="186"/>
  <c r="AJ59" i="186"/>
  <c r="AP57" i="186"/>
  <c r="AO57" i="186"/>
  <c r="AL57" i="186"/>
  <c r="AK57" i="186"/>
  <c r="AO56" i="186"/>
  <c r="AN56" i="186"/>
  <c r="AK56" i="186"/>
  <c r="AJ56" i="186"/>
  <c r="AP55" i="186"/>
  <c r="AO55" i="186"/>
  <c r="AN55" i="186"/>
  <c r="AL55" i="186"/>
  <c r="AK55" i="186"/>
  <c r="AJ55" i="186"/>
  <c r="AP54" i="186"/>
  <c r="AO54" i="186"/>
  <c r="AN54" i="186"/>
  <c r="AL54" i="186"/>
  <c r="AK54" i="186"/>
  <c r="AJ54" i="186"/>
  <c r="AP53" i="186"/>
  <c r="AO53" i="186"/>
  <c r="AN53" i="186"/>
  <c r="AL53" i="186"/>
  <c r="AK53" i="186"/>
  <c r="AJ53" i="186"/>
  <c r="AP52" i="186"/>
  <c r="AO52" i="186"/>
  <c r="AN52" i="186"/>
  <c r="AL52" i="186"/>
  <c r="AK52" i="186"/>
  <c r="AJ52" i="186"/>
  <c r="AP51" i="186"/>
  <c r="AO51" i="186"/>
  <c r="AN51" i="186"/>
  <c r="AL51" i="186"/>
  <c r="AK51" i="186"/>
  <c r="AJ51" i="186"/>
  <c r="AP50" i="186"/>
  <c r="AO50" i="186"/>
  <c r="AN50" i="186"/>
  <c r="AL50" i="186"/>
  <c r="AK50" i="186"/>
  <c r="AJ50" i="186"/>
  <c r="AP49" i="186"/>
  <c r="AO49" i="186"/>
  <c r="AN49" i="186"/>
  <c r="AL49" i="186"/>
  <c r="AK49" i="186"/>
  <c r="AJ49" i="186"/>
  <c r="AP48" i="186"/>
  <c r="AO48" i="186"/>
  <c r="AN48" i="186"/>
  <c r="AL48" i="186"/>
  <c r="AK48" i="186"/>
  <c r="AJ48" i="186"/>
  <c r="AP47" i="186"/>
  <c r="AO47" i="186"/>
  <c r="AN47" i="186"/>
  <c r="AL47" i="186"/>
  <c r="AK47" i="186"/>
  <c r="AJ47" i="186"/>
  <c r="AP45" i="186"/>
  <c r="AO45" i="186"/>
  <c r="AN45" i="186"/>
  <c r="AL45" i="186"/>
  <c r="AK45" i="186"/>
  <c r="AJ45" i="186"/>
  <c r="AP44" i="186"/>
  <c r="AO44" i="186"/>
  <c r="AN44" i="186"/>
  <c r="AL44" i="186"/>
  <c r="AK44" i="186"/>
  <c r="AJ44" i="186"/>
  <c r="AP43" i="186"/>
  <c r="AO43" i="186"/>
  <c r="AN43" i="186"/>
  <c r="AL43" i="186"/>
  <c r="AK43" i="186"/>
  <c r="AJ43" i="186"/>
  <c r="AP42" i="186"/>
  <c r="AO42" i="186"/>
  <c r="AN42" i="186"/>
  <c r="AL42" i="186"/>
  <c r="AK42" i="186"/>
  <c r="AJ42" i="186"/>
  <c r="AP41" i="186"/>
  <c r="AO41" i="186"/>
  <c r="AN41" i="186"/>
  <c r="AL41" i="186"/>
  <c r="AK41" i="186"/>
  <c r="AJ41" i="186"/>
  <c r="AP40" i="186"/>
  <c r="AO40" i="186"/>
  <c r="AN40" i="186"/>
  <c r="AL40" i="186"/>
  <c r="AK40" i="186"/>
  <c r="AJ40" i="186"/>
  <c r="AP38" i="186"/>
  <c r="AO38" i="186"/>
  <c r="AL38" i="186"/>
  <c r="AK38" i="186"/>
  <c r="AO37" i="186"/>
  <c r="AN37" i="186"/>
  <c r="AK37" i="186"/>
  <c r="AJ37" i="186"/>
  <c r="AP36" i="186"/>
  <c r="AO36" i="186"/>
  <c r="AN36" i="186"/>
  <c r="AL36" i="186"/>
  <c r="AK36" i="186"/>
  <c r="AJ36" i="186"/>
  <c r="AP35" i="186"/>
  <c r="AO35" i="186"/>
  <c r="AN35" i="186"/>
  <c r="AL35" i="186"/>
  <c r="AK35" i="186"/>
  <c r="AJ35" i="186"/>
  <c r="AP34" i="186"/>
  <c r="AO34" i="186"/>
  <c r="AN34" i="186"/>
  <c r="AL34" i="186"/>
  <c r="AK34" i="186"/>
  <c r="AJ34" i="186"/>
  <c r="AP33" i="186"/>
  <c r="AO33" i="186"/>
  <c r="AN33" i="186"/>
  <c r="AL33" i="186"/>
  <c r="AK33" i="186"/>
  <c r="AJ33" i="186"/>
  <c r="AP32" i="186"/>
  <c r="AO32" i="186"/>
  <c r="AN32" i="186"/>
  <c r="AL32" i="186"/>
  <c r="AK32" i="186"/>
  <c r="AJ32" i="186"/>
  <c r="AP31" i="186"/>
  <c r="AO31" i="186"/>
  <c r="AN31" i="186"/>
  <c r="AL31" i="186"/>
  <c r="AK31" i="186"/>
  <c r="AJ31" i="186"/>
  <c r="AP30" i="186"/>
  <c r="AO30" i="186"/>
  <c r="AN30" i="186"/>
  <c r="AL30" i="186"/>
  <c r="AK30" i="186"/>
  <c r="AJ30" i="186"/>
  <c r="AP29" i="186"/>
  <c r="AO29" i="186"/>
  <c r="AN29" i="186"/>
  <c r="AL29" i="186"/>
  <c r="AK29" i="186"/>
  <c r="AJ29" i="186"/>
  <c r="AP28" i="186"/>
  <c r="AO28" i="186"/>
  <c r="AN28" i="186"/>
  <c r="AL28" i="186"/>
  <c r="AK28" i="186"/>
  <c r="AJ28" i="186"/>
  <c r="AP26" i="186"/>
  <c r="AO26" i="186"/>
  <c r="AN26" i="186"/>
  <c r="AL26" i="186"/>
  <c r="AK26" i="186"/>
  <c r="AJ26" i="186"/>
  <c r="AP25" i="186"/>
  <c r="AO25" i="186"/>
  <c r="AN25" i="186"/>
  <c r="AL25" i="186"/>
  <c r="AK25" i="186"/>
  <c r="AJ25" i="186"/>
  <c r="AP24" i="186"/>
  <c r="AO24" i="186"/>
  <c r="AN24" i="186"/>
  <c r="AL24" i="186"/>
  <c r="AK24" i="186"/>
  <c r="AJ24" i="186"/>
  <c r="AP23" i="186"/>
  <c r="AO23" i="186"/>
  <c r="AN23" i="186"/>
  <c r="AL23" i="186"/>
  <c r="AK23" i="186"/>
  <c r="AJ23" i="186"/>
  <c r="AP22" i="186"/>
  <c r="AO22" i="186"/>
  <c r="AN22" i="186"/>
  <c r="AL22" i="186"/>
  <c r="AK22" i="186"/>
  <c r="AJ22" i="186"/>
  <c r="AP21" i="186"/>
  <c r="AO21" i="186"/>
  <c r="AN21" i="186"/>
  <c r="AL21" i="186"/>
  <c r="AK21" i="186"/>
  <c r="AJ21" i="186"/>
  <c r="AN19" i="186"/>
  <c r="AL19" i="186"/>
  <c r="AP19" i="186" s="1"/>
  <c r="AK19" i="186"/>
  <c r="AO19" i="186" s="1"/>
  <c r="AP18" i="186"/>
  <c r="AO18" i="186"/>
  <c r="AK18" i="186"/>
  <c r="AJ18" i="186"/>
  <c r="AN18" i="186" s="1"/>
  <c r="AP17" i="186"/>
  <c r="AO17" i="186"/>
  <c r="AN17" i="186"/>
  <c r="AL17" i="186"/>
  <c r="AK17" i="186"/>
  <c r="AJ17" i="186"/>
  <c r="AN16" i="186"/>
  <c r="AL16" i="186"/>
  <c r="AP16" i="186" s="1"/>
  <c r="AK16" i="186"/>
  <c r="AO16" i="186" s="1"/>
  <c r="AJ16" i="186"/>
  <c r="AL15" i="186"/>
  <c r="AP15" i="186" s="1"/>
  <c r="AK15" i="186"/>
  <c r="AO15" i="186" s="1"/>
  <c r="AJ15" i="186"/>
  <c r="AN15" i="186" s="1"/>
  <c r="AP14" i="186"/>
  <c r="AL14" i="186"/>
  <c r="AK14" i="186"/>
  <c r="AO14" i="186" s="1"/>
  <c r="AJ14" i="186"/>
  <c r="AN14" i="186" s="1"/>
  <c r="AP13" i="186"/>
  <c r="AO13" i="186"/>
  <c r="AN13" i="186"/>
  <c r="AL13" i="186"/>
  <c r="AK13" i="186"/>
  <c r="AJ13" i="186"/>
  <c r="AN12" i="186"/>
  <c r="AL12" i="186"/>
  <c r="AP12" i="186" s="1"/>
  <c r="AK12" i="186"/>
  <c r="AO12" i="186" s="1"/>
  <c r="AJ12" i="186"/>
  <c r="AL11" i="186"/>
  <c r="AP11" i="186" s="1"/>
  <c r="AK11" i="186"/>
  <c r="AO11" i="186" s="1"/>
  <c r="AJ11" i="186"/>
  <c r="AN11" i="186" s="1"/>
  <c r="AP10" i="186"/>
  <c r="AL10" i="186"/>
  <c r="AK10" i="186"/>
  <c r="AO10" i="186" s="1"/>
  <c r="AJ10" i="186"/>
  <c r="AN10" i="186" s="1"/>
  <c r="AP9" i="186"/>
  <c r="AO9" i="186"/>
  <c r="AN9" i="186"/>
  <c r="AL9" i="186"/>
  <c r="AK9" i="186"/>
  <c r="AJ9" i="186"/>
  <c r="AN7" i="186"/>
  <c r="AL7" i="186"/>
  <c r="AP7" i="186" s="1"/>
  <c r="AK7" i="186"/>
  <c r="AO7" i="186" s="1"/>
  <c r="AJ7" i="186"/>
  <c r="AL6" i="186"/>
  <c r="AP6" i="186" s="1"/>
  <c r="AK6" i="186"/>
  <c r="AO6" i="186" s="1"/>
  <c r="AJ6" i="186"/>
  <c r="AN6" i="186" s="1"/>
  <c r="AP5" i="186"/>
  <c r="AO5" i="186"/>
  <c r="AL5" i="186"/>
  <c r="AK5" i="186"/>
  <c r="AJ5" i="186"/>
  <c r="AN5" i="186" s="1"/>
  <c r="AP4" i="186"/>
  <c r="AO4" i="186"/>
  <c r="AN4" i="186"/>
  <c r="AL4" i="186"/>
  <c r="AK4" i="186"/>
  <c r="AJ4" i="186"/>
  <c r="AJ197" i="186" s="1"/>
  <c r="AN3" i="186"/>
  <c r="AL3" i="186"/>
  <c r="AL197" i="186" s="1"/>
  <c r="AK3" i="186"/>
  <c r="AK197" i="186" s="1"/>
  <c r="AJ3" i="186"/>
  <c r="AB197" i="186"/>
  <c r="Y196" i="186"/>
  <c r="AA196" i="186" s="1"/>
  <c r="R196" i="186"/>
  <c r="O196" i="186" s="1"/>
  <c r="L196" i="186"/>
  <c r="Y194" i="186"/>
  <c r="L194" i="186"/>
  <c r="Y193" i="186"/>
  <c r="L193" i="186"/>
  <c r="B192" i="186"/>
  <c r="AB191" i="186"/>
  <c r="U191" i="186"/>
  <c r="O191" i="186" s="1"/>
  <c r="R191" i="186" s="1"/>
  <c r="L191" i="186"/>
  <c r="T190" i="186"/>
  <c r="O190" i="186"/>
  <c r="Z190" i="186" s="1"/>
  <c r="L190" i="186"/>
  <c r="AD189" i="186"/>
  <c r="AB189" i="186"/>
  <c r="U189" i="186"/>
  <c r="O189" i="186" s="1"/>
  <c r="T189" i="186" s="1"/>
  <c r="L189" i="186"/>
  <c r="O188" i="186"/>
  <c r="L188" i="186"/>
  <c r="V187" i="186"/>
  <c r="U187" i="186"/>
  <c r="L187" i="186"/>
  <c r="U186" i="186"/>
  <c r="AC186" i="186" s="1"/>
  <c r="O186" i="186"/>
  <c r="Z186" i="186" s="1"/>
  <c r="L186" i="186"/>
  <c r="AD185" i="186"/>
  <c r="AB185" i="186"/>
  <c r="U185" i="186" s="1"/>
  <c r="O185" i="186" s="1"/>
  <c r="T185" i="186" s="1"/>
  <c r="L185" i="186"/>
  <c r="O184" i="186"/>
  <c r="L184" i="186"/>
  <c r="V183" i="186"/>
  <c r="U183" i="186"/>
  <c r="L183" i="186"/>
  <c r="U182" i="186"/>
  <c r="AC182" i="186" s="1"/>
  <c r="T182" i="186"/>
  <c r="O182" i="186"/>
  <c r="Z182" i="186" s="1"/>
  <c r="L182" i="186"/>
  <c r="AB181" i="186"/>
  <c r="AD181" i="186" s="1"/>
  <c r="L181" i="186"/>
  <c r="O180" i="186"/>
  <c r="L180" i="186"/>
  <c r="V179" i="186"/>
  <c r="U179" i="186"/>
  <c r="L179" i="186"/>
  <c r="O178" i="186"/>
  <c r="Z178" i="186" s="1"/>
  <c r="L178" i="186"/>
  <c r="AB177" i="186"/>
  <c r="U177" i="186" s="1"/>
  <c r="O177" i="186" s="1"/>
  <c r="L177" i="186"/>
  <c r="O176" i="186"/>
  <c r="L176" i="186"/>
  <c r="V175" i="186"/>
  <c r="U175" i="186"/>
  <c r="L175" i="186"/>
  <c r="AB174" i="186"/>
  <c r="B174" i="186"/>
  <c r="U173" i="186"/>
  <c r="O173" i="186" s="1"/>
  <c r="L173" i="186"/>
  <c r="U172" i="186"/>
  <c r="O172" i="186" s="1"/>
  <c r="L172" i="186"/>
  <c r="B172" i="186"/>
  <c r="B173" i="186" s="1"/>
  <c r="L171" i="186"/>
  <c r="O170" i="186"/>
  <c r="T170" i="186" s="1"/>
  <c r="L170" i="186"/>
  <c r="AB169" i="186"/>
  <c r="AB171" i="186" s="1"/>
  <c r="U171" i="186" s="1"/>
  <c r="O171" i="186" s="1"/>
  <c r="R171" i="186" s="1"/>
  <c r="L169" i="186"/>
  <c r="O168" i="186"/>
  <c r="L168" i="186"/>
  <c r="V167" i="186"/>
  <c r="U167" i="186"/>
  <c r="O167" i="186" s="1"/>
  <c r="L167" i="186"/>
  <c r="B166" i="186"/>
  <c r="U165" i="186"/>
  <c r="O165" i="186" s="1"/>
  <c r="L165" i="186"/>
  <c r="U164" i="186"/>
  <c r="O164" i="186" s="1"/>
  <c r="L164" i="186"/>
  <c r="B164" i="186"/>
  <c r="B165" i="186" s="1"/>
  <c r="L163" i="186"/>
  <c r="O162" i="186"/>
  <c r="L162" i="186"/>
  <c r="AB161" i="186"/>
  <c r="U161" i="186" s="1"/>
  <c r="O161" i="186" s="1"/>
  <c r="R161" i="186" s="1"/>
  <c r="Y161" i="186"/>
  <c r="Z161" i="186" s="1"/>
  <c r="T161" i="186"/>
  <c r="L161" i="186"/>
  <c r="O160" i="186"/>
  <c r="L160" i="186"/>
  <c r="V159" i="186"/>
  <c r="U159" i="186"/>
  <c r="O159" i="186" s="1"/>
  <c r="L159" i="186"/>
  <c r="B158" i="186"/>
  <c r="U157" i="186"/>
  <c r="O157" i="186" s="1"/>
  <c r="Y157" i="186" s="1"/>
  <c r="L157" i="186"/>
  <c r="U156" i="186"/>
  <c r="O156" i="186" s="1"/>
  <c r="Y156" i="186" s="1"/>
  <c r="Z156" i="186" s="1"/>
  <c r="R156" i="186"/>
  <c r="L156" i="186"/>
  <c r="B156" i="186"/>
  <c r="B157" i="186" s="1"/>
  <c r="L155" i="186"/>
  <c r="O154" i="186"/>
  <c r="Z154" i="186" s="1"/>
  <c r="L154" i="186"/>
  <c r="AB153" i="186"/>
  <c r="AB155" i="186" s="1"/>
  <c r="AB158" i="186" s="1"/>
  <c r="L153" i="186"/>
  <c r="U152" i="186"/>
  <c r="AC152" i="186" s="1"/>
  <c r="T152" i="186"/>
  <c r="O152" i="186"/>
  <c r="Z152" i="186" s="1"/>
  <c r="L152" i="186"/>
  <c r="V151" i="186"/>
  <c r="U151" i="186"/>
  <c r="O151" i="186" s="1"/>
  <c r="T151" i="186" s="1"/>
  <c r="L151" i="186"/>
  <c r="AB150" i="186"/>
  <c r="B150" i="186"/>
  <c r="U149" i="186"/>
  <c r="O149" i="186" s="1"/>
  <c r="L149" i="186"/>
  <c r="U148" i="186"/>
  <c r="O148" i="186"/>
  <c r="R148" i="186" s="1"/>
  <c r="L148" i="186"/>
  <c r="B148" i="186"/>
  <c r="B149" i="186" s="1"/>
  <c r="L147" i="186"/>
  <c r="Z146" i="186"/>
  <c r="U146" i="186"/>
  <c r="AC146" i="186" s="1"/>
  <c r="R146" i="186"/>
  <c r="AA146" i="186" s="1"/>
  <c r="O146" i="186"/>
  <c r="T146" i="186" s="1"/>
  <c r="L146" i="186"/>
  <c r="AB145" i="186"/>
  <c r="AB147" i="186" s="1"/>
  <c r="U147" i="186" s="1"/>
  <c r="O147" i="186" s="1"/>
  <c r="Y147" i="186" s="1"/>
  <c r="Z147" i="186" s="1"/>
  <c r="L145" i="186"/>
  <c r="O144" i="186"/>
  <c r="L144" i="186"/>
  <c r="V143" i="186"/>
  <c r="U143" i="186"/>
  <c r="L143" i="186"/>
  <c r="B142" i="186"/>
  <c r="U141" i="186"/>
  <c r="O141" i="186" s="1"/>
  <c r="L141" i="186"/>
  <c r="U140" i="186"/>
  <c r="O140" i="186" s="1"/>
  <c r="L140" i="186"/>
  <c r="B140" i="186"/>
  <c r="B141" i="186" s="1"/>
  <c r="L139" i="186"/>
  <c r="U138" i="186"/>
  <c r="T138" i="186"/>
  <c r="R138" i="186"/>
  <c r="AA138" i="186" s="1"/>
  <c r="O138" i="186"/>
  <c r="Z138" i="186" s="1"/>
  <c r="L138" i="186"/>
  <c r="AB137" i="186"/>
  <c r="U137" i="186" s="1"/>
  <c r="O137" i="186" s="1"/>
  <c r="T137" i="186" s="1"/>
  <c r="L137" i="186"/>
  <c r="O136" i="186"/>
  <c r="L136" i="186"/>
  <c r="V135" i="186"/>
  <c r="O135" i="186" s="1"/>
  <c r="T135" i="186" s="1"/>
  <c r="U135" i="186"/>
  <c r="L135" i="186"/>
  <c r="AB134" i="186"/>
  <c r="B134" i="186"/>
  <c r="U133" i="186"/>
  <c r="O133" i="186" s="1"/>
  <c r="L133" i="186"/>
  <c r="U132" i="186"/>
  <c r="O132" i="186" s="1"/>
  <c r="L132" i="186"/>
  <c r="B132" i="186"/>
  <c r="B133" i="186" s="1"/>
  <c r="L131" i="186"/>
  <c r="U130" i="186"/>
  <c r="O130" i="186"/>
  <c r="L130" i="186"/>
  <c r="AB129" i="186"/>
  <c r="AB131" i="186" s="1"/>
  <c r="U131" i="186" s="1"/>
  <c r="O131" i="186" s="1"/>
  <c r="U129" i="186"/>
  <c r="O129" i="186" s="1"/>
  <c r="L129" i="186"/>
  <c r="Y128" i="186"/>
  <c r="O128" i="186"/>
  <c r="U128" i="186" s="1"/>
  <c r="AC128" i="186" s="1"/>
  <c r="L128" i="186"/>
  <c r="V127" i="186"/>
  <c r="U127" i="186"/>
  <c r="L127" i="186"/>
  <c r="B126" i="186"/>
  <c r="U125" i="186"/>
  <c r="O125" i="186" s="1"/>
  <c r="L125" i="186"/>
  <c r="U124" i="186"/>
  <c r="O124" i="186" s="1"/>
  <c r="R124" i="186" s="1"/>
  <c r="L124" i="186"/>
  <c r="B124" i="186"/>
  <c r="B125" i="186" s="1"/>
  <c r="L123" i="186"/>
  <c r="Z122" i="186"/>
  <c r="V122" i="186"/>
  <c r="U122" i="186" s="1"/>
  <c r="AC122" i="186" s="1"/>
  <c r="R122" i="186"/>
  <c r="AA122" i="186" s="1"/>
  <c r="O122" i="186"/>
  <c r="T122" i="186" s="1"/>
  <c r="L122" i="186"/>
  <c r="AB121" i="186"/>
  <c r="U121" i="186" s="1"/>
  <c r="O121" i="186" s="1"/>
  <c r="L121" i="186"/>
  <c r="AC120" i="186"/>
  <c r="Z120" i="186"/>
  <c r="Y120" i="186"/>
  <c r="O120" i="186" s="1"/>
  <c r="U120" i="186" s="1"/>
  <c r="T120" i="186"/>
  <c r="L120" i="186"/>
  <c r="V119" i="186"/>
  <c r="O119" i="186" s="1"/>
  <c r="U119" i="186"/>
  <c r="L119" i="186"/>
  <c r="B118" i="186"/>
  <c r="O117" i="186"/>
  <c r="L117" i="186"/>
  <c r="U116" i="186"/>
  <c r="O116" i="186" s="1"/>
  <c r="L116" i="186"/>
  <c r="U115" i="186"/>
  <c r="O115" i="186" s="1"/>
  <c r="R115" i="186" s="1"/>
  <c r="Y115" i="186" s="1"/>
  <c r="L115" i="186"/>
  <c r="V114" i="186"/>
  <c r="U114" i="186"/>
  <c r="O114" i="186"/>
  <c r="Y114" i="186" s="1"/>
  <c r="Z114" i="186" s="1"/>
  <c r="L114" i="186"/>
  <c r="U113" i="186"/>
  <c r="O113" i="186" s="1"/>
  <c r="L113" i="186"/>
  <c r="U112" i="186"/>
  <c r="O112" i="186" s="1"/>
  <c r="L112" i="186"/>
  <c r="B112" i="186"/>
  <c r="B113" i="186" s="1"/>
  <c r="B114" i="186" s="1"/>
  <c r="B115" i="186" s="1"/>
  <c r="L111" i="186"/>
  <c r="V110" i="186"/>
  <c r="U110" i="186"/>
  <c r="AC110" i="186" s="1"/>
  <c r="R110" i="186"/>
  <c r="AA110" i="186" s="1"/>
  <c r="O110" i="186"/>
  <c r="T110" i="186" s="1"/>
  <c r="L110" i="186"/>
  <c r="AB109" i="186"/>
  <c r="U109" i="186" s="1"/>
  <c r="O109" i="186" s="1"/>
  <c r="L109" i="186"/>
  <c r="Y108" i="186"/>
  <c r="L108" i="186"/>
  <c r="V107" i="186"/>
  <c r="U107" i="186"/>
  <c r="O107" i="186" s="1"/>
  <c r="L107" i="186"/>
  <c r="B106" i="186"/>
  <c r="O105" i="186"/>
  <c r="L105" i="186"/>
  <c r="AA104" i="186"/>
  <c r="Y104" i="186"/>
  <c r="Z104" i="186" s="1"/>
  <c r="U104" i="186"/>
  <c r="O104" i="186" s="1"/>
  <c r="R104" i="186" s="1"/>
  <c r="L104" i="186"/>
  <c r="U103" i="186"/>
  <c r="O103" i="186" s="1"/>
  <c r="R103" i="186"/>
  <c r="Y103" i="186" s="1"/>
  <c r="AA103" i="186" s="1"/>
  <c r="L103" i="186"/>
  <c r="B103" i="186"/>
  <c r="U102" i="186"/>
  <c r="O102" i="186" s="1"/>
  <c r="L102" i="186"/>
  <c r="U101" i="186"/>
  <c r="O101" i="186" s="1"/>
  <c r="L101" i="186"/>
  <c r="U100" i="186"/>
  <c r="O100" i="186" s="1"/>
  <c r="R100" i="186" s="1"/>
  <c r="L100" i="186"/>
  <c r="B100" i="186"/>
  <c r="B101" i="186" s="1"/>
  <c r="B102" i="186" s="1"/>
  <c r="AB99" i="186"/>
  <c r="U99" i="186" s="1"/>
  <c r="O99" i="186" s="1"/>
  <c r="L99" i="186"/>
  <c r="V98" i="186"/>
  <c r="R98" i="186"/>
  <c r="AA98" i="186" s="1"/>
  <c r="O98" i="186"/>
  <c r="L98" i="186"/>
  <c r="AB97" i="186"/>
  <c r="U97" i="186" s="1"/>
  <c r="O97" i="186" s="1"/>
  <c r="L97" i="186"/>
  <c r="Z96" i="186"/>
  <c r="Y96" i="186"/>
  <c r="T96" i="186"/>
  <c r="O96" i="186"/>
  <c r="U96" i="186" s="1"/>
  <c r="AC96" i="186" s="1"/>
  <c r="L96" i="186"/>
  <c r="V95" i="186"/>
  <c r="U95" i="186"/>
  <c r="O95" i="186"/>
  <c r="L95" i="186"/>
  <c r="B94" i="186"/>
  <c r="O93" i="186"/>
  <c r="L93" i="186"/>
  <c r="U92" i="186"/>
  <c r="O92" i="186" s="1"/>
  <c r="Y92" i="186" s="1"/>
  <c r="L92" i="186"/>
  <c r="U91" i="186"/>
  <c r="O91" i="186" s="1"/>
  <c r="R91" i="186"/>
  <c r="Y91" i="186" s="1"/>
  <c r="L91" i="186"/>
  <c r="U90" i="186"/>
  <c r="O90" i="186" s="1"/>
  <c r="L90" i="186"/>
  <c r="Z89" i="186"/>
  <c r="U89" i="186"/>
  <c r="O89" i="186" s="1"/>
  <c r="Y89" i="186" s="1"/>
  <c r="L89" i="186"/>
  <c r="Z88" i="186"/>
  <c r="U88" i="186"/>
  <c r="O88" i="186" s="1"/>
  <c r="Y88" i="186" s="1"/>
  <c r="R88" i="186"/>
  <c r="L88" i="186"/>
  <c r="B88" i="186"/>
  <c r="B89" i="186" s="1"/>
  <c r="B90" i="186" s="1"/>
  <c r="L87" i="186"/>
  <c r="V86" i="186"/>
  <c r="O86" i="186"/>
  <c r="L86" i="186"/>
  <c r="AB85" i="186"/>
  <c r="U85" i="186" s="1"/>
  <c r="O85" i="186" s="1"/>
  <c r="L85" i="186"/>
  <c r="Y84" i="186"/>
  <c r="O84" i="186"/>
  <c r="L84" i="186"/>
  <c r="V83" i="186"/>
  <c r="U83" i="186"/>
  <c r="O83" i="186" s="1"/>
  <c r="L83" i="186"/>
  <c r="B82" i="186"/>
  <c r="U81" i="186"/>
  <c r="AC81" i="186" s="1"/>
  <c r="R81" i="186"/>
  <c r="O81" i="186"/>
  <c r="Y81" i="186" s="1"/>
  <c r="L81" i="186"/>
  <c r="U80" i="186"/>
  <c r="O80" i="186" s="1"/>
  <c r="L80" i="186"/>
  <c r="U79" i="186"/>
  <c r="O79" i="186"/>
  <c r="R79" i="186" s="1"/>
  <c r="Y79" i="186" s="1"/>
  <c r="L79" i="186"/>
  <c r="U78" i="186"/>
  <c r="O78" i="186" s="1"/>
  <c r="R78" i="186" s="1"/>
  <c r="L78" i="186"/>
  <c r="U77" i="186"/>
  <c r="O77" i="186" s="1"/>
  <c r="L77" i="186"/>
  <c r="U76" i="186"/>
  <c r="O76" i="186" s="1"/>
  <c r="L76" i="186"/>
  <c r="B76" i="186"/>
  <c r="B77" i="186" s="1"/>
  <c r="B78" i="186" s="1"/>
  <c r="B79" i="186" s="1"/>
  <c r="AB75" i="186"/>
  <c r="AB82" i="186" s="1"/>
  <c r="L75" i="186"/>
  <c r="V74" i="186"/>
  <c r="U74" i="186" s="1"/>
  <c r="T74" i="186"/>
  <c r="O74" i="186"/>
  <c r="R74" i="186" s="1"/>
  <c r="AA74" i="186" s="1"/>
  <c r="L74" i="186"/>
  <c r="AB73" i="186"/>
  <c r="U73" i="186"/>
  <c r="O73" i="186" s="1"/>
  <c r="L73" i="186"/>
  <c r="Y72" i="186"/>
  <c r="O72" i="186" s="1"/>
  <c r="T72" i="186" s="1"/>
  <c r="L72" i="186"/>
  <c r="V71" i="186"/>
  <c r="U71" i="186"/>
  <c r="O71" i="186" s="1"/>
  <c r="L71" i="186"/>
  <c r="B70" i="186"/>
  <c r="Y69" i="186"/>
  <c r="Z69" i="186" s="1"/>
  <c r="U69" i="186"/>
  <c r="AC69" i="186" s="1"/>
  <c r="O69" i="186"/>
  <c r="R69" i="186" s="1"/>
  <c r="L69" i="186"/>
  <c r="U68" i="186"/>
  <c r="O68" i="186" s="1"/>
  <c r="Y68" i="186" s="1"/>
  <c r="R68" i="186"/>
  <c r="L68" i="186"/>
  <c r="U67" i="186"/>
  <c r="O67" i="186" s="1"/>
  <c r="R67" i="186" s="1"/>
  <c r="Y67" i="186" s="1"/>
  <c r="Z67" i="186" s="1"/>
  <c r="L67" i="186"/>
  <c r="U66" i="186"/>
  <c r="O66" i="186" s="1"/>
  <c r="V66" i="186" s="1"/>
  <c r="R66" i="186"/>
  <c r="L66" i="186"/>
  <c r="Z65" i="186"/>
  <c r="U65" i="186"/>
  <c r="O65" i="186" s="1"/>
  <c r="Y65" i="186" s="1"/>
  <c r="L65" i="186"/>
  <c r="U64" i="186"/>
  <c r="O64" i="186" s="1"/>
  <c r="Y64" i="186" s="1"/>
  <c r="Z64" i="186" s="1"/>
  <c r="L64" i="186"/>
  <c r="B64" i="186"/>
  <c r="B65" i="186" s="1"/>
  <c r="B66" i="186" s="1"/>
  <c r="B67" i="186" s="1"/>
  <c r="AB63" i="186"/>
  <c r="U63" i="186" s="1"/>
  <c r="O63" i="186" s="1"/>
  <c r="L63" i="186"/>
  <c r="V62" i="186"/>
  <c r="O62" i="186"/>
  <c r="U62" i="186" s="1"/>
  <c r="L62" i="186"/>
  <c r="AB61" i="186"/>
  <c r="L61" i="186"/>
  <c r="Y60" i="186"/>
  <c r="O60" i="186" s="1"/>
  <c r="L60" i="186"/>
  <c r="V59" i="186"/>
  <c r="U59" i="186"/>
  <c r="O59" i="186" s="1"/>
  <c r="L59" i="186"/>
  <c r="B58" i="186"/>
  <c r="AC57" i="186"/>
  <c r="Y57" i="186"/>
  <c r="U57" i="186"/>
  <c r="R57" i="186"/>
  <c r="O57" i="186"/>
  <c r="L57" i="186"/>
  <c r="U56" i="186"/>
  <c r="O56" i="186" s="1"/>
  <c r="L56" i="186"/>
  <c r="U55" i="186"/>
  <c r="O55" i="186" s="1"/>
  <c r="R55" i="186" s="1"/>
  <c r="Y55" i="186" s="1"/>
  <c r="L55" i="186"/>
  <c r="U54" i="186"/>
  <c r="O54" i="186" s="1"/>
  <c r="V54" i="186" s="1"/>
  <c r="L54" i="186"/>
  <c r="U53" i="186"/>
  <c r="O53" i="186" s="1"/>
  <c r="R53" i="186" s="1"/>
  <c r="L53" i="186"/>
  <c r="U52" i="186"/>
  <c r="O52" i="186" s="1"/>
  <c r="L52" i="186"/>
  <c r="L51" i="186"/>
  <c r="V50" i="186"/>
  <c r="O50" i="186"/>
  <c r="L50" i="186"/>
  <c r="AB49" i="186"/>
  <c r="U49" i="186" s="1"/>
  <c r="O49" i="186" s="1"/>
  <c r="L49" i="186"/>
  <c r="Y48" i="186"/>
  <c r="O48" i="186" s="1"/>
  <c r="L48" i="186"/>
  <c r="V47" i="186"/>
  <c r="U47" i="186"/>
  <c r="O47" i="186" s="1"/>
  <c r="L47" i="186"/>
  <c r="AB46" i="186"/>
  <c r="B46" i="186"/>
  <c r="AB45" i="186"/>
  <c r="Z45" i="186"/>
  <c r="U45" i="186"/>
  <c r="AC45" i="186" s="1"/>
  <c r="R45" i="186"/>
  <c r="AA45" i="186" s="1"/>
  <c r="O45" i="186"/>
  <c r="L45" i="186"/>
  <c r="U44" i="186"/>
  <c r="O44" i="186" s="1"/>
  <c r="Y44" i="186" s="1"/>
  <c r="Z44" i="186" s="1"/>
  <c r="L44" i="186"/>
  <c r="U43" i="186"/>
  <c r="O43" i="186" s="1"/>
  <c r="L43" i="186"/>
  <c r="AB42" i="186"/>
  <c r="U42" i="186" s="1"/>
  <c r="O42" i="186" s="1"/>
  <c r="Y42" i="186" s="1"/>
  <c r="L42" i="186"/>
  <c r="V41" i="186"/>
  <c r="O41" i="186"/>
  <c r="U41" i="186" s="1"/>
  <c r="L41" i="186"/>
  <c r="T40" i="186"/>
  <c r="R40" i="186"/>
  <c r="O40" i="186"/>
  <c r="L40" i="186"/>
  <c r="B39" i="186"/>
  <c r="U38" i="186"/>
  <c r="AC38" i="186" s="1"/>
  <c r="R38" i="186"/>
  <c r="O38" i="186"/>
  <c r="Y38" i="186" s="1"/>
  <c r="L38" i="186"/>
  <c r="U37" i="186"/>
  <c r="O37" i="186"/>
  <c r="Y37" i="186" s="1"/>
  <c r="L37" i="186"/>
  <c r="U36" i="186"/>
  <c r="O36" i="186" s="1"/>
  <c r="R36" i="186" s="1"/>
  <c r="Y36" i="186" s="1"/>
  <c r="AA36" i="186" s="1"/>
  <c r="L36" i="186"/>
  <c r="U35" i="186"/>
  <c r="O35" i="186" s="1"/>
  <c r="L35" i="186"/>
  <c r="U34" i="186"/>
  <c r="O34" i="186" s="1"/>
  <c r="Y34" i="186" s="1"/>
  <c r="L34" i="186"/>
  <c r="U33" i="186"/>
  <c r="O33" i="186" s="1"/>
  <c r="L33" i="186"/>
  <c r="L32" i="186"/>
  <c r="V31" i="186"/>
  <c r="T31" i="186"/>
  <c r="R31" i="186"/>
  <c r="AA31" i="186" s="1"/>
  <c r="O31" i="186"/>
  <c r="Z31" i="186" s="1"/>
  <c r="L31" i="186"/>
  <c r="AB30" i="186"/>
  <c r="L30" i="186"/>
  <c r="Y29" i="186"/>
  <c r="O29" i="186" s="1"/>
  <c r="L29" i="186"/>
  <c r="V28" i="186"/>
  <c r="U28" i="186"/>
  <c r="L28" i="186"/>
  <c r="B27" i="186"/>
  <c r="AB26" i="186"/>
  <c r="U26" i="186" s="1"/>
  <c r="O26" i="186" s="1"/>
  <c r="L26" i="186"/>
  <c r="AB25" i="186"/>
  <c r="U25" i="186" s="1"/>
  <c r="O25" i="186" s="1"/>
  <c r="L25" i="186"/>
  <c r="AB24" i="186"/>
  <c r="U24" i="186" s="1"/>
  <c r="O24" i="186" s="1"/>
  <c r="L24" i="186"/>
  <c r="L23" i="186"/>
  <c r="AB22" i="186"/>
  <c r="AB23" i="186" s="1"/>
  <c r="U23" i="186" s="1"/>
  <c r="O23" i="186" s="1"/>
  <c r="V22" i="186"/>
  <c r="O22" i="186"/>
  <c r="L22" i="186"/>
  <c r="AB21" i="186"/>
  <c r="O21" i="186"/>
  <c r="Z21" i="186" s="1"/>
  <c r="L21" i="186"/>
  <c r="B20" i="186"/>
  <c r="O19" i="186"/>
  <c r="U19" i="186" s="1"/>
  <c r="AC19" i="186" s="1"/>
  <c r="L19" i="186"/>
  <c r="U18" i="186"/>
  <c r="O18" i="186" s="1"/>
  <c r="L18" i="186"/>
  <c r="AB17" i="186"/>
  <c r="U17" i="186"/>
  <c r="O17" i="186" s="1"/>
  <c r="R17" i="186" s="1"/>
  <c r="Y17" i="186" s="1"/>
  <c r="AA17" i="186" s="1"/>
  <c r="L17" i="186"/>
  <c r="U16" i="186"/>
  <c r="O16" i="186" s="1"/>
  <c r="Y16" i="186" s="1"/>
  <c r="L16" i="186"/>
  <c r="Y15" i="186"/>
  <c r="U15" i="186"/>
  <c r="O15" i="186"/>
  <c r="R15" i="186" s="1"/>
  <c r="L15" i="186"/>
  <c r="U14" i="186"/>
  <c r="O14" i="186" s="1"/>
  <c r="L14" i="186"/>
  <c r="AB13" i="186"/>
  <c r="AB20" i="186" s="1"/>
  <c r="L13" i="186"/>
  <c r="AB12" i="186"/>
  <c r="Z12" i="186"/>
  <c r="V12" i="186"/>
  <c r="T12" i="186"/>
  <c r="O12" i="186"/>
  <c r="R12" i="186" s="1"/>
  <c r="AA12" i="186" s="1"/>
  <c r="L12" i="186"/>
  <c r="AB11" i="186"/>
  <c r="U11" i="186" s="1"/>
  <c r="O11" i="186" s="1"/>
  <c r="L11" i="186"/>
  <c r="Z10" i="186"/>
  <c r="Y10" i="186"/>
  <c r="U10" i="186"/>
  <c r="AC10" i="186" s="1"/>
  <c r="O10" i="186"/>
  <c r="T10" i="186" s="1"/>
  <c r="L10" i="186"/>
  <c r="AC9" i="186"/>
  <c r="U9" i="186"/>
  <c r="O9" i="186" s="1"/>
  <c r="L9" i="186"/>
  <c r="Z7" i="186"/>
  <c r="Y7" i="186"/>
  <c r="O7" i="186"/>
  <c r="U7" i="186" s="1"/>
  <c r="L7" i="186"/>
  <c r="Y6" i="186"/>
  <c r="Z6" i="186" s="1"/>
  <c r="U6" i="186"/>
  <c r="T6" i="186"/>
  <c r="L6" i="186"/>
  <c r="O5" i="186"/>
  <c r="Y5" i="186" s="1"/>
  <c r="Z5" i="186" s="1"/>
  <c r="L5" i="186"/>
  <c r="O4" i="186"/>
  <c r="Y4" i="186" s="1"/>
  <c r="Z4" i="186" s="1"/>
  <c r="L4" i="186"/>
  <c r="Y3" i="186"/>
  <c r="O3" i="186"/>
  <c r="L3" i="186"/>
  <c r="V123" i="174"/>
  <c r="V111" i="174"/>
  <c r="V99" i="174"/>
  <c r="V87" i="174"/>
  <c r="V75" i="174"/>
  <c r="O191" i="174"/>
  <c r="U191" i="174" s="1"/>
  <c r="AC191" i="174" s="1"/>
  <c r="O187" i="174"/>
  <c r="U187" i="174" s="1"/>
  <c r="AC187" i="174" s="1"/>
  <c r="O183" i="174"/>
  <c r="U183" i="174" s="1"/>
  <c r="AC183" i="174" s="1"/>
  <c r="O179" i="174"/>
  <c r="U179" i="174" s="1"/>
  <c r="AC179" i="174" s="1"/>
  <c r="O171" i="174"/>
  <c r="U171" i="174" s="1"/>
  <c r="AC171" i="174" s="1"/>
  <c r="O163" i="174"/>
  <c r="U163" i="174" s="1"/>
  <c r="AC163" i="174" s="1"/>
  <c r="O155" i="174"/>
  <c r="U155" i="174" s="1"/>
  <c r="AC155" i="174" s="1"/>
  <c r="O147" i="174"/>
  <c r="U147" i="174" s="1"/>
  <c r="AC147" i="174" s="1"/>
  <c r="O139" i="174"/>
  <c r="U139" i="174" s="1"/>
  <c r="AC139" i="174" s="1"/>
  <c r="O131" i="174"/>
  <c r="U131" i="174" s="1"/>
  <c r="AC131" i="174" s="1"/>
  <c r="O123" i="174"/>
  <c r="O111" i="174"/>
  <c r="O99" i="174"/>
  <c r="O87" i="174"/>
  <c r="O75" i="174"/>
  <c r="V63" i="174"/>
  <c r="O63" i="174"/>
  <c r="V51" i="174"/>
  <c r="O51" i="174"/>
  <c r="V42" i="174"/>
  <c r="O42" i="174"/>
  <c r="V31" i="174"/>
  <c r="O31" i="174"/>
  <c r="V22" i="174"/>
  <c r="O22" i="174"/>
  <c r="V11" i="174"/>
  <c r="O11" i="174"/>
  <c r="Y29" i="174"/>
  <c r="Y109" i="174"/>
  <c r="Y97" i="174"/>
  <c r="Y85" i="174"/>
  <c r="Y61" i="174"/>
  <c r="Y49" i="174"/>
  <c r="Y73" i="174"/>
  <c r="O189" i="174"/>
  <c r="U189" i="174" s="1"/>
  <c r="AC189" i="174" s="1"/>
  <c r="O185" i="174"/>
  <c r="U185" i="174" s="1"/>
  <c r="AC185" i="174" s="1"/>
  <c r="O181" i="174"/>
  <c r="U181" i="174" s="1"/>
  <c r="AC181" i="174" s="1"/>
  <c r="O177" i="174"/>
  <c r="U177" i="174" s="1"/>
  <c r="AC177" i="174" s="1"/>
  <c r="O169" i="174"/>
  <c r="U169" i="174" s="1"/>
  <c r="AC169" i="174" s="1"/>
  <c r="O161" i="174"/>
  <c r="U161" i="174" s="1"/>
  <c r="AC161" i="174" s="1"/>
  <c r="O153" i="174"/>
  <c r="U153" i="174" s="1"/>
  <c r="AC153" i="174" s="1"/>
  <c r="O145" i="174"/>
  <c r="U145" i="174" s="1"/>
  <c r="AC145" i="174" s="1"/>
  <c r="O137" i="174"/>
  <c r="U137" i="174" s="1"/>
  <c r="AC137" i="174" s="1"/>
  <c r="Y129" i="174"/>
  <c r="Y121" i="174"/>
  <c r="Y9" i="174"/>
  <c r="U41" i="174" l="1"/>
  <c r="AC41" i="174" s="1"/>
  <c r="R41" i="174"/>
  <c r="AA41" i="174" s="1"/>
  <c r="T41" i="174"/>
  <c r="R21" i="174"/>
  <c r="AA21" i="174" s="1"/>
  <c r="T21" i="174"/>
  <c r="U21" i="174"/>
  <c r="AC21" i="174" s="1"/>
  <c r="U11" i="174"/>
  <c r="AN197" i="186"/>
  <c r="AP3" i="186"/>
  <c r="AP197" i="186" s="1"/>
  <c r="AO3" i="186"/>
  <c r="AO197" i="186" s="1"/>
  <c r="R99" i="186"/>
  <c r="Y99" i="186"/>
  <c r="AA99" i="186" s="1"/>
  <c r="T167" i="186"/>
  <c r="Y167" i="186"/>
  <c r="Z167" i="186" s="1"/>
  <c r="R112" i="186"/>
  <c r="Y112" i="186"/>
  <c r="AA112" i="186" s="1"/>
  <c r="Z42" i="186"/>
  <c r="Y46" i="186"/>
  <c r="Y109" i="186"/>
  <c r="T109" i="186"/>
  <c r="R109" i="186"/>
  <c r="T107" i="186"/>
  <c r="Y107" i="186"/>
  <c r="Z107" i="186" s="1"/>
  <c r="R113" i="186"/>
  <c r="Y113" i="186"/>
  <c r="Z113" i="186" s="1"/>
  <c r="Y116" i="186"/>
  <c r="R116" i="186"/>
  <c r="Y43" i="186"/>
  <c r="Z43" i="186" s="1"/>
  <c r="R43" i="186"/>
  <c r="AA43" i="186" s="1"/>
  <c r="Y129" i="186"/>
  <c r="Z129" i="186" s="1"/>
  <c r="T129" i="186"/>
  <c r="R129" i="186"/>
  <c r="T85" i="186"/>
  <c r="Y85" i="186"/>
  <c r="T9" i="186"/>
  <c r="Y9" i="186"/>
  <c r="R131" i="186"/>
  <c r="Y131" i="186"/>
  <c r="Z131" i="186" s="1"/>
  <c r="R19" i="186"/>
  <c r="R21" i="186"/>
  <c r="R41" i="186"/>
  <c r="AA41" i="186" s="1"/>
  <c r="R64" i="186"/>
  <c r="Z72" i="186"/>
  <c r="AA88" i="186"/>
  <c r="U98" i="186"/>
  <c r="AC98" i="186" s="1"/>
  <c r="AB123" i="186"/>
  <c r="U123" i="186" s="1"/>
  <c r="O123" i="186" s="1"/>
  <c r="O127" i="186"/>
  <c r="Y127" i="186" s="1"/>
  <c r="U145" i="186"/>
  <c r="O145" i="186" s="1"/>
  <c r="R170" i="186"/>
  <c r="AA170" i="186" s="1"/>
  <c r="AD177" i="186"/>
  <c r="T186" i="186"/>
  <c r="U190" i="186"/>
  <c r="AC190" i="186" s="1"/>
  <c r="O8" i="186"/>
  <c r="T5" i="186"/>
  <c r="Y19" i="186"/>
  <c r="O28" i="186"/>
  <c r="T28" i="186" s="1"/>
  <c r="Z41" i="186"/>
  <c r="AA68" i="186"/>
  <c r="R154" i="186"/>
  <c r="AA154" i="186" s="1"/>
  <c r="U170" i="186"/>
  <c r="T21" i="186"/>
  <c r="AA64" i="186"/>
  <c r="T3" i="186"/>
  <c r="U5" i="186"/>
  <c r="U8" i="186" s="1"/>
  <c r="T7" i="186"/>
  <c r="U31" i="186"/>
  <c r="AC31" i="186" s="1"/>
  <c r="Z68" i="186"/>
  <c r="Z98" i="186"/>
  <c r="Z103" i="186"/>
  <c r="R114" i="186"/>
  <c r="AA114" i="186" s="1"/>
  <c r="T154" i="186"/>
  <c r="Z170" i="186"/>
  <c r="T178" i="186"/>
  <c r="O187" i="186"/>
  <c r="Y191" i="186"/>
  <c r="Z191" i="186" s="1"/>
  <c r="U3" i="186"/>
  <c r="AB51" i="186"/>
  <c r="U51" i="186" s="1"/>
  <c r="O51" i="186" s="1"/>
  <c r="AB87" i="186"/>
  <c r="AB94" i="186" s="1"/>
  <c r="Z110" i="186"/>
  <c r="Y148" i="186"/>
  <c r="AA148" i="186" s="1"/>
  <c r="U154" i="186"/>
  <c r="U178" i="186"/>
  <c r="AC178" i="186" s="1"/>
  <c r="U181" i="186"/>
  <c r="O181" i="186" s="1"/>
  <c r="O183" i="186"/>
  <c r="U13" i="186"/>
  <c r="O13" i="186" s="1"/>
  <c r="O20" i="186" s="1"/>
  <c r="R65" i="186"/>
  <c r="AA65" i="186" s="1"/>
  <c r="AA69" i="186"/>
  <c r="U153" i="186"/>
  <c r="O153" i="186" s="1"/>
  <c r="Y153" i="186" s="1"/>
  <c r="Z153" i="186" s="1"/>
  <c r="R157" i="186"/>
  <c r="AA157" i="186" s="1"/>
  <c r="Y171" i="186"/>
  <c r="U72" i="186"/>
  <c r="AC72" i="186" s="1"/>
  <c r="AB106" i="186"/>
  <c r="Y63" i="186"/>
  <c r="R63" i="186"/>
  <c r="Z15" i="186"/>
  <c r="AA15" i="186"/>
  <c r="AA55" i="186"/>
  <c r="Z55" i="186"/>
  <c r="Y77" i="186"/>
  <c r="R77" i="186"/>
  <c r="Y80" i="186"/>
  <c r="R80" i="186"/>
  <c r="R18" i="186"/>
  <c r="Y18" i="186"/>
  <c r="Y24" i="186"/>
  <c r="R24" i="186"/>
  <c r="Y33" i="186"/>
  <c r="R33" i="186"/>
  <c r="T49" i="186"/>
  <c r="Y49" i="186"/>
  <c r="R49" i="186"/>
  <c r="AC74" i="186"/>
  <c r="R16" i="186"/>
  <c r="V16" i="186"/>
  <c r="Z22" i="186"/>
  <c r="U22" i="186"/>
  <c r="R22" i="186"/>
  <c r="AA22" i="186" s="1"/>
  <c r="T22" i="186"/>
  <c r="T27" i="186" s="1"/>
  <c r="Y28" i="186"/>
  <c r="Y13" i="186"/>
  <c r="R13" i="186"/>
  <c r="Y14" i="186"/>
  <c r="R14" i="186"/>
  <c r="Y25" i="186"/>
  <c r="R25" i="186"/>
  <c r="Z37" i="186"/>
  <c r="AB27" i="186"/>
  <c r="U29" i="186"/>
  <c r="AC29" i="186" s="1"/>
  <c r="T29" i="186"/>
  <c r="AC62" i="186"/>
  <c r="T73" i="186"/>
  <c r="R73" i="186"/>
  <c r="Y73" i="186"/>
  <c r="Z9" i="186"/>
  <c r="T11" i="186"/>
  <c r="T20" i="186" s="1"/>
  <c r="R11" i="186"/>
  <c r="Y11" i="186"/>
  <c r="Y20" i="186" s="1"/>
  <c r="Y26" i="186"/>
  <c r="R26" i="186"/>
  <c r="R35" i="186"/>
  <c r="V35" i="186"/>
  <c r="Y35" i="186"/>
  <c r="AA79" i="186"/>
  <c r="Z79" i="186"/>
  <c r="Y23" i="186"/>
  <c r="R23" i="186"/>
  <c r="Z16" i="186"/>
  <c r="AA16" i="186"/>
  <c r="Z34" i="186"/>
  <c r="Y56" i="186"/>
  <c r="R56" i="186"/>
  <c r="B92" i="186"/>
  <c r="B91" i="186"/>
  <c r="Y8" i="186"/>
  <c r="Z8" i="186" s="1"/>
  <c r="Z3" i="186"/>
  <c r="Z17" i="186"/>
  <c r="AA21" i="186"/>
  <c r="AB39" i="186"/>
  <c r="AA38" i="186"/>
  <c r="Z38" i="186"/>
  <c r="AA40" i="186"/>
  <c r="Y51" i="186"/>
  <c r="R51" i="186"/>
  <c r="Y76" i="186"/>
  <c r="R76" i="186"/>
  <c r="R132" i="186"/>
  <c r="Y132" i="186"/>
  <c r="Y71" i="186"/>
  <c r="Z85" i="186"/>
  <c r="O108" i="186"/>
  <c r="Z108" i="186" s="1"/>
  <c r="Z115" i="186"/>
  <c r="AA115" i="186"/>
  <c r="Y159" i="186"/>
  <c r="T159" i="186"/>
  <c r="R164" i="186"/>
  <c r="Y164" i="186"/>
  <c r="Y172" i="186"/>
  <c r="R172" i="186"/>
  <c r="O193" i="186"/>
  <c r="Z193" i="186" s="1"/>
  <c r="Y195" i="186"/>
  <c r="U12" i="186"/>
  <c r="AC12" i="186" s="1"/>
  <c r="Z29" i="186"/>
  <c r="Z36" i="186"/>
  <c r="O46" i="186"/>
  <c r="Z46" i="186" s="1"/>
  <c r="Z40" i="186"/>
  <c r="U40" i="186"/>
  <c r="AC40" i="186" s="1"/>
  <c r="T41" i="186"/>
  <c r="T46" i="186" s="1"/>
  <c r="Y53" i="186"/>
  <c r="AB70" i="186"/>
  <c r="U61" i="186"/>
  <c r="O61" i="186" s="1"/>
  <c r="Y90" i="186"/>
  <c r="V90" i="186"/>
  <c r="R90" i="186"/>
  <c r="R92" i="186"/>
  <c r="O143" i="186"/>
  <c r="T153" i="186"/>
  <c r="R153" i="186"/>
  <c r="AA153" i="186" s="1"/>
  <c r="AC154" i="186"/>
  <c r="U48" i="186"/>
  <c r="AC48" i="186" s="1"/>
  <c r="T48" i="186"/>
  <c r="R125" i="186"/>
  <c r="Y125" i="186"/>
  <c r="AC170" i="186"/>
  <c r="U60" i="186"/>
  <c r="AC60" i="186" s="1"/>
  <c r="T60" i="186"/>
  <c r="Z86" i="186"/>
  <c r="T86" i="186"/>
  <c r="R86" i="186"/>
  <c r="AA86" i="186" s="1"/>
  <c r="AB192" i="186"/>
  <c r="T4" i="186"/>
  <c r="U21" i="186"/>
  <c r="AC21" i="186" s="1"/>
  <c r="O27" i="186"/>
  <c r="R37" i="186"/>
  <c r="AA37" i="186" s="1"/>
  <c r="R44" i="186"/>
  <c r="AA44" i="186" s="1"/>
  <c r="Y52" i="186"/>
  <c r="R52" i="186"/>
  <c r="R54" i="186"/>
  <c r="AB58" i="186"/>
  <c r="Z60" i="186"/>
  <c r="Y66" i="186"/>
  <c r="AA67" i="186"/>
  <c r="U75" i="186"/>
  <c r="O75" i="186" s="1"/>
  <c r="O82" i="186" s="1"/>
  <c r="Z84" i="186"/>
  <c r="U86" i="186"/>
  <c r="R89" i="186"/>
  <c r="AA89" i="186" s="1"/>
  <c r="R93" i="186"/>
  <c r="Y93" i="186"/>
  <c r="U93" i="186"/>
  <c r="AC93" i="186" s="1"/>
  <c r="Z109" i="186"/>
  <c r="AA109" i="186"/>
  <c r="T128" i="186"/>
  <c r="R165" i="186"/>
  <c r="Y165" i="186"/>
  <c r="Y173" i="186"/>
  <c r="R173" i="186"/>
  <c r="Z188" i="186"/>
  <c r="U188" i="186"/>
  <c r="T188" i="186"/>
  <c r="U196" i="186"/>
  <c r="Z196" i="186"/>
  <c r="Z50" i="186"/>
  <c r="T50" i="186"/>
  <c r="R50" i="186"/>
  <c r="AA50" i="186" s="1"/>
  <c r="Z48" i="186"/>
  <c r="AA191" i="186"/>
  <c r="U4" i="186"/>
  <c r="U30" i="186"/>
  <c r="R34" i="186"/>
  <c r="AA34" i="186" s="1"/>
  <c r="AA57" i="186"/>
  <c r="Z57" i="186"/>
  <c r="AA81" i="186"/>
  <c r="Z81" i="186"/>
  <c r="AC138" i="186"/>
  <c r="Y141" i="186"/>
  <c r="R141" i="186"/>
  <c r="Z176" i="186"/>
  <c r="U176" i="186"/>
  <c r="T176" i="186"/>
  <c r="AA92" i="186"/>
  <c r="Z92" i="186"/>
  <c r="Y140" i="186"/>
  <c r="R140" i="186"/>
  <c r="U50" i="186"/>
  <c r="AC50" i="186" s="1"/>
  <c r="Y78" i="186"/>
  <c r="V78" i="186"/>
  <c r="U84" i="186"/>
  <c r="AC84" i="186" s="1"/>
  <c r="T84" i="186"/>
  <c r="AB32" i="186"/>
  <c r="U32" i="186" s="1"/>
  <c r="O32" i="186" s="1"/>
  <c r="O58" i="186"/>
  <c r="Y47" i="186"/>
  <c r="T47" i="186"/>
  <c r="Y54" i="186"/>
  <c r="R101" i="186"/>
  <c r="Y101" i="186"/>
  <c r="T119" i="186"/>
  <c r="T126" i="186" s="1"/>
  <c r="O126" i="186"/>
  <c r="Y119" i="186"/>
  <c r="R137" i="186"/>
  <c r="Y137" i="186"/>
  <c r="Y145" i="186"/>
  <c r="R145" i="186"/>
  <c r="T95" i="186"/>
  <c r="Y95" i="186"/>
  <c r="O142" i="186"/>
  <c r="Y135" i="186"/>
  <c r="Y183" i="186"/>
  <c r="Z183" i="186" s="1"/>
  <c r="T183" i="186"/>
  <c r="Z62" i="186"/>
  <c r="T62" i="186"/>
  <c r="R62" i="186"/>
  <c r="AA62" i="186" s="1"/>
  <c r="AC41" i="186"/>
  <c r="U46" i="186"/>
  <c r="AC46" i="186" s="1"/>
  <c r="R42" i="186"/>
  <c r="AA42" i="186" s="1"/>
  <c r="Y59" i="186"/>
  <c r="T59" i="186"/>
  <c r="O70" i="186"/>
  <c r="T71" i="186"/>
  <c r="T82" i="186" s="1"/>
  <c r="Y83" i="186"/>
  <c r="T83" i="186"/>
  <c r="R85" i="186"/>
  <c r="Z91" i="186"/>
  <c r="AA91" i="186"/>
  <c r="Z99" i="186"/>
  <c r="O106" i="186"/>
  <c r="AC130" i="186"/>
  <c r="U134" i="186"/>
  <c r="AC134" i="186" s="1"/>
  <c r="T145" i="186"/>
  <c r="R149" i="186"/>
  <c r="Y149" i="186"/>
  <c r="AA156" i="186"/>
  <c r="AA161" i="186"/>
  <c r="Y185" i="186"/>
  <c r="R185" i="186"/>
  <c r="Z74" i="186"/>
  <c r="Y97" i="186"/>
  <c r="R97" i="186"/>
  <c r="R106" i="186" s="1"/>
  <c r="Q106" i="186" s="1"/>
  <c r="U105" i="186"/>
  <c r="AC105" i="186" s="1"/>
  <c r="R105" i="186"/>
  <c r="AA113" i="186"/>
  <c r="Y121" i="186"/>
  <c r="R121" i="186"/>
  <c r="Z128" i="186"/>
  <c r="U155" i="186"/>
  <c r="O155" i="186" s="1"/>
  <c r="O158" i="186" s="1"/>
  <c r="T160" i="186"/>
  <c r="Z160" i="186"/>
  <c r="Y177" i="186"/>
  <c r="R177" i="186"/>
  <c r="Z180" i="186"/>
  <c r="U180" i="186"/>
  <c r="T180" i="186"/>
  <c r="T97" i="186"/>
  <c r="Y105" i="186"/>
  <c r="AA116" i="186"/>
  <c r="Z116" i="186"/>
  <c r="T121" i="186"/>
  <c r="Y151" i="186"/>
  <c r="U160" i="186"/>
  <c r="AC160" i="186" s="1"/>
  <c r="O175" i="186"/>
  <c r="T177" i="186"/>
  <c r="Y189" i="186"/>
  <c r="R189" i="186"/>
  <c r="R133" i="186"/>
  <c r="Y133" i="186"/>
  <c r="U144" i="186"/>
  <c r="T144" i="186"/>
  <c r="T162" i="186"/>
  <c r="Z162" i="186"/>
  <c r="AA171" i="186"/>
  <c r="Z171" i="186"/>
  <c r="Y187" i="186"/>
  <c r="Z187" i="186" s="1"/>
  <c r="T187" i="186"/>
  <c r="O194" i="186"/>
  <c r="Y102" i="186"/>
  <c r="R102" i="186"/>
  <c r="R117" i="186"/>
  <c r="Y117" i="186"/>
  <c r="T130" i="186"/>
  <c r="Z130" i="186"/>
  <c r="Z136" i="186"/>
  <c r="T136" i="186"/>
  <c r="T142" i="186" s="1"/>
  <c r="Z144" i="186"/>
  <c r="R147" i="186"/>
  <c r="AA147" i="186" s="1"/>
  <c r="Z148" i="186"/>
  <c r="R162" i="186"/>
  <c r="AA162" i="186" s="1"/>
  <c r="Z168" i="186"/>
  <c r="T168" i="186"/>
  <c r="Y181" i="186"/>
  <c r="R181" i="186"/>
  <c r="Z184" i="186"/>
  <c r="U184" i="186"/>
  <c r="T184" i="186"/>
  <c r="Y100" i="186"/>
  <c r="V102" i="186"/>
  <c r="U117" i="186"/>
  <c r="AC117" i="186" s="1"/>
  <c r="Y124" i="186"/>
  <c r="R130" i="186"/>
  <c r="AA130" i="186" s="1"/>
  <c r="U136" i="186"/>
  <c r="AC136" i="186" s="1"/>
  <c r="AB139" i="186"/>
  <c r="U139" i="186" s="1"/>
  <c r="O139" i="186" s="1"/>
  <c r="AB142" i="186"/>
  <c r="Z157" i="186"/>
  <c r="U162" i="186"/>
  <c r="U168" i="186"/>
  <c r="AC168" i="186" s="1"/>
  <c r="O179" i="186"/>
  <c r="T181" i="186"/>
  <c r="U169" i="186"/>
  <c r="O169" i="186" s="1"/>
  <c r="T98" i="186"/>
  <c r="AB163" i="186"/>
  <c r="AB111" i="186"/>
  <c r="U111" i="186" s="1"/>
  <c r="O111" i="186" s="1"/>
  <c r="R178" i="186"/>
  <c r="AA178" i="186" s="1"/>
  <c r="R182" i="186"/>
  <c r="AA182" i="186" s="1"/>
  <c r="R186" i="186"/>
  <c r="AA186" i="186" s="1"/>
  <c r="R190" i="186"/>
  <c r="AA190" i="186" s="1"/>
  <c r="U51" i="174"/>
  <c r="AC51" i="174" s="1"/>
  <c r="U99" i="174"/>
  <c r="U87" i="174"/>
  <c r="AC87" i="174" s="1"/>
  <c r="U75" i="174"/>
  <c r="U123" i="174"/>
  <c r="AC123" i="174" s="1"/>
  <c r="U111" i="174"/>
  <c r="AC111" i="174" s="1"/>
  <c r="U63" i="174"/>
  <c r="AC63" i="174" s="1"/>
  <c r="U42" i="174"/>
  <c r="AC42" i="174" s="1"/>
  <c r="U31" i="174"/>
  <c r="AC31" i="174" s="1"/>
  <c r="U22" i="174"/>
  <c r="AC99" i="174" l="1"/>
  <c r="AC75" i="174"/>
  <c r="T127" i="186"/>
  <c r="U70" i="186"/>
  <c r="Z19" i="186"/>
  <c r="AA19" i="186"/>
  <c r="R123" i="186"/>
  <c r="R126" i="186" s="1"/>
  <c r="Q126" i="186" s="1"/>
  <c r="Y123" i="186"/>
  <c r="R134" i="186"/>
  <c r="Q134" i="186" s="1"/>
  <c r="T94" i="186"/>
  <c r="T8" i="186"/>
  <c r="U87" i="186"/>
  <c r="O87" i="186" s="1"/>
  <c r="O94" i="186" s="1"/>
  <c r="AB126" i="186"/>
  <c r="O134" i="186"/>
  <c r="T158" i="186"/>
  <c r="AA129" i="186"/>
  <c r="R46" i="186"/>
  <c r="Q46" i="186" s="1"/>
  <c r="Z112" i="186"/>
  <c r="AA131" i="186"/>
  <c r="V70" i="186"/>
  <c r="U126" i="186"/>
  <c r="U106" i="186"/>
  <c r="AC106" i="186" s="1"/>
  <c r="R27" i="186"/>
  <c r="Q27" i="186" s="1"/>
  <c r="Z140" i="186"/>
  <c r="AA140" i="186"/>
  <c r="R169" i="186"/>
  <c r="R174" i="186" s="1"/>
  <c r="Y169" i="186"/>
  <c r="T169" i="186"/>
  <c r="T174" i="186" s="1"/>
  <c r="Z151" i="186"/>
  <c r="AA97" i="186"/>
  <c r="Z97" i="186"/>
  <c r="R142" i="186"/>
  <c r="Q142" i="186" s="1"/>
  <c r="AE185" i="186"/>
  <c r="AC184" i="186"/>
  <c r="AA117" i="186"/>
  <c r="Z117" i="186"/>
  <c r="Z83" i="186"/>
  <c r="T106" i="186"/>
  <c r="Z119" i="186"/>
  <c r="Y126" i="186"/>
  <c r="AA54" i="186"/>
  <c r="Z54" i="186"/>
  <c r="U142" i="186"/>
  <c r="AC142" i="186" s="1"/>
  <c r="U39" i="186"/>
  <c r="AC39" i="186" s="1"/>
  <c r="O30" i="186"/>
  <c r="V134" i="186"/>
  <c r="AA132" i="186"/>
  <c r="Z132" i="186"/>
  <c r="R82" i="186"/>
  <c r="Q82" i="186" s="1"/>
  <c r="AA13" i="186"/>
  <c r="Z13" i="186"/>
  <c r="Y179" i="186"/>
  <c r="Z179" i="186" s="1"/>
  <c r="T179" i="186"/>
  <c r="R192" i="186"/>
  <c r="AA121" i="186"/>
  <c r="Z121" i="186"/>
  <c r="V126" i="186"/>
  <c r="T58" i="186"/>
  <c r="U58" i="186"/>
  <c r="AC58" i="186" s="1"/>
  <c r="AB118" i="186"/>
  <c r="U94" i="186"/>
  <c r="AC94" i="186" s="1"/>
  <c r="AC86" i="186"/>
  <c r="T166" i="186"/>
  <c r="AA26" i="186"/>
  <c r="Z26" i="186"/>
  <c r="Z33" i="186"/>
  <c r="AA33" i="186"/>
  <c r="Z77" i="186"/>
  <c r="AA77" i="186"/>
  <c r="Z100" i="186"/>
  <c r="AA100" i="186"/>
  <c r="R155" i="186"/>
  <c r="R158" i="186" s="1"/>
  <c r="Q158" i="186" s="1"/>
  <c r="Y155" i="186"/>
  <c r="Z141" i="186"/>
  <c r="AA141" i="186"/>
  <c r="U194" i="186"/>
  <c r="R194" i="186"/>
  <c r="AA194" i="186" s="1"/>
  <c r="AE181" i="186"/>
  <c r="AC180" i="186"/>
  <c r="AA133" i="186"/>
  <c r="Z133" i="186"/>
  <c r="Z177" i="186"/>
  <c r="AA177" i="186"/>
  <c r="Z185" i="186"/>
  <c r="AA185" i="186"/>
  <c r="Z52" i="186"/>
  <c r="AA52" i="186"/>
  <c r="U158" i="186"/>
  <c r="AC158" i="186" s="1"/>
  <c r="Z159" i="186"/>
  <c r="AA23" i="186"/>
  <c r="Z23" i="186"/>
  <c r="Y27" i="186"/>
  <c r="Z28" i="186"/>
  <c r="Z124" i="186"/>
  <c r="AA124" i="186"/>
  <c r="Z189" i="186"/>
  <c r="AA189" i="186"/>
  <c r="AE177" i="186"/>
  <c r="AC176" i="186"/>
  <c r="V46" i="186"/>
  <c r="Z71" i="186"/>
  <c r="Y82" i="186"/>
  <c r="AC70" i="186"/>
  <c r="AA24" i="186"/>
  <c r="Z24" i="186"/>
  <c r="R111" i="186"/>
  <c r="R118" i="186" s="1"/>
  <c r="Q118" i="186" s="1"/>
  <c r="Y111" i="186"/>
  <c r="AC162" i="186"/>
  <c r="AA102" i="186"/>
  <c r="Z102" i="186"/>
  <c r="AA105" i="186"/>
  <c r="Z105" i="186"/>
  <c r="Z59" i="186"/>
  <c r="R150" i="186"/>
  <c r="Z125" i="186"/>
  <c r="AA125" i="186"/>
  <c r="Y87" i="186"/>
  <c r="Y94" i="186" s="1"/>
  <c r="R87" i="186"/>
  <c r="R94" i="186" s="1"/>
  <c r="Q94" i="186" s="1"/>
  <c r="T134" i="186"/>
  <c r="U82" i="186"/>
  <c r="AC82" i="186" s="1"/>
  <c r="AA18" i="186"/>
  <c r="Z18" i="186"/>
  <c r="Y139" i="186"/>
  <c r="R139" i="186"/>
  <c r="U150" i="186"/>
  <c r="AC150" i="186" s="1"/>
  <c r="AC144" i="186"/>
  <c r="Z95" i="186"/>
  <c r="Y106" i="186"/>
  <c r="Y58" i="186"/>
  <c r="Z47" i="186"/>
  <c r="AE189" i="186"/>
  <c r="AC188" i="186"/>
  <c r="U174" i="186"/>
  <c r="AC174" i="186" s="1"/>
  <c r="AA85" i="186"/>
  <c r="AA11" i="186"/>
  <c r="Z11" i="186"/>
  <c r="O174" i="186"/>
  <c r="Z181" i="186"/>
  <c r="AA181" i="186"/>
  <c r="T70" i="186"/>
  <c r="AA78" i="186"/>
  <c r="Z78" i="186"/>
  <c r="R75" i="186"/>
  <c r="Y75" i="186"/>
  <c r="Z90" i="186"/>
  <c r="AA90" i="186"/>
  <c r="O195" i="186"/>
  <c r="U193" i="186"/>
  <c r="R193" i="186"/>
  <c r="Y134" i="186"/>
  <c r="Z127" i="186"/>
  <c r="Z76" i="186"/>
  <c r="AA76" i="186"/>
  <c r="Z56" i="186"/>
  <c r="AA56" i="186"/>
  <c r="R20" i="186"/>
  <c r="Q20" i="186" s="1"/>
  <c r="AA25" i="186"/>
  <c r="Z25" i="186"/>
  <c r="U163" i="186"/>
  <c r="O163" i="186" s="1"/>
  <c r="AB166" i="186"/>
  <c r="Z194" i="186"/>
  <c r="Y175" i="186"/>
  <c r="T175" i="186"/>
  <c r="T192" i="186" s="1"/>
  <c r="O192" i="186"/>
  <c r="AA149" i="186"/>
  <c r="Z149" i="186"/>
  <c r="Z135" i="186"/>
  <c r="AA145" i="186"/>
  <c r="Z145" i="186"/>
  <c r="Z101" i="186"/>
  <c r="AA101" i="186"/>
  <c r="Y32" i="186"/>
  <c r="R32" i="186"/>
  <c r="AA173" i="186"/>
  <c r="Z173" i="186"/>
  <c r="AA66" i="186"/>
  <c r="Z66" i="186"/>
  <c r="Y143" i="186"/>
  <c r="T143" i="186"/>
  <c r="T150" i="186" s="1"/>
  <c r="O150" i="186"/>
  <c r="T61" i="186"/>
  <c r="R61" i="186"/>
  <c r="R70" i="186" s="1"/>
  <c r="Q70" i="186" s="1"/>
  <c r="Y61" i="186"/>
  <c r="Y70" i="186" s="1"/>
  <c r="AA172" i="186"/>
  <c r="Z172" i="186"/>
  <c r="Z51" i="186"/>
  <c r="AA51" i="186"/>
  <c r="AA35" i="186"/>
  <c r="Z35" i="186"/>
  <c r="AA14" i="186"/>
  <c r="Z14" i="186"/>
  <c r="R58" i="186"/>
  <c r="Q58" i="186" s="1"/>
  <c r="AA137" i="186"/>
  <c r="Z137" i="186"/>
  <c r="AA165" i="186"/>
  <c r="Z165" i="186"/>
  <c r="AA93" i="186"/>
  <c r="Z93" i="186"/>
  <c r="U20" i="186"/>
  <c r="AC20" i="186" s="1"/>
  <c r="AA164" i="186"/>
  <c r="Z164" i="186"/>
  <c r="Z20" i="186"/>
  <c r="U27" i="186"/>
  <c r="AC27" i="186" s="1"/>
  <c r="AC22" i="186"/>
  <c r="AA49" i="186"/>
  <c r="Z49" i="186"/>
  <c r="V142" i="186"/>
  <c r="AA53" i="186"/>
  <c r="Z53" i="186"/>
  <c r="U108" i="186"/>
  <c r="T108" i="186"/>
  <c r="T118" i="186" s="1"/>
  <c r="O118" i="186"/>
  <c r="AA73" i="186"/>
  <c r="Z73" i="186"/>
  <c r="Z80" i="186"/>
  <c r="AA80" i="186"/>
  <c r="Z63" i="186"/>
  <c r="AA63" i="186"/>
  <c r="AA20" i="186" l="1"/>
  <c r="AC126" i="186"/>
  <c r="AA123" i="186"/>
  <c r="Z123" i="186"/>
  <c r="V27" i="186"/>
  <c r="AA46" i="186"/>
  <c r="Q150" i="186"/>
  <c r="V106" i="186"/>
  <c r="U192" i="186"/>
  <c r="V58" i="186"/>
  <c r="Q174" i="186"/>
  <c r="Z94" i="186"/>
  <c r="AA94" i="186"/>
  <c r="V192" i="186"/>
  <c r="AA27" i="186"/>
  <c r="Z27" i="186"/>
  <c r="AA82" i="186"/>
  <c r="Z82" i="186"/>
  <c r="Z126" i="186"/>
  <c r="AA126" i="186"/>
  <c r="V174" i="186"/>
  <c r="AA75" i="186"/>
  <c r="Z75" i="186"/>
  <c r="V20" i="186"/>
  <c r="AA58" i="186"/>
  <c r="Z58" i="186"/>
  <c r="AA139" i="186"/>
  <c r="Z139" i="186"/>
  <c r="U166" i="186"/>
  <c r="AC166" i="186" s="1"/>
  <c r="R30" i="186"/>
  <c r="R39" i="186" s="1"/>
  <c r="Y30" i="186"/>
  <c r="T30" i="186"/>
  <c r="T39" i="186" s="1"/>
  <c r="T197" i="186" s="1"/>
  <c r="O39" i="186"/>
  <c r="V39" i="186" s="1"/>
  <c r="V158" i="186"/>
  <c r="AC108" i="186"/>
  <c r="U118" i="186"/>
  <c r="AC118" i="186" s="1"/>
  <c r="Z106" i="186"/>
  <c r="AA106" i="186"/>
  <c r="Y150" i="186"/>
  <c r="Z143" i="186"/>
  <c r="AC192" i="186"/>
  <c r="AA169" i="186"/>
  <c r="Z169" i="186"/>
  <c r="Y174" i="186"/>
  <c r="Y163" i="186"/>
  <c r="R163" i="186"/>
  <c r="R166" i="186" s="1"/>
  <c r="O166" i="186"/>
  <c r="V166" i="186" s="1"/>
  <c r="V82" i="186"/>
  <c r="Z32" i="186"/>
  <c r="AA32" i="186"/>
  <c r="R195" i="186"/>
  <c r="AA193" i="186"/>
  <c r="AA70" i="186"/>
  <c r="Z70" i="186"/>
  <c r="U195" i="186"/>
  <c r="AC193" i="186"/>
  <c r="Y192" i="186"/>
  <c r="Z175" i="186"/>
  <c r="Z87" i="186"/>
  <c r="AA87" i="186"/>
  <c r="Q192" i="186"/>
  <c r="AA61" i="186"/>
  <c r="Z61" i="186"/>
  <c r="Y142" i="186"/>
  <c r="V150" i="186"/>
  <c r="Z134" i="186"/>
  <c r="AA134" i="186"/>
  <c r="AA111" i="186"/>
  <c r="Z111" i="186"/>
  <c r="Y118" i="186"/>
  <c r="V94" i="186"/>
  <c r="Z155" i="186"/>
  <c r="AA155" i="186"/>
  <c r="Y158" i="186"/>
  <c r="Q166" i="186" l="1"/>
  <c r="Z163" i="186"/>
  <c r="AA163" i="186"/>
  <c r="Y166" i="186"/>
  <c r="AA158" i="186"/>
  <c r="Z158" i="186"/>
  <c r="AA118" i="186"/>
  <c r="Z118" i="186"/>
  <c r="AA30" i="186"/>
  <c r="Z30" i="186"/>
  <c r="Y39" i="186"/>
  <c r="Q39" i="186"/>
  <c r="R197" i="186"/>
  <c r="AA150" i="186"/>
  <c r="Z150" i="186"/>
  <c r="AA174" i="186"/>
  <c r="Z174" i="186"/>
  <c r="O197" i="186"/>
  <c r="V197" i="186" s="1"/>
  <c r="AA142" i="186"/>
  <c r="Z142" i="186"/>
  <c r="V118" i="186"/>
  <c r="Y197" i="186"/>
  <c r="AA192" i="186"/>
  <c r="Z192" i="186"/>
  <c r="U197" i="186"/>
  <c r="AC197" i="186" s="1"/>
  <c r="Z166" i="186" l="1"/>
  <c r="AA166" i="186"/>
  <c r="AA39" i="186"/>
  <c r="Z39" i="186"/>
  <c r="O129" i="174" l="1"/>
  <c r="U129" i="174" s="1"/>
  <c r="AC129" i="174" s="1"/>
  <c r="O121" i="174"/>
  <c r="U121" i="174" s="1"/>
  <c r="AC121" i="174" s="1"/>
  <c r="O109" i="174"/>
  <c r="U109" i="174" s="1"/>
  <c r="AC109" i="174" s="1"/>
  <c r="O97" i="174"/>
  <c r="U97" i="174" s="1"/>
  <c r="AC97" i="174" s="1"/>
  <c r="O85" i="174"/>
  <c r="U85" i="174" s="1"/>
  <c r="AC85" i="174" s="1"/>
  <c r="O73" i="174"/>
  <c r="U73" i="174" s="1"/>
  <c r="AC73" i="174" s="1"/>
  <c r="O61" i="174"/>
  <c r="U61" i="174" s="1"/>
  <c r="AC61" i="174" s="1"/>
  <c r="O49" i="174"/>
  <c r="U49" i="174" s="1"/>
  <c r="AC49" i="174" s="1"/>
  <c r="O29" i="174"/>
  <c r="U29" i="174" s="1"/>
  <c r="AC29" i="174" s="1"/>
  <c r="O9" i="174"/>
  <c r="U9" i="174" s="1"/>
  <c r="AC9" i="174" s="1"/>
  <c r="O40" i="174" l="1"/>
  <c r="U40" i="174" s="1"/>
  <c r="AC40" i="174" s="1"/>
  <c r="O20" i="174"/>
  <c r="U20" i="174" s="1"/>
  <c r="V120" i="174" l="1"/>
  <c r="V180" i="174"/>
  <c r="V188" i="174"/>
  <c r="V184" i="174"/>
  <c r="V176" i="174"/>
  <c r="V168" i="174"/>
  <c r="V160" i="174"/>
  <c r="V152" i="174"/>
  <c r="V144" i="174"/>
  <c r="V136" i="174"/>
  <c r="V128" i="174"/>
  <c r="V108" i="174"/>
  <c r="V96" i="174"/>
  <c r="V84" i="174"/>
  <c r="V72" i="174"/>
  <c r="V60" i="174"/>
  <c r="V48" i="174"/>
  <c r="V28" i="174"/>
  <c r="AC8" i="174"/>
  <c r="AP197" i="185" l="1"/>
  <c r="AO197" i="185"/>
  <c r="AN197" i="185"/>
  <c r="AL197" i="185"/>
  <c r="AK197" i="185"/>
  <c r="AJ197" i="185"/>
  <c r="AP196" i="185"/>
  <c r="AO196" i="185"/>
  <c r="AN196" i="185"/>
  <c r="AL196" i="185"/>
  <c r="AK196" i="185"/>
  <c r="AJ196" i="185"/>
  <c r="AP194" i="185"/>
  <c r="AO194" i="185"/>
  <c r="AN194" i="185"/>
  <c r="AP193" i="185"/>
  <c r="AO193" i="185"/>
  <c r="AN193" i="185"/>
  <c r="AL194" i="185"/>
  <c r="AK194" i="185"/>
  <c r="AJ194" i="185"/>
  <c r="AL193" i="185"/>
  <c r="AK193" i="185"/>
  <c r="AJ193" i="185"/>
  <c r="AP191" i="185"/>
  <c r="AO191" i="185"/>
  <c r="AN191" i="185"/>
  <c r="AP190" i="185"/>
  <c r="AO190" i="185"/>
  <c r="AN190" i="185"/>
  <c r="AP189" i="185"/>
  <c r="AO189" i="185"/>
  <c r="AN189" i="185"/>
  <c r="AP188" i="185"/>
  <c r="AO188" i="185"/>
  <c r="AN188" i="185"/>
  <c r="AP187" i="185"/>
  <c r="AO187" i="185"/>
  <c r="AN187" i="185"/>
  <c r="AP186" i="185"/>
  <c r="AO186" i="185"/>
  <c r="AN186" i="185"/>
  <c r="AP185" i="185"/>
  <c r="AO185" i="185"/>
  <c r="AN185" i="185"/>
  <c r="AP184" i="185"/>
  <c r="AO184" i="185"/>
  <c r="AN184" i="185"/>
  <c r="AP183" i="185"/>
  <c r="AO183" i="185"/>
  <c r="AN183" i="185"/>
  <c r="AP182" i="185"/>
  <c r="AO182" i="185"/>
  <c r="AN182" i="185"/>
  <c r="AP181" i="185"/>
  <c r="AO181" i="185"/>
  <c r="AN181" i="185"/>
  <c r="AP180" i="185"/>
  <c r="AO180" i="185"/>
  <c r="AN180" i="185"/>
  <c r="AP179" i="185"/>
  <c r="AO179" i="185"/>
  <c r="AN179" i="185"/>
  <c r="AP178" i="185"/>
  <c r="AO178" i="185"/>
  <c r="AN178" i="185"/>
  <c r="AP177" i="185"/>
  <c r="AO177" i="185"/>
  <c r="AN177" i="185"/>
  <c r="AP176" i="185"/>
  <c r="AO176" i="185"/>
  <c r="AN176" i="185"/>
  <c r="AP175" i="185"/>
  <c r="AO175" i="185"/>
  <c r="AN175" i="185"/>
  <c r="AL191" i="185"/>
  <c r="AK191" i="185"/>
  <c r="AJ191" i="185"/>
  <c r="AL190" i="185"/>
  <c r="AK190" i="185"/>
  <c r="AJ190" i="185"/>
  <c r="AL189" i="185"/>
  <c r="AK189" i="185"/>
  <c r="AJ189" i="185"/>
  <c r="AL188" i="185"/>
  <c r="AK188" i="185"/>
  <c r="AJ188" i="185"/>
  <c r="AL187" i="185"/>
  <c r="AK187" i="185"/>
  <c r="AJ187" i="185"/>
  <c r="AL186" i="185"/>
  <c r="AK186" i="185"/>
  <c r="AJ186" i="185"/>
  <c r="AL185" i="185"/>
  <c r="AK185" i="185"/>
  <c r="AJ185" i="185"/>
  <c r="AL184" i="185"/>
  <c r="AK184" i="185"/>
  <c r="AJ184" i="185"/>
  <c r="AL183" i="185"/>
  <c r="AK183" i="185"/>
  <c r="AJ183" i="185"/>
  <c r="AL182" i="185"/>
  <c r="AK182" i="185"/>
  <c r="AJ182" i="185"/>
  <c r="AL181" i="185"/>
  <c r="AK181" i="185"/>
  <c r="AJ181" i="185"/>
  <c r="AL180" i="185"/>
  <c r="AK180" i="185"/>
  <c r="AJ180" i="185"/>
  <c r="AL179" i="185"/>
  <c r="AK179" i="185"/>
  <c r="AJ179" i="185"/>
  <c r="AL178" i="185"/>
  <c r="AK178" i="185"/>
  <c r="AJ178" i="185"/>
  <c r="AL177" i="185"/>
  <c r="AK177" i="185"/>
  <c r="AJ177" i="185"/>
  <c r="AL176" i="185"/>
  <c r="AK176" i="185"/>
  <c r="AJ176" i="185"/>
  <c r="AL175" i="185"/>
  <c r="AK175" i="185"/>
  <c r="AJ175" i="185"/>
  <c r="AP173" i="185"/>
  <c r="AO173" i="185"/>
  <c r="AN173" i="185"/>
  <c r="AP172" i="185"/>
  <c r="AO172" i="185"/>
  <c r="AN172" i="185"/>
  <c r="AP171" i="185"/>
  <c r="AO171" i="185"/>
  <c r="AN171" i="185"/>
  <c r="AP170" i="185"/>
  <c r="AO170" i="185"/>
  <c r="AN170" i="185"/>
  <c r="AP169" i="185"/>
  <c r="AO169" i="185"/>
  <c r="AN169" i="185"/>
  <c r="AP168" i="185"/>
  <c r="AO168" i="185"/>
  <c r="AN168" i="185"/>
  <c r="AP167" i="185"/>
  <c r="AO167" i="185"/>
  <c r="AN167" i="185"/>
  <c r="AL173" i="185"/>
  <c r="AK173" i="185"/>
  <c r="AJ173" i="185"/>
  <c r="AL172" i="185"/>
  <c r="AK172" i="185"/>
  <c r="AJ172" i="185"/>
  <c r="AL171" i="185"/>
  <c r="AK171" i="185"/>
  <c r="AJ171" i="185"/>
  <c r="AL170" i="185"/>
  <c r="AK170" i="185"/>
  <c r="AJ170" i="185"/>
  <c r="AL169" i="185"/>
  <c r="AK169" i="185"/>
  <c r="AJ169" i="185"/>
  <c r="AL168" i="185"/>
  <c r="AK168" i="185"/>
  <c r="AJ168" i="185"/>
  <c r="AL167" i="185"/>
  <c r="AK167" i="185"/>
  <c r="AJ167" i="185"/>
  <c r="AP165" i="185"/>
  <c r="AO165" i="185"/>
  <c r="AN165" i="185"/>
  <c r="AP164" i="185"/>
  <c r="AO164" i="185"/>
  <c r="AN164" i="185"/>
  <c r="AP163" i="185"/>
  <c r="AO163" i="185"/>
  <c r="AN163" i="185"/>
  <c r="AP162" i="185"/>
  <c r="AO162" i="185"/>
  <c r="AN162" i="185"/>
  <c r="AP161" i="185"/>
  <c r="AO161" i="185"/>
  <c r="AN161" i="185"/>
  <c r="AP160" i="185"/>
  <c r="AO160" i="185"/>
  <c r="AN160" i="185"/>
  <c r="AP159" i="185"/>
  <c r="AO159" i="185"/>
  <c r="AN159" i="185"/>
  <c r="AL165" i="185"/>
  <c r="AK165" i="185"/>
  <c r="AJ165" i="185"/>
  <c r="AL164" i="185"/>
  <c r="AK164" i="185"/>
  <c r="AJ164" i="185"/>
  <c r="AL163" i="185"/>
  <c r="AK163" i="185"/>
  <c r="AJ163" i="185"/>
  <c r="AL162" i="185"/>
  <c r="AK162" i="185"/>
  <c r="AJ162" i="185"/>
  <c r="AL161" i="185"/>
  <c r="AK161" i="185"/>
  <c r="AJ161" i="185"/>
  <c r="AL160" i="185"/>
  <c r="AK160" i="185"/>
  <c r="AJ160" i="185"/>
  <c r="AL159" i="185"/>
  <c r="AK159" i="185"/>
  <c r="AJ159" i="185"/>
  <c r="AP157" i="185"/>
  <c r="AO157" i="185"/>
  <c r="AN157" i="185"/>
  <c r="AP156" i="185"/>
  <c r="AO156" i="185"/>
  <c r="AN156" i="185"/>
  <c r="AP155" i="185"/>
  <c r="AO155" i="185"/>
  <c r="AN155" i="185"/>
  <c r="AP154" i="185"/>
  <c r="AO154" i="185"/>
  <c r="AN154" i="185"/>
  <c r="AP153" i="185"/>
  <c r="AO153" i="185"/>
  <c r="AN153" i="185"/>
  <c r="AP152" i="185"/>
  <c r="AO152" i="185"/>
  <c r="AN152" i="185"/>
  <c r="AP151" i="185"/>
  <c r="AO151" i="185"/>
  <c r="AN151" i="185"/>
  <c r="AL157" i="185"/>
  <c r="AK157" i="185"/>
  <c r="AJ157" i="185"/>
  <c r="AL156" i="185"/>
  <c r="AK156" i="185"/>
  <c r="AJ156" i="185"/>
  <c r="AL155" i="185"/>
  <c r="AK155" i="185"/>
  <c r="AJ155" i="185"/>
  <c r="AL154" i="185"/>
  <c r="AK154" i="185"/>
  <c r="AJ154" i="185"/>
  <c r="AL153" i="185"/>
  <c r="AK153" i="185"/>
  <c r="AJ153" i="185"/>
  <c r="AL152" i="185"/>
  <c r="AK152" i="185"/>
  <c r="AJ152" i="185"/>
  <c r="AL151" i="185"/>
  <c r="AK151" i="185"/>
  <c r="AJ151" i="185"/>
  <c r="AP149" i="185"/>
  <c r="AO149" i="185"/>
  <c r="AN149" i="185"/>
  <c r="AP148" i="185"/>
  <c r="AO148" i="185"/>
  <c r="AN148" i="185"/>
  <c r="AP147" i="185"/>
  <c r="AO147" i="185"/>
  <c r="AN147" i="185"/>
  <c r="AP146" i="185"/>
  <c r="AO146" i="185"/>
  <c r="AN146" i="185"/>
  <c r="AP145" i="185"/>
  <c r="AO145" i="185"/>
  <c r="AN145" i="185"/>
  <c r="AP144" i="185"/>
  <c r="AO144" i="185"/>
  <c r="AN144" i="185"/>
  <c r="AP143" i="185"/>
  <c r="AO143" i="185"/>
  <c r="AN143" i="185"/>
  <c r="AL149" i="185"/>
  <c r="AK149" i="185"/>
  <c r="AJ149" i="185"/>
  <c r="AL148" i="185"/>
  <c r="AK148" i="185"/>
  <c r="AJ148" i="185"/>
  <c r="AL147" i="185"/>
  <c r="AK147" i="185"/>
  <c r="AJ147" i="185"/>
  <c r="AL146" i="185"/>
  <c r="AK146" i="185"/>
  <c r="AJ146" i="185"/>
  <c r="AL145" i="185"/>
  <c r="AK145" i="185"/>
  <c r="AJ145" i="185"/>
  <c r="AL144" i="185"/>
  <c r="AK144" i="185"/>
  <c r="AJ144" i="185"/>
  <c r="AL143" i="185"/>
  <c r="AK143" i="185"/>
  <c r="AJ143" i="185"/>
  <c r="AP141" i="185"/>
  <c r="AO141" i="185"/>
  <c r="AN141" i="185"/>
  <c r="AP140" i="185"/>
  <c r="AO140" i="185"/>
  <c r="AN140" i="185"/>
  <c r="AP139" i="185"/>
  <c r="AO139" i="185"/>
  <c r="AN139" i="185"/>
  <c r="AP138" i="185"/>
  <c r="AO138" i="185"/>
  <c r="AN138" i="185"/>
  <c r="AP137" i="185"/>
  <c r="AO137" i="185"/>
  <c r="AN137" i="185"/>
  <c r="AP136" i="185"/>
  <c r="AO136" i="185"/>
  <c r="AN136" i="185"/>
  <c r="AP135" i="185"/>
  <c r="AO135" i="185"/>
  <c r="AN135" i="185"/>
  <c r="AL141" i="185"/>
  <c r="AK141" i="185"/>
  <c r="AJ141" i="185"/>
  <c r="AL140" i="185"/>
  <c r="AK140" i="185"/>
  <c r="AJ140" i="185"/>
  <c r="AL139" i="185"/>
  <c r="AK139" i="185"/>
  <c r="AJ139" i="185"/>
  <c r="AL138" i="185"/>
  <c r="AK138" i="185"/>
  <c r="AJ138" i="185"/>
  <c r="AL137" i="185"/>
  <c r="AK137" i="185"/>
  <c r="AJ137" i="185"/>
  <c r="AL136" i="185"/>
  <c r="AK136" i="185"/>
  <c r="AJ136" i="185"/>
  <c r="AL135" i="185"/>
  <c r="AK135" i="185"/>
  <c r="AJ135" i="185"/>
  <c r="AP133" i="185"/>
  <c r="AO133" i="185"/>
  <c r="AN133" i="185"/>
  <c r="AP132" i="185"/>
  <c r="AO132" i="185"/>
  <c r="AN132" i="185"/>
  <c r="AP131" i="185"/>
  <c r="AO131" i="185"/>
  <c r="AN131" i="185"/>
  <c r="AP130" i="185"/>
  <c r="AO130" i="185"/>
  <c r="AN130" i="185"/>
  <c r="AP129" i="185"/>
  <c r="AO129" i="185"/>
  <c r="AN129" i="185"/>
  <c r="AP128" i="185"/>
  <c r="AO128" i="185"/>
  <c r="AN128" i="185"/>
  <c r="AP127" i="185"/>
  <c r="AO127" i="185"/>
  <c r="AN127" i="185"/>
  <c r="AL133" i="185"/>
  <c r="AK133" i="185"/>
  <c r="AJ133" i="185"/>
  <c r="AL132" i="185"/>
  <c r="AK132" i="185"/>
  <c r="AJ132" i="185"/>
  <c r="AL131" i="185"/>
  <c r="AK131" i="185"/>
  <c r="AJ131" i="185"/>
  <c r="AL130" i="185"/>
  <c r="AK130" i="185"/>
  <c r="AJ130" i="185"/>
  <c r="AL129" i="185"/>
  <c r="AK129" i="185"/>
  <c r="AJ129" i="185"/>
  <c r="AL128" i="185"/>
  <c r="AK128" i="185"/>
  <c r="AJ128" i="185"/>
  <c r="AL127" i="185"/>
  <c r="AK127" i="185"/>
  <c r="AJ127" i="185"/>
  <c r="AP125" i="185"/>
  <c r="AO125" i="185"/>
  <c r="AN125" i="185"/>
  <c r="AP124" i="185"/>
  <c r="AO124" i="185"/>
  <c r="AN124" i="185"/>
  <c r="AP123" i="185"/>
  <c r="AO123" i="185"/>
  <c r="AN123" i="185"/>
  <c r="AP122" i="185"/>
  <c r="AO122" i="185"/>
  <c r="AN122" i="185"/>
  <c r="AP121" i="185"/>
  <c r="AO121" i="185"/>
  <c r="AN121" i="185"/>
  <c r="AP120" i="185"/>
  <c r="AO120" i="185"/>
  <c r="AN120" i="185"/>
  <c r="AP119" i="185"/>
  <c r="AO119" i="185"/>
  <c r="AN119" i="185"/>
  <c r="AL125" i="185"/>
  <c r="AK125" i="185"/>
  <c r="AJ125" i="185"/>
  <c r="AL124" i="185"/>
  <c r="AK124" i="185"/>
  <c r="AJ124" i="185"/>
  <c r="AL123" i="185"/>
  <c r="AK123" i="185"/>
  <c r="AJ123" i="185"/>
  <c r="AL122" i="185"/>
  <c r="AK122" i="185"/>
  <c r="AJ122" i="185"/>
  <c r="AL121" i="185"/>
  <c r="AK121" i="185"/>
  <c r="AJ121" i="185"/>
  <c r="AL120" i="185"/>
  <c r="AK120" i="185"/>
  <c r="AJ120" i="185"/>
  <c r="AL119" i="185"/>
  <c r="AK119" i="185"/>
  <c r="AJ119" i="185"/>
  <c r="AP117" i="185"/>
  <c r="AO117" i="185"/>
  <c r="AO116" i="185"/>
  <c r="AN116" i="185"/>
  <c r="AP115" i="185"/>
  <c r="AO115" i="185"/>
  <c r="AN115" i="185"/>
  <c r="AP114" i="185"/>
  <c r="AO114" i="185"/>
  <c r="AN114" i="185"/>
  <c r="AP113" i="185"/>
  <c r="AO113" i="185"/>
  <c r="AN113" i="185"/>
  <c r="AP112" i="185"/>
  <c r="AO112" i="185"/>
  <c r="AN112" i="185"/>
  <c r="AP111" i="185"/>
  <c r="AO111" i="185"/>
  <c r="AN111" i="185"/>
  <c r="AP110" i="185"/>
  <c r="AO110" i="185"/>
  <c r="AN110" i="185"/>
  <c r="AP109" i="185"/>
  <c r="AO109" i="185"/>
  <c r="AN109" i="185"/>
  <c r="AP108" i="185"/>
  <c r="AO108" i="185"/>
  <c r="AN108" i="185"/>
  <c r="AP107" i="185"/>
  <c r="AO107" i="185"/>
  <c r="AN107" i="185"/>
  <c r="AL117" i="185"/>
  <c r="AK117" i="185"/>
  <c r="AK116" i="185"/>
  <c r="AJ116" i="185"/>
  <c r="AL115" i="185"/>
  <c r="AK115" i="185"/>
  <c r="AJ115" i="185"/>
  <c r="AL114" i="185"/>
  <c r="AK114" i="185"/>
  <c r="AJ114" i="185"/>
  <c r="AL113" i="185"/>
  <c r="AK113" i="185"/>
  <c r="AJ113" i="185"/>
  <c r="AL112" i="185"/>
  <c r="AK112" i="185"/>
  <c r="AJ112" i="185"/>
  <c r="AL111" i="185"/>
  <c r="AK111" i="185"/>
  <c r="AJ111" i="185"/>
  <c r="AL110" i="185"/>
  <c r="AK110" i="185"/>
  <c r="AJ110" i="185"/>
  <c r="AL109" i="185"/>
  <c r="AK109" i="185"/>
  <c r="AJ109" i="185"/>
  <c r="AL108" i="185"/>
  <c r="AK108" i="185"/>
  <c r="AJ108" i="185"/>
  <c r="AL107" i="185"/>
  <c r="AK107" i="185"/>
  <c r="AJ107" i="185"/>
  <c r="AP105" i="185"/>
  <c r="AO105" i="185"/>
  <c r="AO104" i="185"/>
  <c r="AN104" i="185"/>
  <c r="AP103" i="185"/>
  <c r="AO103" i="185"/>
  <c r="AN103" i="185"/>
  <c r="AP102" i="185"/>
  <c r="AO102" i="185"/>
  <c r="AN102" i="185"/>
  <c r="AP101" i="185"/>
  <c r="AO101" i="185"/>
  <c r="AN101" i="185"/>
  <c r="AP100" i="185"/>
  <c r="AO100" i="185"/>
  <c r="AN100" i="185"/>
  <c r="AP99" i="185"/>
  <c r="AO99" i="185"/>
  <c r="AN99" i="185"/>
  <c r="AP98" i="185"/>
  <c r="AO98" i="185"/>
  <c r="AN98" i="185"/>
  <c r="AP97" i="185"/>
  <c r="AO97" i="185"/>
  <c r="AN97" i="185"/>
  <c r="AP96" i="185"/>
  <c r="AO96" i="185"/>
  <c r="AN96" i="185"/>
  <c r="AO95" i="185"/>
  <c r="AP95" i="185"/>
  <c r="AN95" i="185"/>
  <c r="AL105" i="185"/>
  <c r="AK105" i="185"/>
  <c r="AK104" i="185"/>
  <c r="AJ104" i="185"/>
  <c r="AL103" i="185"/>
  <c r="AK103" i="185"/>
  <c r="AJ103" i="185"/>
  <c r="AL102" i="185"/>
  <c r="AK102" i="185"/>
  <c r="AJ102" i="185"/>
  <c r="AL101" i="185"/>
  <c r="AK101" i="185"/>
  <c r="AJ101" i="185"/>
  <c r="AL100" i="185"/>
  <c r="AK100" i="185"/>
  <c r="AJ100" i="185"/>
  <c r="AL99" i="185"/>
  <c r="AK99" i="185"/>
  <c r="AJ99" i="185"/>
  <c r="AL98" i="185"/>
  <c r="AK98" i="185"/>
  <c r="AJ98" i="185"/>
  <c r="AL97" i="185"/>
  <c r="AK97" i="185"/>
  <c r="AJ97" i="185"/>
  <c r="AL96" i="185"/>
  <c r="AK96" i="185"/>
  <c r="AJ96" i="185"/>
  <c r="AL95" i="185"/>
  <c r="AK95" i="185"/>
  <c r="AJ95" i="185"/>
  <c r="AP93" i="185"/>
  <c r="AO93" i="185"/>
  <c r="AO92" i="185"/>
  <c r="AN92" i="185"/>
  <c r="AP91" i="185"/>
  <c r="AO91" i="185"/>
  <c r="AN91" i="185"/>
  <c r="AP90" i="185"/>
  <c r="AO90" i="185"/>
  <c r="AN90" i="185"/>
  <c r="AP89" i="185"/>
  <c r="AO89" i="185"/>
  <c r="AN89" i="185"/>
  <c r="AP88" i="185"/>
  <c r="AO88" i="185"/>
  <c r="AN88" i="185"/>
  <c r="AP87" i="185"/>
  <c r="AO87" i="185"/>
  <c r="AN87" i="185"/>
  <c r="AP86" i="185"/>
  <c r="AO86" i="185"/>
  <c r="AN86" i="185"/>
  <c r="AP85" i="185"/>
  <c r="AO85" i="185"/>
  <c r="AN85" i="185"/>
  <c r="AP84" i="185"/>
  <c r="AO84" i="185"/>
  <c r="AN84" i="185"/>
  <c r="AP83" i="185"/>
  <c r="AO83" i="185"/>
  <c r="AN83" i="185"/>
  <c r="AL93" i="185"/>
  <c r="AK93" i="185"/>
  <c r="AK92" i="185"/>
  <c r="AJ92" i="185"/>
  <c r="AL91" i="185"/>
  <c r="AK91" i="185"/>
  <c r="AJ91" i="185"/>
  <c r="AL90" i="185"/>
  <c r="AK90" i="185"/>
  <c r="AJ90" i="185"/>
  <c r="AL89" i="185"/>
  <c r="AK89" i="185"/>
  <c r="AJ89" i="185"/>
  <c r="AL88" i="185"/>
  <c r="AK88" i="185"/>
  <c r="AJ88" i="185"/>
  <c r="AL87" i="185"/>
  <c r="AK87" i="185"/>
  <c r="AJ87" i="185"/>
  <c r="AL86" i="185"/>
  <c r="AK86" i="185"/>
  <c r="AJ86" i="185"/>
  <c r="AL85" i="185"/>
  <c r="AK85" i="185"/>
  <c r="AJ85" i="185"/>
  <c r="AL84" i="185"/>
  <c r="AK84" i="185"/>
  <c r="AJ84" i="185"/>
  <c r="AL83" i="185"/>
  <c r="AK83" i="185"/>
  <c r="AJ83" i="185"/>
  <c r="AP81" i="185"/>
  <c r="AO81" i="185"/>
  <c r="AO80" i="185"/>
  <c r="AN80" i="185"/>
  <c r="AP79" i="185"/>
  <c r="AO79" i="185"/>
  <c r="AN79" i="185"/>
  <c r="AP78" i="185"/>
  <c r="AO78" i="185"/>
  <c r="AN78" i="185"/>
  <c r="AP77" i="185"/>
  <c r="AO77" i="185"/>
  <c r="AN77" i="185"/>
  <c r="AP76" i="185"/>
  <c r="AO76" i="185"/>
  <c r="AN76" i="185"/>
  <c r="AP75" i="185"/>
  <c r="AO75" i="185"/>
  <c r="AN75" i="185"/>
  <c r="AP74" i="185"/>
  <c r="AO74" i="185"/>
  <c r="AN74" i="185"/>
  <c r="AP73" i="185"/>
  <c r="AO73" i="185"/>
  <c r="AN73" i="185"/>
  <c r="AP72" i="185"/>
  <c r="AO72" i="185"/>
  <c r="AN72" i="185"/>
  <c r="AP71" i="185"/>
  <c r="AO71" i="185"/>
  <c r="AN71" i="185"/>
  <c r="AL81" i="185"/>
  <c r="AK81" i="185"/>
  <c r="AK80" i="185"/>
  <c r="AJ80" i="185"/>
  <c r="AL79" i="185"/>
  <c r="AK79" i="185"/>
  <c r="AJ79" i="185"/>
  <c r="AL78" i="185"/>
  <c r="AK78" i="185"/>
  <c r="AJ78" i="185"/>
  <c r="AL77" i="185"/>
  <c r="AK77" i="185"/>
  <c r="AJ77" i="185"/>
  <c r="AL76" i="185"/>
  <c r="AK76" i="185"/>
  <c r="AJ76" i="185"/>
  <c r="AL75" i="185"/>
  <c r="AK75" i="185"/>
  <c r="AJ75" i="185"/>
  <c r="AL74" i="185"/>
  <c r="AK74" i="185"/>
  <c r="AJ74" i="185"/>
  <c r="AL73" i="185"/>
  <c r="AK73" i="185"/>
  <c r="AJ73" i="185"/>
  <c r="AL72" i="185"/>
  <c r="AK72" i="185"/>
  <c r="AJ72" i="185"/>
  <c r="AL71" i="185"/>
  <c r="AK71" i="185"/>
  <c r="AJ71" i="185"/>
  <c r="AP69" i="185"/>
  <c r="AO69" i="185"/>
  <c r="AO68" i="185"/>
  <c r="AN68" i="185"/>
  <c r="AP67" i="185"/>
  <c r="AO67" i="185"/>
  <c r="AN67" i="185"/>
  <c r="AP66" i="185"/>
  <c r="AO66" i="185"/>
  <c r="AN66" i="185"/>
  <c r="AP65" i="185"/>
  <c r="AO65" i="185"/>
  <c r="AN65" i="185"/>
  <c r="AP64" i="185"/>
  <c r="AO64" i="185"/>
  <c r="AN64" i="185"/>
  <c r="AP63" i="185"/>
  <c r="AO63" i="185"/>
  <c r="AN63" i="185"/>
  <c r="AP62" i="185"/>
  <c r="AO62" i="185"/>
  <c r="AN62" i="185"/>
  <c r="AP61" i="185"/>
  <c r="AO61" i="185"/>
  <c r="AN61" i="185"/>
  <c r="AP60" i="185"/>
  <c r="AO60" i="185"/>
  <c r="AN60" i="185"/>
  <c r="AP59" i="185"/>
  <c r="AO59" i="185"/>
  <c r="AN59" i="185"/>
  <c r="AL69" i="185"/>
  <c r="AK69" i="185"/>
  <c r="AK68" i="185"/>
  <c r="AJ68" i="185"/>
  <c r="AL67" i="185"/>
  <c r="AK67" i="185"/>
  <c r="AJ67" i="185"/>
  <c r="AL66" i="185"/>
  <c r="AK66" i="185"/>
  <c r="AJ66" i="185"/>
  <c r="AL65" i="185"/>
  <c r="AK65" i="185"/>
  <c r="AJ65" i="185"/>
  <c r="AL64" i="185"/>
  <c r="AK64" i="185"/>
  <c r="AJ64" i="185"/>
  <c r="AL63" i="185"/>
  <c r="AK63" i="185"/>
  <c r="AJ63" i="185"/>
  <c r="AL62" i="185"/>
  <c r="AK62" i="185"/>
  <c r="AJ62" i="185"/>
  <c r="AL61" i="185"/>
  <c r="AK61" i="185"/>
  <c r="AJ61" i="185"/>
  <c r="AL60" i="185"/>
  <c r="AK60" i="185"/>
  <c r="AJ60" i="185"/>
  <c r="AL59" i="185"/>
  <c r="AK59" i="185"/>
  <c r="AJ59" i="185"/>
  <c r="AP57" i="185"/>
  <c r="AO57" i="185"/>
  <c r="AO56" i="185"/>
  <c r="AN56" i="185"/>
  <c r="AP55" i="185"/>
  <c r="AO55" i="185"/>
  <c r="AN55" i="185"/>
  <c r="AP54" i="185"/>
  <c r="AO54" i="185"/>
  <c r="AN54" i="185"/>
  <c r="AP53" i="185"/>
  <c r="AO53" i="185"/>
  <c r="AN53" i="185"/>
  <c r="AP52" i="185"/>
  <c r="AO52" i="185"/>
  <c r="AN52" i="185"/>
  <c r="AP51" i="185"/>
  <c r="AO51" i="185"/>
  <c r="AN51" i="185"/>
  <c r="AP50" i="185"/>
  <c r="AO50" i="185"/>
  <c r="AN50" i="185"/>
  <c r="AP49" i="185"/>
  <c r="AO49" i="185"/>
  <c r="AN49" i="185"/>
  <c r="AP48" i="185"/>
  <c r="AO48" i="185"/>
  <c r="AN48" i="185"/>
  <c r="AP47" i="185"/>
  <c r="AO47" i="185"/>
  <c r="AN47" i="185"/>
  <c r="AL57" i="185"/>
  <c r="AK57" i="185"/>
  <c r="AK56" i="185"/>
  <c r="AJ56" i="185"/>
  <c r="AL55" i="185"/>
  <c r="AK55" i="185"/>
  <c r="AJ55" i="185"/>
  <c r="AL54" i="185"/>
  <c r="AK54" i="185"/>
  <c r="AJ54" i="185"/>
  <c r="AL53" i="185"/>
  <c r="AK53" i="185"/>
  <c r="AJ53" i="185"/>
  <c r="AL52" i="185"/>
  <c r="AK52" i="185"/>
  <c r="AJ52" i="185"/>
  <c r="AL51" i="185"/>
  <c r="AK51" i="185"/>
  <c r="AJ51" i="185"/>
  <c r="AL50" i="185"/>
  <c r="AK50" i="185"/>
  <c r="AJ50" i="185"/>
  <c r="AL49" i="185"/>
  <c r="AK49" i="185"/>
  <c r="AJ49" i="185"/>
  <c r="AL48" i="185"/>
  <c r="AK48" i="185"/>
  <c r="AJ48" i="185"/>
  <c r="AL47" i="185"/>
  <c r="AK47" i="185"/>
  <c r="AJ47" i="185"/>
  <c r="AP45" i="185"/>
  <c r="AO45" i="185"/>
  <c r="AN45" i="185"/>
  <c r="AP44" i="185"/>
  <c r="AO44" i="185"/>
  <c r="AN44" i="185"/>
  <c r="AP43" i="185"/>
  <c r="AO43" i="185"/>
  <c r="AN43" i="185"/>
  <c r="AP42" i="185"/>
  <c r="AO42" i="185"/>
  <c r="AN42" i="185"/>
  <c r="AP41" i="185"/>
  <c r="AO41" i="185"/>
  <c r="AN41" i="185"/>
  <c r="AP40" i="185"/>
  <c r="AO40" i="185"/>
  <c r="AN40" i="185"/>
  <c r="AL45" i="185"/>
  <c r="AK45" i="185"/>
  <c r="AJ45" i="185"/>
  <c r="AL44" i="185"/>
  <c r="AK44" i="185"/>
  <c r="AJ44" i="185"/>
  <c r="AL43" i="185"/>
  <c r="AK43" i="185"/>
  <c r="AJ43" i="185"/>
  <c r="AL42" i="185"/>
  <c r="AK42" i="185"/>
  <c r="AJ42" i="185"/>
  <c r="AL41" i="185"/>
  <c r="AK41" i="185"/>
  <c r="AJ41" i="185"/>
  <c r="AL40" i="185"/>
  <c r="AK40" i="185"/>
  <c r="AJ40" i="185"/>
  <c r="AP38" i="185"/>
  <c r="AO38" i="185"/>
  <c r="AO37" i="185"/>
  <c r="AN37" i="185"/>
  <c r="AP36" i="185"/>
  <c r="AO36" i="185"/>
  <c r="AN36" i="185"/>
  <c r="AP35" i="185"/>
  <c r="AO35" i="185"/>
  <c r="AN35" i="185"/>
  <c r="AP34" i="185"/>
  <c r="AO34" i="185"/>
  <c r="AN34" i="185"/>
  <c r="AP33" i="185"/>
  <c r="AO33" i="185"/>
  <c r="AN33" i="185"/>
  <c r="AP32" i="185"/>
  <c r="AO32" i="185"/>
  <c r="AN32" i="185"/>
  <c r="AP31" i="185"/>
  <c r="AO31" i="185"/>
  <c r="AN31" i="185"/>
  <c r="AP30" i="185"/>
  <c r="AO30" i="185"/>
  <c r="AN30" i="185"/>
  <c r="AP29" i="185"/>
  <c r="AO29" i="185"/>
  <c r="AN29" i="185"/>
  <c r="AP28" i="185"/>
  <c r="AO28" i="185"/>
  <c r="AN28" i="185"/>
  <c r="L117" i="185"/>
  <c r="L105" i="185"/>
  <c r="L93" i="185"/>
  <c r="L81" i="185"/>
  <c r="L69" i="185"/>
  <c r="L57" i="185"/>
  <c r="L38" i="185"/>
  <c r="L118" i="174"/>
  <c r="L106" i="174"/>
  <c r="L94" i="174"/>
  <c r="L82" i="174"/>
  <c r="L70" i="174"/>
  <c r="L58" i="174"/>
  <c r="L38" i="174"/>
  <c r="AL38" i="185"/>
  <c r="AK38" i="185"/>
  <c r="AN19" i="185"/>
  <c r="AP18" i="185"/>
  <c r="AK7" i="185"/>
  <c r="AO7" i="185" s="1"/>
  <c r="AB197" i="185"/>
  <c r="R196" i="185"/>
  <c r="Y196" i="185" s="1"/>
  <c r="L196" i="185"/>
  <c r="Y194" i="185"/>
  <c r="O194" i="185" s="1"/>
  <c r="U194" i="185" s="1"/>
  <c r="L194" i="185"/>
  <c r="Y193" i="185"/>
  <c r="Y195" i="185" s="1"/>
  <c r="L193" i="185"/>
  <c r="B192" i="185"/>
  <c r="AB191" i="185"/>
  <c r="U191" i="185" s="1"/>
  <c r="O191" i="185" s="1"/>
  <c r="Y191" i="185" s="1"/>
  <c r="Z191" i="185" s="1"/>
  <c r="L191" i="185"/>
  <c r="U190" i="185"/>
  <c r="O190" i="185" s="1"/>
  <c r="L190" i="185"/>
  <c r="AB189" i="185"/>
  <c r="L189" i="185"/>
  <c r="U188" i="185"/>
  <c r="L188" i="185"/>
  <c r="U187" i="185"/>
  <c r="O187" i="185" s="1"/>
  <c r="T187" i="185" s="1"/>
  <c r="L187" i="185"/>
  <c r="U186" i="185"/>
  <c r="O186" i="185" s="1"/>
  <c r="L186" i="185"/>
  <c r="AB185" i="185"/>
  <c r="AD185" i="185" s="1"/>
  <c r="U185" i="185"/>
  <c r="O185" i="185" s="1"/>
  <c r="L185" i="185"/>
  <c r="U184" i="185"/>
  <c r="O184" i="185" s="1"/>
  <c r="L184" i="185"/>
  <c r="U183" i="185"/>
  <c r="L183" i="185"/>
  <c r="U182" i="185"/>
  <c r="O182" i="185" s="1"/>
  <c r="R182" i="185" s="1"/>
  <c r="L182" i="185"/>
  <c r="AB181" i="185"/>
  <c r="L181" i="185"/>
  <c r="U180" i="185"/>
  <c r="O180" i="185" s="1"/>
  <c r="L180" i="185"/>
  <c r="U179" i="185"/>
  <c r="O179" i="185" s="1"/>
  <c r="L179" i="185"/>
  <c r="U178" i="185"/>
  <c r="O178" i="185" s="1"/>
  <c r="R178" i="185" s="1"/>
  <c r="L178" i="185"/>
  <c r="AD177" i="185"/>
  <c r="AB177" i="185"/>
  <c r="U177" i="185" s="1"/>
  <c r="O177" i="185" s="1"/>
  <c r="L177" i="185"/>
  <c r="U176" i="185"/>
  <c r="O176" i="185" s="1"/>
  <c r="L176" i="185"/>
  <c r="U175" i="185"/>
  <c r="O175" i="185" s="1"/>
  <c r="L175" i="185"/>
  <c r="B174" i="185"/>
  <c r="U173" i="185"/>
  <c r="O173" i="185" s="1"/>
  <c r="L173" i="185"/>
  <c r="U172" i="185"/>
  <c r="O172" i="185"/>
  <c r="L172" i="185"/>
  <c r="B172" i="185"/>
  <c r="B173" i="185" s="1"/>
  <c r="L171" i="185"/>
  <c r="U170" i="185"/>
  <c r="O170" i="185"/>
  <c r="T170" i="185" s="1"/>
  <c r="L170" i="185"/>
  <c r="AB169" i="185"/>
  <c r="U169" i="185" s="1"/>
  <c r="O169" i="185" s="1"/>
  <c r="Y169" i="185" s="1"/>
  <c r="Z169" i="185" s="1"/>
  <c r="R169" i="185"/>
  <c r="L169" i="185"/>
  <c r="U168" i="185"/>
  <c r="O168" i="185" s="1"/>
  <c r="Y168" i="185" s="1"/>
  <c r="Z168" i="185" s="1"/>
  <c r="L168" i="185"/>
  <c r="U167" i="185"/>
  <c r="O167" i="185"/>
  <c r="Y167" i="185" s="1"/>
  <c r="Z167" i="185" s="1"/>
  <c r="L167" i="185"/>
  <c r="B166" i="185"/>
  <c r="U165" i="185"/>
  <c r="O165" i="185"/>
  <c r="Y165" i="185" s="1"/>
  <c r="L165" i="185"/>
  <c r="U164" i="185"/>
  <c r="O164" i="185" s="1"/>
  <c r="L164" i="185"/>
  <c r="B164" i="185"/>
  <c r="B165" i="185" s="1"/>
  <c r="L163" i="185"/>
  <c r="U162" i="185"/>
  <c r="O162" i="185" s="1"/>
  <c r="L162" i="185"/>
  <c r="AB161" i="185"/>
  <c r="AB163" i="185" s="1"/>
  <c r="U161" i="185"/>
  <c r="O161" i="185" s="1"/>
  <c r="L161" i="185"/>
  <c r="U160" i="185"/>
  <c r="O160" i="185"/>
  <c r="Y160" i="185" s="1"/>
  <c r="Z160" i="185" s="1"/>
  <c r="L160" i="185"/>
  <c r="U159" i="185"/>
  <c r="L159" i="185"/>
  <c r="B158" i="185"/>
  <c r="U157" i="185"/>
  <c r="O157" i="185" s="1"/>
  <c r="Y157" i="185" s="1"/>
  <c r="Z157" i="185" s="1"/>
  <c r="L157" i="185"/>
  <c r="U156" i="185"/>
  <c r="O156" i="185" s="1"/>
  <c r="Y156" i="185" s="1"/>
  <c r="Z156" i="185" s="1"/>
  <c r="L156" i="185"/>
  <c r="B156" i="185"/>
  <c r="B157" i="185" s="1"/>
  <c r="L155" i="185"/>
  <c r="U154" i="185"/>
  <c r="O154" i="185"/>
  <c r="T154" i="185" s="1"/>
  <c r="L154" i="185"/>
  <c r="AB153" i="185"/>
  <c r="L153" i="185"/>
  <c r="U152" i="185"/>
  <c r="O152" i="185" s="1"/>
  <c r="Y152" i="185" s="1"/>
  <c r="Z152" i="185" s="1"/>
  <c r="L152" i="185"/>
  <c r="U151" i="185"/>
  <c r="O151" i="185" s="1"/>
  <c r="T151" i="185" s="1"/>
  <c r="L151" i="185"/>
  <c r="B150" i="185"/>
  <c r="U149" i="185"/>
  <c r="O149" i="185" s="1"/>
  <c r="L149" i="185"/>
  <c r="U148" i="185"/>
  <c r="O148" i="185" s="1"/>
  <c r="L148" i="185"/>
  <c r="B148" i="185"/>
  <c r="B149" i="185" s="1"/>
  <c r="L147" i="185"/>
  <c r="U146" i="185"/>
  <c r="O146" i="185" s="1"/>
  <c r="L146" i="185"/>
  <c r="AB145" i="185"/>
  <c r="AB147" i="185" s="1"/>
  <c r="U147" i="185" s="1"/>
  <c r="O147" i="185" s="1"/>
  <c r="R147" i="185" s="1"/>
  <c r="U145" i="185"/>
  <c r="O145" i="185" s="1"/>
  <c r="T145" i="185" s="1"/>
  <c r="L145" i="185"/>
  <c r="U144" i="185"/>
  <c r="O144" i="185" s="1"/>
  <c r="T144" i="185" s="1"/>
  <c r="L144" i="185"/>
  <c r="U143" i="185"/>
  <c r="O143" i="185"/>
  <c r="T143" i="185" s="1"/>
  <c r="L143" i="185"/>
  <c r="B142" i="185"/>
  <c r="U141" i="185"/>
  <c r="O141" i="185" s="1"/>
  <c r="Y141" i="185" s="1"/>
  <c r="R141" i="185"/>
  <c r="L141" i="185"/>
  <c r="U140" i="185"/>
  <c r="O140" i="185" s="1"/>
  <c r="Y140" i="185" s="1"/>
  <c r="L140" i="185"/>
  <c r="B140" i="185"/>
  <c r="B141" i="185" s="1"/>
  <c r="L139" i="185"/>
  <c r="U138" i="185"/>
  <c r="O138" i="185"/>
  <c r="R138" i="185" s="1"/>
  <c r="L138" i="185"/>
  <c r="AB137" i="185"/>
  <c r="AB139" i="185" s="1"/>
  <c r="U139" i="185" s="1"/>
  <c r="U137" i="185"/>
  <c r="O137" i="185" s="1"/>
  <c r="R137" i="185" s="1"/>
  <c r="L137" i="185"/>
  <c r="U136" i="185"/>
  <c r="O136" i="185" s="1"/>
  <c r="T136" i="185" s="1"/>
  <c r="L136" i="185"/>
  <c r="U135" i="185"/>
  <c r="O135" i="185" s="1"/>
  <c r="Y135" i="185" s="1"/>
  <c r="L135" i="185"/>
  <c r="B134" i="185"/>
  <c r="U133" i="185"/>
  <c r="O133" i="185" s="1"/>
  <c r="L133" i="185"/>
  <c r="U132" i="185"/>
  <c r="O132" i="185" s="1"/>
  <c r="L132" i="185"/>
  <c r="B132" i="185"/>
  <c r="B133" i="185" s="1"/>
  <c r="AB131" i="185"/>
  <c r="U131" i="185" s="1"/>
  <c r="O131" i="185" s="1"/>
  <c r="L131" i="185"/>
  <c r="U130" i="185"/>
  <c r="L130" i="185"/>
  <c r="AB129" i="185"/>
  <c r="U129" i="185" s="1"/>
  <c r="O129" i="185" s="1"/>
  <c r="R129" i="185" s="1"/>
  <c r="L129" i="185"/>
  <c r="U128" i="185"/>
  <c r="O128" i="185" s="1"/>
  <c r="L128" i="185"/>
  <c r="U127" i="185"/>
  <c r="O127" i="185" s="1"/>
  <c r="Y127" i="185" s="1"/>
  <c r="Z127" i="185" s="1"/>
  <c r="L127" i="185"/>
  <c r="B126" i="185"/>
  <c r="U125" i="185"/>
  <c r="O125" i="185" s="1"/>
  <c r="L125" i="185"/>
  <c r="U124" i="185"/>
  <c r="O124" i="185" s="1"/>
  <c r="R124" i="185" s="1"/>
  <c r="L124" i="185"/>
  <c r="B124" i="185"/>
  <c r="B125" i="185" s="1"/>
  <c r="AB123" i="185"/>
  <c r="U123" i="185" s="1"/>
  <c r="O123" i="185" s="1"/>
  <c r="L123" i="185"/>
  <c r="U122" i="185"/>
  <c r="O122" i="185"/>
  <c r="R122" i="185" s="1"/>
  <c r="L122" i="185"/>
  <c r="AB121" i="185"/>
  <c r="U121" i="185" s="1"/>
  <c r="O121" i="185"/>
  <c r="L121" i="185"/>
  <c r="U120" i="185"/>
  <c r="O120" i="185" s="1"/>
  <c r="T120" i="185" s="1"/>
  <c r="L120" i="185"/>
  <c r="U119" i="185"/>
  <c r="O119" i="185" s="1"/>
  <c r="Y119" i="185" s="1"/>
  <c r="Z119" i="185" s="1"/>
  <c r="L119" i="185"/>
  <c r="B118" i="185"/>
  <c r="O117" i="185"/>
  <c r="U116" i="185"/>
  <c r="O116" i="185" s="1"/>
  <c r="Y116" i="185" s="1"/>
  <c r="Z116" i="185" s="1"/>
  <c r="L116" i="185"/>
  <c r="U115" i="185"/>
  <c r="O115" i="185" s="1"/>
  <c r="R115" i="185" s="1"/>
  <c r="Y115" i="185" s="1"/>
  <c r="L115" i="185"/>
  <c r="U114" i="185"/>
  <c r="O114" i="185"/>
  <c r="Y114" i="185" s="1"/>
  <c r="Z114" i="185" s="1"/>
  <c r="L114" i="185"/>
  <c r="U113" i="185"/>
  <c r="O113" i="185" s="1"/>
  <c r="L113" i="185"/>
  <c r="U112" i="185"/>
  <c r="O112" i="185" s="1"/>
  <c r="L112" i="185"/>
  <c r="B112" i="185"/>
  <c r="B113" i="185" s="1"/>
  <c r="B114" i="185" s="1"/>
  <c r="B115" i="185" s="1"/>
  <c r="L111" i="185"/>
  <c r="U110" i="185"/>
  <c r="O110" i="185" s="1"/>
  <c r="L110" i="185"/>
  <c r="AB109" i="185"/>
  <c r="L109" i="185"/>
  <c r="U108" i="185"/>
  <c r="O108" i="185" s="1"/>
  <c r="T108" i="185" s="1"/>
  <c r="L108" i="185"/>
  <c r="U107" i="185"/>
  <c r="O107" i="185" s="1"/>
  <c r="L107" i="185"/>
  <c r="B106" i="185"/>
  <c r="Y105" i="185"/>
  <c r="O105" i="185"/>
  <c r="U104" i="185"/>
  <c r="O104" i="185" s="1"/>
  <c r="L104" i="185"/>
  <c r="U103" i="185"/>
  <c r="O103" i="185" s="1"/>
  <c r="R103" i="185" s="1"/>
  <c r="Y103" i="185" s="1"/>
  <c r="L103" i="185"/>
  <c r="U102" i="185"/>
  <c r="O102" i="185" s="1"/>
  <c r="L102" i="185"/>
  <c r="U101" i="185"/>
  <c r="O101" i="185" s="1"/>
  <c r="L101" i="185"/>
  <c r="U100" i="185"/>
  <c r="O100" i="185" s="1"/>
  <c r="Y100" i="185" s="1"/>
  <c r="Z100" i="185" s="1"/>
  <c r="L100" i="185"/>
  <c r="B100" i="185"/>
  <c r="B101" i="185" s="1"/>
  <c r="B102" i="185" s="1"/>
  <c r="B103" i="185" s="1"/>
  <c r="AB99" i="185"/>
  <c r="U99" i="185" s="1"/>
  <c r="O99" i="185" s="1"/>
  <c r="L99" i="185"/>
  <c r="U98" i="185"/>
  <c r="O98" i="185" s="1"/>
  <c r="R98" i="185" s="1"/>
  <c r="L98" i="185"/>
  <c r="AB97" i="185"/>
  <c r="U97" i="185" s="1"/>
  <c r="O97" i="185" s="1"/>
  <c r="L97" i="185"/>
  <c r="U96" i="185"/>
  <c r="O96" i="185" s="1"/>
  <c r="Y96" i="185" s="1"/>
  <c r="Z96" i="185" s="1"/>
  <c r="L96" i="185"/>
  <c r="U95" i="185"/>
  <c r="O95" i="185" s="1"/>
  <c r="L95" i="185"/>
  <c r="B94" i="185"/>
  <c r="Y93" i="185"/>
  <c r="Z93" i="185" s="1"/>
  <c r="O93" i="185"/>
  <c r="U93" i="185" s="1"/>
  <c r="AC93" i="185" s="1"/>
  <c r="U92" i="185"/>
  <c r="O92" i="185" s="1"/>
  <c r="Y92" i="185" s="1"/>
  <c r="R92" i="185"/>
  <c r="L92" i="185"/>
  <c r="U91" i="185"/>
  <c r="O91" i="185" s="1"/>
  <c r="R91" i="185" s="1"/>
  <c r="Y91" i="185" s="1"/>
  <c r="L91" i="185"/>
  <c r="U90" i="185"/>
  <c r="O90" i="185" s="1"/>
  <c r="Y90" i="185" s="1"/>
  <c r="Z90" i="185" s="1"/>
  <c r="L90" i="185"/>
  <c r="U89" i="185"/>
  <c r="O89" i="185" s="1"/>
  <c r="L89" i="185"/>
  <c r="U88" i="185"/>
  <c r="O88" i="185"/>
  <c r="L88" i="185"/>
  <c r="B88" i="185"/>
  <c r="B89" i="185" s="1"/>
  <c r="B90" i="185" s="1"/>
  <c r="B92" i="185" s="1"/>
  <c r="L87" i="185"/>
  <c r="U86" i="185"/>
  <c r="O86" i="185" s="1"/>
  <c r="L86" i="185"/>
  <c r="AB85" i="185"/>
  <c r="AB87" i="185" s="1"/>
  <c r="U85" i="185"/>
  <c r="O85" i="185" s="1"/>
  <c r="L85" i="185"/>
  <c r="U84" i="185"/>
  <c r="O84" i="185" s="1"/>
  <c r="L84" i="185"/>
  <c r="U83" i="185"/>
  <c r="O83" i="185" s="1"/>
  <c r="L83" i="185"/>
  <c r="B82" i="185"/>
  <c r="O81" i="185"/>
  <c r="U81" i="185" s="1"/>
  <c r="AC81" i="185" s="1"/>
  <c r="U80" i="185"/>
  <c r="O80" i="185" s="1"/>
  <c r="Y80" i="185" s="1"/>
  <c r="Z80" i="185" s="1"/>
  <c r="R80" i="185"/>
  <c r="L80" i="185"/>
  <c r="U79" i="185"/>
  <c r="O79" i="185" s="1"/>
  <c r="R79" i="185" s="1"/>
  <c r="Y79" i="185" s="1"/>
  <c r="L79" i="185"/>
  <c r="U78" i="185"/>
  <c r="O78" i="185" s="1"/>
  <c r="V78" i="185" s="1"/>
  <c r="L78" i="185"/>
  <c r="U77" i="185"/>
  <c r="O77" i="185" s="1"/>
  <c r="Y77" i="185" s="1"/>
  <c r="Z77" i="185" s="1"/>
  <c r="L77" i="185"/>
  <c r="B77" i="185"/>
  <c r="B78" i="185" s="1"/>
  <c r="B79" i="185" s="1"/>
  <c r="U76" i="185"/>
  <c r="O76" i="185" s="1"/>
  <c r="Y76" i="185" s="1"/>
  <c r="L76" i="185"/>
  <c r="B76" i="185"/>
  <c r="L75" i="185"/>
  <c r="U74" i="185"/>
  <c r="O74" i="185" s="1"/>
  <c r="T74" i="185" s="1"/>
  <c r="L74" i="185"/>
  <c r="AB73" i="185"/>
  <c r="AB75" i="185" s="1"/>
  <c r="AB82" i="185" s="1"/>
  <c r="L73" i="185"/>
  <c r="U72" i="185"/>
  <c r="O72" i="185" s="1"/>
  <c r="Y72" i="185" s="1"/>
  <c r="Z72" i="185" s="1"/>
  <c r="L72" i="185"/>
  <c r="U71" i="185"/>
  <c r="O71" i="185" s="1"/>
  <c r="L71" i="185"/>
  <c r="B70" i="185"/>
  <c r="Y69" i="185"/>
  <c r="O69" i="185"/>
  <c r="U69" i="185" s="1"/>
  <c r="AC69" i="185" s="1"/>
  <c r="U68" i="185"/>
  <c r="O68" i="185" s="1"/>
  <c r="Y68" i="185" s="1"/>
  <c r="Z68" i="185" s="1"/>
  <c r="L68" i="185"/>
  <c r="U67" i="185"/>
  <c r="O67" i="185" s="1"/>
  <c r="R67" i="185" s="1"/>
  <c r="Y67" i="185" s="1"/>
  <c r="Z67" i="185" s="1"/>
  <c r="L67" i="185"/>
  <c r="U66" i="185"/>
  <c r="O66" i="185" s="1"/>
  <c r="V66" i="185" s="1"/>
  <c r="L66" i="185"/>
  <c r="U65" i="185"/>
  <c r="O65" i="185" s="1"/>
  <c r="Y65" i="185" s="1"/>
  <c r="Z65" i="185" s="1"/>
  <c r="L65" i="185"/>
  <c r="U64" i="185"/>
  <c r="O64" i="185" s="1"/>
  <c r="Y64" i="185" s="1"/>
  <c r="Z64" i="185" s="1"/>
  <c r="L64" i="185"/>
  <c r="B64" i="185"/>
  <c r="B65" i="185" s="1"/>
  <c r="B66" i="185" s="1"/>
  <c r="B67" i="185" s="1"/>
  <c r="L63" i="185"/>
  <c r="U62" i="185"/>
  <c r="O62" i="185" s="1"/>
  <c r="L62" i="185"/>
  <c r="AB61" i="185"/>
  <c r="AB63" i="185" s="1"/>
  <c r="U63" i="185" s="1"/>
  <c r="O63" i="185" s="1"/>
  <c r="U61" i="185"/>
  <c r="O61" i="185" s="1"/>
  <c r="L61" i="185"/>
  <c r="U60" i="185"/>
  <c r="O60" i="185" s="1"/>
  <c r="Y60" i="185" s="1"/>
  <c r="Z60" i="185" s="1"/>
  <c r="L60" i="185"/>
  <c r="U59" i="185"/>
  <c r="O59" i="185" s="1"/>
  <c r="L59" i="185"/>
  <c r="B58" i="185"/>
  <c r="O57" i="185"/>
  <c r="U57" i="185" s="1"/>
  <c r="AC57" i="185" s="1"/>
  <c r="U56" i="185"/>
  <c r="O56" i="185" s="1"/>
  <c r="Y56" i="185" s="1"/>
  <c r="Z56" i="185" s="1"/>
  <c r="L56" i="185"/>
  <c r="U55" i="185"/>
  <c r="O55" i="185" s="1"/>
  <c r="R55" i="185" s="1"/>
  <c r="Y55" i="185" s="1"/>
  <c r="Z55" i="185" s="1"/>
  <c r="L55" i="185"/>
  <c r="U54" i="185"/>
  <c r="O54" i="185" s="1"/>
  <c r="L54" i="185"/>
  <c r="U53" i="185"/>
  <c r="O53" i="185" s="1"/>
  <c r="L53" i="185"/>
  <c r="U52" i="185"/>
  <c r="O52" i="185" s="1"/>
  <c r="Y52" i="185" s="1"/>
  <c r="L52" i="185"/>
  <c r="L51" i="185"/>
  <c r="U50" i="185"/>
  <c r="O50" i="185" s="1"/>
  <c r="T50" i="185" s="1"/>
  <c r="L50" i="185"/>
  <c r="AB49" i="185"/>
  <c r="U49" i="185" s="1"/>
  <c r="O49" i="185" s="1"/>
  <c r="R49" i="185" s="1"/>
  <c r="L49" i="185"/>
  <c r="U48" i="185"/>
  <c r="O48" i="185" s="1"/>
  <c r="T48" i="185" s="1"/>
  <c r="L48" i="185"/>
  <c r="U47" i="185"/>
  <c r="O47" i="185" s="1"/>
  <c r="T47" i="185" s="1"/>
  <c r="L47" i="185"/>
  <c r="B46" i="185"/>
  <c r="AB45" i="185"/>
  <c r="O45" i="185"/>
  <c r="L45" i="185"/>
  <c r="U44" i="185"/>
  <c r="O44" i="185" s="1"/>
  <c r="Y44" i="185" s="1"/>
  <c r="L44" i="185"/>
  <c r="U43" i="185"/>
  <c r="O43" i="185" s="1"/>
  <c r="L43" i="185"/>
  <c r="AB42" i="185"/>
  <c r="U42" i="185" s="1"/>
  <c r="L42" i="185"/>
  <c r="U41" i="185"/>
  <c r="O41" i="185" s="1"/>
  <c r="L41" i="185"/>
  <c r="U40" i="185"/>
  <c r="O40" i="185" s="1"/>
  <c r="Y40" i="185" s="1"/>
  <c r="L40" i="185"/>
  <c r="B39" i="185"/>
  <c r="O38" i="185"/>
  <c r="U38" i="185" s="1"/>
  <c r="AC38" i="185" s="1"/>
  <c r="U37" i="185"/>
  <c r="O37" i="185" s="1"/>
  <c r="R37" i="185"/>
  <c r="L37" i="185"/>
  <c r="AJ37" i="185" s="1"/>
  <c r="U36" i="185"/>
  <c r="O36" i="185" s="1"/>
  <c r="R36" i="185" s="1"/>
  <c r="Y36" i="185" s="1"/>
  <c r="L36" i="185"/>
  <c r="U35" i="185"/>
  <c r="O35" i="185" s="1"/>
  <c r="L35" i="185"/>
  <c r="AK35" i="185" s="1"/>
  <c r="U34" i="185"/>
  <c r="O34" i="185" s="1"/>
  <c r="Y34" i="185" s="1"/>
  <c r="L34" i="185"/>
  <c r="U33" i="185"/>
  <c r="O33" i="185" s="1"/>
  <c r="L33" i="185"/>
  <c r="L32" i="185"/>
  <c r="U31" i="185"/>
  <c r="O31" i="185" s="1"/>
  <c r="AJ31" i="185" s="1"/>
  <c r="L31" i="185"/>
  <c r="AB30" i="185"/>
  <c r="U30" i="185" s="1"/>
  <c r="L30" i="185"/>
  <c r="U29" i="185"/>
  <c r="O29" i="185" s="1"/>
  <c r="L29" i="185"/>
  <c r="AJ29" i="185" s="1"/>
  <c r="U28" i="185"/>
  <c r="O28" i="185" s="1"/>
  <c r="Y28" i="185" s="1"/>
  <c r="L28" i="185"/>
  <c r="B27" i="185"/>
  <c r="AB26" i="185"/>
  <c r="U26" i="185" s="1"/>
  <c r="O26" i="185" s="1"/>
  <c r="L26" i="185"/>
  <c r="AJ26" i="185" s="1"/>
  <c r="AB25" i="185"/>
  <c r="U25" i="185"/>
  <c r="O25" i="185" s="1"/>
  <c r="L25" i="185"/>
  <c r="AL25" i="185" s="1"/>
  <c r="AB24" i="185"/>
  <c r="U24" i="185"/>
  <c r="O24" i="185" s="1"/>
  <c r="AJ24" i="185" s="1"/>
  <c r="L24" i="185"/>
  <c r="L23" i="185"/>
  <c r="AB22" i="185"/>
  <c r="AB23" i="185" s="1"/>
  <c r="U23" i="185" s="1"/>
  <c r="O23" i="185" s="1"/>
  <c r="AL23" i="185" s="1"/>
  <c r="U22" i="185"/>
  <c r="O22" i="185" s="1"/>
  <c r="AK22" i="185" s="1"/>
  <c r="L22" i="185"/>
  <c r="AB21" i="185"/>
  <c r="U21" i="185"/>
  <c r="O21" i="185" s="1"/>
  <c r="T21" i="185" s="1"/>
  <c r="L21" i="185"/>
  <c r="B20" i="185"/>
  <c r="O19" i="185"/>
  <c r="R19" i="185" s="1"/>
  <c r="L19" i="185"/>
  <c r="AL19" i="185" s="1"/>
  <c r="AP19" i="185" s="1"/>
  <c r="U18" i="185"/>
  <c r="O18" i="185" s="1"/>
  <c r="Y18" i="185" s="1"/>
  <c r="L18" i="185"/>
  <c r="AB17" i="185"/>
  <c r="U17" i="185" s="1"/>
  <c r="L17" i="185"/>
  <c r="U16" i="185"/>
  <c r="O16" i="185" s="1"/>
  <c r="L16" i="185"/>
  <c r="U15" i="185"/>
  <c r="O15" i="185" s="1"/>
  <c r="L15" i="185"/>
  <c r="U14" i="185"/>
  <c r="O14" i="185" s="1"/>
  <c r="AK14" i="185" s="1"/>
  <c r="AO14" i="185" s="1"/>
  <c r="L14" i="185"/>
  <c r="AB13" i="185"/>
  <c r="U13" i="185" s="1"/>
  <c r="O13" i="185" s="1"/>
  <c r="L13" i="185"/>
  <c r="AB12" i="185"/>
  <c r="U12" i="185"/>
  <c r="O12" i="185" s="1"/>
  <c r="AK12" i="185" s="1"/>
  <c r="AO12" i="185" s="1"/>
  <c r="L12" i="185"/>
  <c r="AB11" i="185"/>
  <c r="U11" i="185" s="1"/>
  <c r="O11" i="185" s="1"/>
  <c r="L11" i="185"/>
  <c r="AK11" i="185" s="1"/>
  <c r="AO11" i="185" s="1"/>
  <c r="U10" i="185"/>
  <c r="O10" i="185" s="1"/>
  <c r="L10" i="185"/>
  <c r="U9" i="185"/>
  <c r="O9" i="185" s="1"/>
  <c r="L9" i="185"/>
  <c r="AJ9" i="185" s="1"/>
  <c r="AN9" i="185" s="1"/>
  <c r="Y7" i="185"/>
  <c r="Z7" i="185" s="1"/>
  <c r="O7" i="185"/>
  <c r="U7" i="185" s="1"/>
  <c r="L7" i="185"/>
  <c r="AJ7" i="185" s="1"/>
  <c r="AN7" i="185" s="1"/>
  <c r="Y6" i="185"/>
  <c r="Z6" i="185" s="1"/>
  <c r="U6" i="185"/>
  <c r="T6" i="185"/>
  <c r="L6" i="185"/>
  <c r="AK6" i="185" s="1"/>
  <c r="AO6" i="185" s="1"/>
  <c r="U5" i="185"/>
  <c r="O5" i="185"/>
  <c r="T5" i="185" s="1"/>
  <c r="L5" i="185"/>
  <c r="AJ5" i="185" s="1"/>
  <c r="AN5" i="185" s="1"/>
  <c r="O4" i="185"/>
  <c r="Y4" i="185" s="1"/>
  <c r="Z4" i="185" s="1"/>
  <c r="L4" i="185"/>
  <c r="AK4" i="185" s="1"/>
  <c r="AO4" i="185" s="1"/>
  <c r="O3" i="185"/>
  <c r="T3" i="185" s="1"/>
  <c r="L3" i="185"/>
  <c r="AJ3" i="185" s="1"/>
  <c r="AN3" i="185" s="1"/>
  <c r="AJ13" i="185" l="1"/>
  <c r="AN13" i="185" s="1"/>
  <c r="AL33" i="185"/>
  <c r="AL13" i="185"/>
  <c r="AP13" i="185" s="1"/>
  <c r="AJ10" i="185"/>
  <c r="AN10" i="185" s="1"/>
  <c r="AJ14" i="185"/>
  <c r="AN14" i="185" s="1"/>
  <c r="AJ25" i="185"/>
  <c r="AL29" i="185"/>
  <c r="AK37" i="185"/>
  <c r="AL3" i="185"/>
  <c r="AP3" i="185" s="1"/>
  <c r="AL7" i="185"/>
  <c r="AP7" i="185" s="1"/>
  <c r="AL24" i="185"/>
  <c r="AK3" i="185"/>
  <c r="AO3" i="185" s="1"/>
  <c r="AK24" i="185"/>
  <c r="AJ11" i="185"/>
  <c r="AN11" i="185" s="1"/>
  <c r="AJ22" i="185"/>
  <c r="AK26" i="185"/>
  <c r="AL31" i="185"/>
  <c r="AJ35" i="185"/>
  <c r="T60" i="185"/>
  <c r="AL5" i="185"/>
  <c r="AP5" i="185" s="1"/>
  <c r="AK31" i="185"/>
  <c r="Y50" i="185"/>
  <c r="Z50" i="185" s="1"/>
  <c r="R44" i="185"/>
  <c r="AK5" i="185"/>
  <c r="AO5" i="185" s="1"/>
  <c r="AL11" i="185"/>
  <c r="AP11" i="185" s="1"/>
  <c r="AJ34" i="185"/>
  <c r="AK34" i="185"/>
  <c r="AK9" i="185"/>
  <c r="AO9" i="185" s="1"/>
  <c r="AJ6" i="185"/>
  <c r="AN6" i="185" s="1"/>
  <c r="AJ18" i="185"/>
  <c r="AN18" i="185" s="1"/>
  <c r="AL36" i="185"/>
  <c r="R15" i="185"/>
  <c r="AL15" i="185"/>
  <c r="AP15" i="185" s="1"/>
  <c r="AJ15" i="185"/>
  <c r="AN15" i="185" s="1"/>
  <c r="AK15" i="185"/>
  <c r="AO15" i="185" s="1"/>
  <c r="V16" i="185"/>
  <c r="AK16" i="185"/>
  <c r="AO16" i="185" s="1"/>
  <c r="AJ16" i="185"/>
  <c r="AN16" i="185" s="1"/>
  <c r="AL16" i="185"/>
  <c r="AP16" i="185" s="1"/>
  <c r="AA103" i="185"/>
  <c r="Z103" i="185"/>
  <c r="AL10" i="185"/>
  <c r="AP10" i="185" s="1"/>
  <c r="AL12" i="185"/>
  <c r="AP12" i="185" s="1"/>
  <c r="AK23" i="185"/>
  <c r="AK19" i="185"/>
  <c r="AO19" i="185" s="1"/>
  <c r="AJ4" i="185"/>
  <c r="AN4" i="185" s="1"/>
  <c r="AK10" i="185"/>
  <c r="AO10" i="185" s="1"/>
  <c r="AJ23" i="185"/>
  <c r="AJ33" i="185"/>
  <c r="R77" i="185"/>
  <c r="AA77" i="185" s="1"/>
  <c r="R140" i="185"/>
  <c r="AA140" i="185" s="1"/>
  <c r="T167" i="185"/>
  <c r="AL4" i="185"/>
  <c r="AP4" i="185" s="1"/>
  <c r="AL9" i="185"/>
  <c r="AP9" i="185" s="1"/>
  <c r="AL14" i="185"/>
  <c r="AP14" i="185" s="1"/>
  <c r="AJ12" i="185"/>
  <c r="AN12" i="185" s="1"/>
  <c r="AK25" i="185"/>
  <c r="AL22" i="185"/>
  <c r="AJ28" i="185"/>
  <c r="AK33" i="185"/>
  <c r="AJ36" i="185"/>
  <c r="AB27" i="185"/>
  <c r="AL35" i="185"/>
  <c r="Y37" i="185"/>
  <c r="AA37" i="185" s="1"/>
  <c r="R64" i="185"/>
  <c r="AJ21" i="185"/>
  <c r="AK28" i="185"/>
  <c r="AK36" i="185"/>
  <c r="AK21" i="185"/>
  <c r="AL28" i="185"/>
  <c r="R50" i="185"/>
  <c r="Y147" i="185"/>
  <c r="AL6" i="185"/>
  <c r="AP6" i="185" s="1"/>
  <c r="AK13" i="185"/>
  <c r="AO13" i="185" s="1"/>
  <c r="AL26" i="185"/>
  <c r="AK29" i="185"/>
  <c r="AL34" i="185"/>
  <c r="AL21" i="185"/>
  <c r="T129" i="185"/>
  <c r="U142" i="185"/>
  <c r="AK18" i="185"/>
  <c r="AO18" i="185" s="1"/>
  <c r="T180" i="185"/>
  <c r="Y180" i="185"/>
  <c r="Z180" i="185" s="1"/>
  <c r="Y104" i="185"/>
  <c r="Z104" i="185" s="1"/>
  <c r="R104" i="185"/>
  <c r="Y112" i="185"/>
  <c r="R112" i="185"/>
  <c r="R173" i="185"/>
  <c r="Y173" i="185"/>
  <c r="Z173" i="185" s="1"/>
  <c r="Y102" i="185"/>
  <c r="Z102" i="185" s="1"/>
  <c r="V102" i="185"/>
  <c r="R102" i="185"/>
  <c r="Z140" i="185"/>
  <c r="Y164" i="185"/>
  <c r="Z164" i="185" s="1"/>
  <c r="R164" i="185"/>
  <c r="Y162" i="185"/>
  <c r="Z162" i="185" s="1"/>
  <c r="T162" i="185"/>
  <c r="R162" i="185"/>
  <c r="R110" i="185"/>
  <c r="Y110" i="185"/>
  <c r="T110" i="185"/>
  <c r="T190" i="185"/>
  <c r="R190" i="185"/>
  <c r="Y190" i="185"/>
  <c r="Z190" i="185" s="1"/>
  <c r="T95" i="185"/>
  <c r="Y95" i="185"/>
  <c r="Z95" i="185" s="1"/>
  <c r="Y101" i="185"/>
  <c r="Z101" i="185" s="1"/>
  <c r="R101" i="185"/>
  <c r="Y184" i="185"/>
  <c r="Z184" i="185" s="1"/>
  <c r="T184" i="185"/>
  <c r="T31" i="185"/>
  <c r="Y31" i="185"/>
  <c r="Z31" i="185" s="1"/>
  <c r="Y113" i="185"/>
  <c r="R113" i="185"/>
  <c r="R125" i="185"/>
  <c r="Y125" i="185"/>
  <c r="Z125" i="185" s="1"/>
  <c r="T107" i="185"/>
  <c r="Y107" i="185"/>
  <c r="Z107" i="185" s="1"/>
  <c r="Y179" i="185"/>
  <c r="Z179" i="185" s="1"/>
  <c r="T179" i="185"/>
  <c r="Y108" i="185"/>
  <c r="Z108" i="185" s="1"/>
  <c r="Y120" i="185"/>
  <c r="Z120" i="185" s="1"/>
  <c r="Y124" i="185"/>
  <c r="Z124" i="185" s="1"/>
  <c r="Y19" i="185"/>
  <c r="U3" i="185"/>
  <c r="R38" i="185"/>
  <c r="Y47" i="185"/>
  <c r="T98" i="185"/>
  <c r="R100" i="185"/>
  <c r="AA100" i="185" s="1"/>
  <c r="R114" i="185"/>
  <c r="AA114" i="185" s="1"/>
  <c r="R116" i="185"/>
  <c r="AA116" i="185" s="1"/>
  <c r="R170" i="185"/>
  <c r="T122" i="185"/>
  <c r="Y122" i="185"/>
  <c r="Y5" i="185"/>
  <c r="Z5" i="185" s="1"/>
  <c r="T119" i="185"/>
  <c r="T138" i="185"/>
  <c r="Y3" i="185"/>
  <c r="Y15" i="185"/>
  <c r="AB32" i="185"/>
  <c r="U32" i="185" s="1"/>
  <c r="O32" i="185" s="1"/>
  <c r="Y38" i="185"/>
  <c r="AA38" i="185" s="1"/>
  <c r="R56" i="185"/>
  <c r="AB70" i="185"/>
  <c r="U73" i="185"/>
  <c r="O73" i="185" s="1"/>
  <c r="R73" i="185" s="1"/>
  <c r="Y151" i="185"/>
  <c r="Z151" i="185" s="1"/>
  <c r="R57" i="185"/>
  <c r="U19" i="185"/>
  <c r="AC19" i="185" s="1"/>
  <c r="R76" i="185"/>
  <c r="AA76" i="185" s="1"/>
  <c r="Y98" i="185"/>
  <c r="Z98" i="185" s="1"/>
  <c r="V114" i="185"/>
  <c r="O139" i="185"/>
  <c r="R139" i="185" s="1"/>
  <c r="Y170" i="185"/>
  <c r="Z170" i="185" s="1"/>
  <c r="Y182" i="185"/>
  <c r="AA182" i="185" s="1"/>
  <c r="O193" i="185"/>
  <c r="U193" i="185" s="1"/>
  <c r="AC193" i="185" s="1"/>
  <c r="Y16" i="185"/>
  <c r="Z16" i="185" s="1"/>
  <c r="R52" i="185"/>
  <c r="AA52" i="185" s="1"/>
  <c r="Y57" i="185"/>
  <c r="R66" i="185"/>
  <c r="T72" i="185"/>
  <c r="T135" i="185"/>
  <c r="Y144" i="185"/>
  <c r="Z144" i="185" s="1"/>
  <c r="Z52" i="185"/>
  <c r="T12" i="185"/>
  <c r="R12" i="185"/>
  <c r="Y12" i="185"/>
  <c r="AA44" i="185"/>
  <c r="Z44" i="185"/>
  <c r="Y63" i="185"/>
  <c r="R63" i="185"/>
  <c r="R23" i="185"/>
  <c r="Y23" i="185"/>
  <c r="R26" i="185"/>
  <c r="Y26" i="185"/>
  <c r="R41" i="185"/>
  <c r="Y41" i="185"/>
  <c r="T41" i="185"/>
  <c r="R22" i="185"/>
  <c r="Y22" i="185"/>
  <c r="T22" i="185"/>
  <c r="T27" i="185" s="1"/>
  <c r="U20" i="185"/>
  <c r="O17" i="185"/>
  <c r="Z18" i="185"/>
  <c r="T29" i="185"/>
  <c r="Y29" i="185"/>
  <c r="Z29" i="185" s="1"/>
  <c r="R13" i="185"/>
  <c r="Y13" i="185"/>
  <c r="AA36" i="185"/>
  <c r="Z36" i="185"/>
  <c r="O20" i="185"/>
  <c r="T10" i="185"/>
  <c r="Y10" i="185"/>
  <c r="Z10" i="185" s="1"/>
  <c r="R24" i="185"/>
  <c r="Y24" i="185"/>
  <c r="U39" i="185"/>
  <c r="O30" i="185"/>
  <c r="Y33" i="185"/>
  <c r="R33" i="185"/>
  <c r="O42" i="185"/>
  <c r="R25" i="185"/>
  <c r="Y25" i="185"/>
  <c r="Y35" i="185"/>
  <c r="V35" i="185"/>
  <c r="R35" i="185"/>
  <c r="AA15" i="185"/>
  <c r="Z79" i="185"/>
  <c r="AA79" i="185"/>
  <c r="Y61" i="185"/>
  <c r="T61" i="185"/>
  <c r="R61" i="185"/>
  <c r="R11" i="185"/>
  <c r="T11" i="185"/>
  <c r="Y11" i="185"/>
  <c r="R14" i="185"/>
  <c r="Y14" i="185"/>
  <c r="Z34" i="185"/>
  <c r="R43" i="185"/>
  <c r="Y43" i="185"/>
  <c r="T97" i="185"/>
  <c r="R97" i="185"/>
  <c r="Y97" i="185"/>
  <c r="Y62" i="185"/>
  <c r="R62" i="185"/>
  <c r="Z15" i="185"/>
  <c r="Y21" i="185"/>
  <c r="R34" i="185"/>
  <c r="AA34" i="185" s="1"/>
  <c r="Z45" i="185"/>
  <c r="R45" i="185"/>
  <c r="AA45" i="185" s="1"/>
  <c r="T49" i="185"/>
  <c r="T58" i="185" s="1"/>
  <c r="Y54" i="185"/>
  <c r="R54" i="185"/>
  <c r="U75" i="185"/>
  <c r="O75" i="185" s="1"/>
  <c r="Y78" i="185"/>
  <c r="Z92" i="185"/>
  <c r="AA92" i="185"/>
  <c r="U126" i="185"/>
  <c r="Y139" i="185"/>
  <c r="O188" i="185"/>
  <c r="U27" i="185"/>
  <c r="T28" i="185"/>
  <c r="AB39" i="185"/>
  <c r="U45" i="185"/>
  <c r="AC45" i="185" s="1"/>
  <c r="Z47" i="185"/>
  <c r="Y49" i="185"/>
  <c r="AA55" i="185"/>
  <c r="U70" i="185"/>
  <c r="U153" i="185"/>
  <c r="O153" i="185" s="1"/>
  <c r="AB155" i="185"/>
  <c r="U155" i="185" s="1"/>
  <c r="O155" i="185" s="1"/>
  <c r="Y161" i="185"/>
  <c r="R161" i="185"/>
  <c r="T161" i="185"/>
  <c r="AA173" i="185"/>
  <c r="T186" i="185"/>
  <c r="R186" i="185"/>
  <c r="Y186" i="185"/>
  <c r="T9" i="185"/>
  <c r="T62" i="185"/>
  <c r="Z3" i="185"/>
  <c r="O8" i="185"/>
  <c r="Y9" i="185"/>
  <c r="AB20" i="185"/>
  <c r="V54" i="185"/>
  <c r="Y59" i="185"/>
  <c r="T59" i="185"/>
  <c r="AA64" i="185"/>
  <c r="R69" i="185"/>
  <c r="AA69" i="185" s="1"/>
  <c r="Y74" i="185"/>
  <c r="R74" i="185"/>
  <c r="AA80" i="185"/>
  <c r="Y84" i="185"/>
  <c r="Z84" i="185" s="1"/>
  <c r="T84" i="185"/>
  <c r="R88" i="185"/>
  <c r="Y88" i="185"/>
  <c r="AA115" i="185"/>
  <c r="Z115" i="185"/>
  <c r="AA141" i="185"/>
  <c r="Z141" i="185"/>
  <c r="T177" i="185"/>
  <c r="Y177" i="185"/>
  <c r="R177" i="185"/>
  <c r="R123" i="185"/>
  <c r="Y123" i="185"/>
  <c r="Z69" i="185"/>
  <c r="Y86" i="185"/>
  <c r="T86" i="185"/>
  <c r="R86" i="185"/>
  <c r="B91" i="185"/>
  <c r="U105" i="185"/>
  <c r="AC105" i="185" s="1"/>
  <c r="R105" i="185"/>
  <c r="AA105" i="185" s="1"/>
  <c r="U109" i="185"/>
  <c r="O109" i="185" s="1"/>
  <c r="AB111" i="185"/>
  <c r="U111" i="185" s="1"/>
  <c r="O111" i="185" s="1"/>
  <c r="R148" i="185"/>
  <c r="Y148" i="185"/>
  <c r="AB166" i="185"/>
  <c r="U163" i="185"/>
  <c r="O163" i="185" s="1"/>
  <c r="R172" i="185"/>
  <c r="Y172" i="185"/>
  <c r="T4" i="185"/>
  <c r="R16" i="185"/>
  <c r="AA16" i="185" s="1"/>
  <c r="AB46" i="185"/>
  <c r="Y53" i="185"/>
  <c r="R53" i="185"/>
  <c r="AA67" i="185"/>
  <c r="Z105" i="185"/>
  <c r="Y128" i="185"/>
  <c r="T128" i="185"/>
  <c r="Y133" i="185"/>
  <c r="R133" i="185"/>
  <c r="T146" i="185"/>
  <c r="T150" i="185" s="1"/>
  <c r="R146" i="185"/>
  <c r="U150" i="185"/>
  <c r="Y175" i="185"/>
  <c r="T175" i="185"/>
  <c r="R18" i="185"/>
  <c r="AA18" i="185" s="1"/>
  <c r="R31" i="185"/>
  <c r="R40" i="185"/>
  <c r="AA40" i="185" s="1"/>
  <c r="Y73" i="185"/>
  <c r="T73" i="185"/>
  <c r="R21" i="185"/>
  <c r="O27" i="185"/>
  <c r="V27" i="185" s="1"/>
  <c r="T40" i="185"/>
  <c r="T46" i="185" s="1"/>
  <c r="Y48" i="185"/>
  <c r="Z48" i="185" s="1"/>
  <c r="AB51" i="185"/>
  <c r="U51" i="185" s="1"/>
  <c r="O51" i="185" s="1"/>
  <c r="Y66" i="185"/>
  <c r="Y71" i="185"/>
  <c r="T71" i="185"/>
  <c r="R81" i="185"/>
  <c r="Y85" i="185"/>
  <c r="T85" i="185"/>
  <c r="R89" i="185"/>
  <c r="Y89" i="185"/>
  <c r="Z91" i="185"/>
  <c r="AA91" i="185"/>
  <c r="Z122" i="185"/>
  <c r="AA122" i="185"/>
  <c r="Y146" i="185"/>
  <c r="AA196" i="185"/>
  <c r="Y83" i="185"/>
  <c r="T83" i="185"/>
  <c r="T121" i="185"/>
  <c r="R121" i="185"/>
  <c r="Y121" i="185"/>
  <c r="R145" i="185"/>
  <c r="Y145" i="185"/>
  <c r="Z28" i="185"/>
  <c r="AA56" i="185"/>
  <c r="U4" i="185"/>
  <c r="T7" i="185"/>
  <c r="R65" i="185"/>
  <c r="AA65" i="185" s="1"/>
  <c r="R68" i="185"/>
  <c r="AA68" i="185" s="1"/>
  <c r="O70" i="185"/>
  <c r="Z76" i="185"/>
  <c r="R78" i="185"/>
  <c r="Y81" i="185"/>
  <c r="R85" i="185"/>
  <c r="R99" i="185"/>
  <c r="Y99" i="185"/>
  <c r="Y131" i="185"/>
  <c r="R131" i="185"/>
  <c r="Y136" i="185"/>
  <c r="Z136" i="185" s="1"/>
  <c r="R149" i="185"/>
  <c r="Y149" i="185"/>
  <c r="T160" i="185"/>
  <c r="O130" i="185"/>
  <c r="U134" i="185"/>
  <c r="AB134" i="185"/>
  <c r="R157" i="185"/>
  <c r="AA157" i="185" s="1"/>
  <c r="T169" i="185"/>
  <c r="O183" i="185"/>
  <c r="AE185" i="185"/>
  <c r="Y185" i="185"/>
  <c r="T185" i="185"/>
  <c r="R185" i="185"/>
  <c r="T152" i="185"/>
  <c r="Y154" i="185"/>
  <c r="R154" i="185"/>
  <c r="T176" i="185"/>
  <c r="Y176" i="185"/>
  <c r="Z176" i="185" s="1"/>
  <c r="AE177" i="185"/>
  <c r="Z194" i="185"/>
  <c r="R194" i="185"/>
  <c r="AA194" i="185" s="1"/>
  <c r="R90" i="185"/>
  <c r="AA90" i="185" s="1"/>
  <c r="V90" i="185"/>
  <c r="AB106" i="185"/>
  <c r="AA101" i="185"/>
  <c r="O106" i="185"/>
  <c r="U117" i="185"/>
  <c r="AC117" i="185" s="1"/>
  <c r="R117" i="185"/>
  <c r="AB126" i="185"/>
  <c r="AA125" i="185"/>
  <c r="O134" i="185"/>
  <c r="T127" i="185"/>
  <c r="Y132" i="185"/>
  <c r="R132" i="185"/>
  <c r="AA147" i="185"/>
  <c r="AA169" i="185"/>
  <c r="U181" i="185"/>
  <c r="AD181" i="185"/>
  <c r="U189" i="185"/>
  <c r="O189" i="185" s="1"/>
  <c r="AD189" i="185"/>
  <c r="R93" i="185"/>
  <c r="AA93" i="185" s="1"/>
  <c r="T96" i="185"/>
  <c r="Y117" i="185"/>
  <c r="Y129" i="185"/>
  <c r="Z135" i="185"/>
  <c r="Y137" i="185"/>
  <c r="T137" i="185"/>
  <c r="Y138" i="185"/>
  <c r="Z147" i="185"/>
  <c r="AB150" i="185"/>
  <c r="O159" i="185"/>
  <c r="R165" i="185"/>
  <c r="AA165" i="185" s="1"/>
  <c r="T168" i="185"/>
  <c r="R191" i="185"/>
  <c r="AA191" i="185" s="1"/>
  <c r="U87" i="185"/>
  <c r="O87" i="185" s="1"/>
  <c r="O94" i="185" s="1"/>
  <c r="AB94" i="185"/>
  <c r="O126" i="185"/>
  <c r="V126" i="185" s="1"/>
  <c r="R156" i="185"/>
  <c r="AA156" i="185" s="1"/>
  <c r="AB171" i="185"/>
  <c r="U171" i="185" s="1"/>
  <c r="O171" i="185" s="1"/>
  <c r="O174" i="185" s="1"/>
  <c r="AB174" i="185"/>
  <c r="Y178" i="185"/>
  <c r="T178" i="185"/>
  <c r="T182" i="185"/>
  <c r="Y187" i="185"/>
  <c r="Z187" i="185" s="1"/>
  <c r="AA104" i="185"/>
  <c r="Y143" i="185"/>
  <c r="O150" i="185"/>
  <c r="Z165" i="185"/>
  <c r="AB142" i="185"/>
  <c r="AC142" i="185" s="1"/>
  <c r="O196" i="185"/>
  <c r="U196" i="185" s="1"/>
  <c r="R193" i="185" l="1"/>
  <c r="Z193" i="185"/>
  <c r="O142" i="185"/>
  <c r="V142" i="185" s="1"/>
  <c r="AC70" i="185"/>
  <c r="Z37" i="185"/>
  <c r="AA50" i="185"/>
  <c r="AA124" i="185"/>
  <c r="U195" i="185"/>
  <c r="O195" i="185"/>
  <c r="U8" i="185"/>
  <c r="AA57" i="185"/>
  <c r="V150" i="185"/>
  <c r="AA162" i="185"/>
  <c r="O158" i="185"/>
  <c r="O39" i="185"/>
  <c r="V39" i="185" s="1"/>
  <c r="AL30" i="185"/>
  <c r="AK30" i="185"/>
  <c r="AJ30" i="185"/>
  <c r="AK32" i="185"/>
  <c r="AJ32" i="185"/>
  <c r="AL32" i="185"/>
  <c r="AC27" i="185"/>
  <c r="AN22" i="185"/>
  <c r="AO22" i="185"/>
  <c r="AP22" i="185"/>
  <c r="AO24" i="185"/>
  <c r="AP24" i="185"/>
  <c r="AN24" i="185"/>
  <c r="AN23" i="185"/>
  <c r="AO23" i="185"/>
  <c r="AP23" i="185"/>
  <c r="Z57" i="185"/>
  <c r="AN25" i="185"/>
  <c r="AO25" i="185"/>
  <c r="AP25" i="185"/>
  <c r="AO21" i="185"/>
  <c r="AP21" i="185"/>
  <c r="AN21" i="185"/>
  <c r="T8" i="185"/>
  <c r="AN26" i="185"/>
  <c r="AO26" i="185"/>
  <c r="AP26" i="185"/>
  <c r="AA164" i="185"/>
  <c r="U166" i="185"/>
  <c r="AC166" i="185" s="1"/>
  <c r="U158" i="185"/>
  <c r="V158" i="185" s="1"/>
  <c r="AA98" i="185"/>
  <c r="Z182" i="185"/>
  <c r="R17" i="185"/>
  <c r="Y17" i="185" s="1"/>
  <c r="Y20" i="185" s="1"/>
  <c r="AJ17" i="185"/>
  <c r="AN17" i="185" s="1"/>
  <c r="AK17" i="185"/>
  <c r="AO17" i="185" s="1"/>
  <c r="AL17" i="185"/>
  <c r="AP17" i="185" s="1"/>
  <c r="R32" i="185"/>
  <c r="R142" i="185"/>
  <c r="Q142" i="185" s="1"/>
  <c r="Y32" i="185"/>
  <c r="AA32" i="185" s="1"/>
  <c r="AC20" i="185"/>
  <c r="AA31" i="185"/>
  <c r="U82" i="185"/>
  <c r="AC82" i="185" s="1"/>
  <c r="V70" i="185"/>
  <c r="AA170" i="185"/>
  <c r="AA190" i="185"/>
  <c r="T106" i="185"/>
  <c r="T20" i="185"/>
  <c r="Z19" i="185"/>
  <c r="AA19" i="185"/>
  <c r="Z110" i="185"/>
  <c r="AA110" i="185"/>
  <c r="AB192" i="185"/>
  <c r="AC134" i="185"/>
  <c r="Z38" i="185"/>
  <c r="Z112" i="185"/>
  <c r="AA112" i="185"/>
  <c r="T174" i="185"/>
  <c r="T142" i="185"/>
  <c r="Y106" i="185"/>
  <c r="Z106" i="185" s="1"/>
  <c r="T126" i="185"/>
  <c r="T82" i="185"/>
  <c r="R27" i="185"/>
  <c r="Q27" i="185" s="1"/>
  <c r="Y8" i="185"/>
  <c r="Z8" i="185" s="1"/>
  <c r="AA102" i="185"/>
  <c r="Z113" i="185"/>
  <c r="AA113" i="185"/>
  <c r="AA121" i="185"/>
  <c r="Z121" i="185"/>
  <c r="Z9" i="185"/>
  <c r="R42" i="185"/>
  <c r="Y42" i="185"/>
  <c r="R195" i="185"/>
  <c r="AA193" i="185"/>
  <c r="Z117" i="185"/>
  <c r="AA117" i="185"/>
  <c r="AE181" i="185"/>
  <c r="O181" i="185"/>
  <c r="Y130" i="185"/>
  <c r="T130" i="185"/>
  <c r="T134" i="185" s="1"/>
  <c r="R130" i="185"/>
  <c r="R134" i="185" s="1"/>
  <c r="Q134" i="185" s="1"/>
  <c r="AA99" i="185"/>
  <c r="Z99" i="185"/>
  <c r="R126" i="185"/>
  <c r="Q126" i="185" s="1"/>
  <c r="Y126" i="185"/>
  <c r="Z85" i="185"/>
  <c r="AA85" i="185"/>
  <c r="AA74" i="185"/>
  <c r="Z74" i="185"/>
  <c r="R155" i="185"/>
  <c r="Y155" i="185"/>
  <c r="AA54" i="185"/>
  <c r="Z54" i="185"/>
  <c r="O46" i="185"/>
  <c r="Z63" i="185"/>
  <c r="AA63" i="185"/>
  <c r="Z185" i="185"/>
  <c r="AA185" i="185"/>
  <c r="R111" i="185"/>
  <c r="Y111" i="185"/>
  <c r="U58" i="185"/>
  <c r="AA88" i="185"/>
  <c r="Z88" i="185"/>
  <c r="T153" i="185"/>
  <c r="T158" i="185" s="1"/>
  <c r="R153" i="185"/>
  <c r="Y153" i="185"/>
  <c r="AE189" i="185"/>
  <c r="Z78" i="185"/>
  <c r="AA78" i="185"/>
  <c r="AA62" i="185"/>
  <c r="Z62" i="185"/>
  <c r="R70" i="185"/>
  <c r="Q70" i="185" s="1"/>
  <c r="AA33" i="185"/>
  <c r="Z33" i="185"/>
  <c r="AA132" i="185"/>
  <c r="Z132" i="185"/>
  <c r="Z131" i="185"/>
  <c r="AA131" i="185"/>
  <c r="AA148" i="185"/>
  <c r="Z148" i="185"/>
  <c r="Y150" i="185"/>
  <c r="Z143" i="185"/>
  <c r="T94" i="185"/>
  <c r="T109" i="185"/>
  <c r="T118" i="185" s="1"/>
  <c r="R109" i="185"/>
  <c r="Y109" i="185"/>
  <c r="O118" i="185"/>
  <c r="AA86" i="185"/>
  <c r="Z86" i="185"/>
  <c r="AB158" i="185"/>
  <c r="Y188" i="185"/>
  <c r="Z188" i="185" s="1"/>
  <c r="T188" i="185"/>
  <c r="Y75" i="185"/>
  <c r="Y82" i="185" s="1"/>
  <c r="R75" i="185"/>
  <c r="R82" i="185" s="1"/>
  <c r="AA97" i="185"/>
  <c r="Z97" i="185"/>
  <c r="T30" i="185"/>
  <c r="T39" i="185" s="1"/>
  <c r="R30" i="185"/>
  <c r="Y30" i="185"/>
  <c r="Y39" i="185" s="1"/>
  <c r="V20" i="185"/>
  <c r="AA26" i="185"/>
  <c r="Z26" i="185"/>
  <c r="AA12" i="185"/>
  <c r="Z12" i="185"/>
  <c r="AA146" i="185"/>
  <c r="Z146" i="185"/>
  <c r="AA13" i="185"/>
  <c r="Z13" i="185"/>
  <c r="AA138" i="185"/>
  <c r="Z138" i="185"/>
  <c r="U94" i="185"/>
  <c r="AC94" i="185" s="1"/>
  <c r="T183" i="185"/>
  <c r="Y183" i="185"/>
  <c r="Z183" i="185" s="1"/>
  <c r="AA149" i="185"/>
  <c r="Z149" i="185"/>
  <c r="AA81" i="185"/>
  <c r="Z81" i="185"/>
  <c r="Z83" i="185"/>
  <c r="AA133" i="185"/>
  <c r="Z133" i="185"/>
  <c r="Z172" i="185"/>
  <c r="AA172" i="185"/>
  <c r="AB118" i="185"/>
  <c r="Z177" i="185"/>
  <c r="AA177" i="185"/>
  <c r="T70" i="185"/>
  <c r="AB58" i="185"/>
  <c r="R106" i="185"/>
  <c r="Q106" i="185" s="1"/>
  <c r="AA14" i="185"/>
  <c r="Z14" i="185"/>
  <c r="Z61" i="185"/>
  <c r="AA61" i="185"/>
  <c r="AA35" i="185"/>
  <c r="Z35" i="185"/>
  <c r="AC39" i="185"/>
  <c r="AA22" i="185"/>
  <c r="Z22" i="185"/>
  <c r="Y51" i="185"/>
  <c r="Y58" i="185" s="1"/>
  <c r="R51" i="185"/>
  <c r="R58" i="185" s="1"/>
  <c r="V134" i="185"/>
  <c r="AA137" i="185"/>
  <c r="Z137" i="185"/>
  <c r="T159" i="185"/>
  <c r="T166" i="185" s="1"/>
  <c r="O166" i="185"/>
  <c r="Y159" i="185"/>
  <c r="Y142" i="185"/>
  <c r="Z154" i="185"/>
  <c r="AA154" i="185"/>
  <c r="Z175" i="185"/>
  <c r="Z59" i="185"/>
  <c r="Y70" i="185"/>
  <c r="O82" i="185"/>
  <c r="V82" i="185" s="1"/>
  <c r="Y27" i="185"/>
  <c r="AA21" i="185"/>
  <c r="Z21" i="185"/>
  <c r="AA25" i="185"/>
  <c r="Z25" i="185"/>
  <c r="AA24" i="185"/>
  <c r="Z24" i="185"/>
  <c r="AA23" i="185"/>
  <c r="Z23" i="185"/>
  <c r="AA49" i="185"/>
  <c r="Z49" i="185"/>
  <c r="Y171" i="185"/>
  <c r="R171" i="185"/>
  <c r="R174" i="185" s="1"/>
  <c r="Q174" i="185" s="1"/>
  <c r="U174" i="185"/>
  <c r="AC174" i="185" s="1"/>
  <c r="AA145" i="185"/>
  <c r="Z145" i="185"/>
  <c r="AA89" i="185"/>
  <c r="Z89" i="185"/>
  <c r="Z71" i="185"/>
  <c r="Z128" i="185"/>
  <c r="AA53" i="185"/>
  <c r="Z53" i="185"/>
  <c r="Y163" i="185"/>
  <c r="R163" i="185"/>
  <c r="O58" i="185"/>
  <c r="R166" i="185"/>
  <c r="AA139" i="185"/>
  <c r="Z139" i="185"/>
  <c r="Z43" i="185"/>
  <c r="AA43" i="185"/>
  <c r="AA11" i="185"/>
  <c r="Z11" i="185"/>
  <c r="R46" i="185"/>
  <c r="Z178" i="185"/>
  <c r="AA178" i="185"/>
  <c r="Y87" i="185"/>
  <c r="Y94" i="185" s="1"/>
  <c r="R87" i="185"/>
  <c r="R94" i="185" s="1"/>
  <c r="Q94" i="185" s="1"/>
  <c r="Z129" i="185"/>
  <c r="AA129" i="185"/>
  <c r="T189" i="185"/>
  <c r="Y189" i="185"/>
  <c r="R189" i="185"/>
  <c r="U118" i="185"/>
  <c r="R150" i="185"/>
  <c r="Q150" i="185" s="1"/>
  <c r="Z196" i="185"/>
  <c r="Z66" i="185"/>
  <c r="AA66" i="185"/>
  <c r="Z73" i="185"/>
  <c r="AA73" i="185"/>
  <c r="AC150" i="185"/>
  <c r="U106" i="185"/>
  <c r="AC106" i="185" s="1"/>
  <c r="AA123" i="185"/>
  <c r="Z123" i="185"/>
  <c r="AA186" i="185"/>
  <c r="Z186" i="185"/>
  <c r="Z161" i="185"/>
  <c r="AA161" i="185"/>
  <c r="AC126" i="185"/>
  <c r="U46" i="185"/>
  <c r="AC46" i="185" s="1"/>
  <c r="AA17" i="185"/>
  <c r="AA41" i="185"/>
  <c r="Z41" i="185"/>
  <c r="I15" i="173"/>
  <c r="I14" i="173"/>
  <c r="R197" i="174"/>
  <c r="Z17" i="185" l="1"/>
  <c r="Q82" i="185"/>
  <c r="R39" i="185"/>
  <c r="Q39" i="185" s="1"/>
  <c r="Z32" i="185"/>
  <c r="Q46" i="185"/>
  <c r="V166" i="185"/>
  <c r="AC158" i="185"/>
  <c r="U192" i="185"/>
  <c r="AC192" i="185" s="1"/>
  <c r="R20" i="185"/>
  <c r="Q20" i="185" s="1"/>
  <c r="V118" i="185"/>
  <c r="R158" i="185"/>
  <c r="Q158" i="185" s="1"/>
  <c r="V58" i="185"/>
  <c r="Q166" i="185"/>
  <c r="Q58" i="185"/>
  <c r="Z58" i="185"/>
  <c r="AA58" i="185"/>
  <c r="AA94" i="185"/>
  <c r="Z94" i="185"/>
  <c r="AA153" i="185"/>
  <c r="Z153" i="185"/>
  <c r="Y158" i="185"/>
  <c r="AA106" i="185"/>
  <c r="Z42" i="185"/>
  <c r="AA42" i="185"/>
  <c r="Y46" i="185"/>
  <c r="Z70" i="185"/>
  <c r="AA70" i="185"/>
  <c r="Y166" i="185"/>
  <c r="Z159" i="185"/>
  <c r="Z75" i="185"/>
  <c r="AA75" i="185"/>
  <c r="AA109" i="185"/>
  <c r="Z109" i="185"/>
  <c r="Y118" i="185"/>
  <c r="AA126" i="185"/>
  <c r="Z126" i="185"/>
  <c r="Y181" i="185"/>
  <c r="R181" i="185"/>
  <c r="R192" i="185" s="1"/>
  <c r="T181" i="185"/>
  <c r="T192" i="185" s="1"/>
  <c r="T197" i="185" s="1"/>
  <c r="O192" i="185"/>
  <c r="Z82" i="185"/>
  <c r="AA82" i="185"/>
  <c r="R118" i="185"/>
  <c r="Q118" i="185" s="1"/>
  <c r="AA20" i="185"/>
  <c r="Z20" i="185"/>
  <c r="AA30" i="185"/>
  <c r="Z30" i="185"/>
  <c r="AA155" i="185"/>
  <c r="Z155" i="185"/>
  <c r="AA130" i="185"/>
  <c r="Z130" i="185"/>
  <c r="Y134" i="185"/>
  <c r="Z142" i="185"/>
  <c r="AA142" i="185"/>
  <c r="AA171" i="185"/>
  <c r="Z171" i="185"/>
  <c r="Y174" i="185"/>
  <c r="AC118" i="185"/>
  <c r="Z163" i="185"/>
  <c r="AA163" i="185"/>
  <c r="AC58" i="185"/>
  <c r="V174" i="185"/>
  <c r="AA150" i="185"/>
  <c r="Z150" i="185"/>
  <c r="AA189" i="185"/>
  <c r="Z189" i="185"/>
  <c r="AA51" i="185"/>
  <c r="Z51" i="185"/>
  <c r="Z39" i="185"/>
  <c r="AA39" i="185"/>
  <c r="V106" i="185"/>
  <c r="AA87" i="185"/>
  <c r="Z87" i="185"/>
  <c r="AA27" i="185"/>
  <c r="Z27" i="185"/>
  <c r="AA111" i="185"/>
  <c r="Z111" i="185"/>
  <c r="V46" i="185"/>
  <c r="V94" i="185"/>
  <c r="AD178" i="174"/>
  <c r="AB178" i="174"/>
  <c r="O46" i="174"/>
  <c r="U46" i="174" s="1"/>
  <c r="U197" i="185" l="1"/>
  <c r="AC197" i="185" s="1"/>
  <c r="AA166" i="185"/>
  <c r="Z166" i="185"/>
  <c r="AA134" i="185"/>
  <c r="Z134" i="185"/>
  <c r="AA174" i="185"/>
  <c r="Z174" i="185"/>
  <c r="O197" i="185"/>
  <c r="V197" i="185" s="1"/>
  <c r="V192" i="185"/>
  <c r="R197" i="185"/>
  <c r="Q192" i="185"/>
  <c r="AA118" i="185"/>
  <c r="Z118" i="185"/>
  <c r="AA46" i="185"/>
  <c r="Z46" i="185"/>
  <c r="AA181" i="185"/>
  <c r="Z181" i="185"/>
  <c r="Y192" i="185"/>
  <c r="Z158" i="185"/>
  <c r="AA158" i="185"/>
  <c r="AB198" i="174"/>
  <c r="Y195" i="174"/>
  <c r="Y194" i="174"/>
  <c r="L18" i="174"/>
  <c r="O197" i="174"/>
  <c r="U5" i="174"/>
  <c r="L115" i="174"/>
  <c r="L103" i="174"/>
  <c r="L91" i="174"/>
  <c r="L79" i="174"/>
  <c r="L67" i="174"/>
  <c r="L55" i="174"/>
  <c r="L35" i="174"/>
  <c r="Y197" i="185" l="1"/>
  <c r="AA192" i="185"/>
  <c r="Z192" i="185"/>
  <c r="R79" i="174"/>
  <c r="R115" i="174"/>
  <c r="R103" i="174"/>
  <c r="R91" i="174"/>
  <c r="R67" i="174"/>
  <c r="R55" i="174"/>
  <c r="R35" i="174"/>
  <c r="AA79" i="174" l="1"/>
  <c r="Z79" i="174"/>
  <c r="AA115" i="174"/>
  <c r="Z115" i="174"/>
  <c r="AA103" i="174"/>
  <c r="Z103" i="174"/>
  <c r="Z91" i="174"/>
  <c r="AA91" i="174"/>
  <c r="AA67" i="174"/>
  <c r="Z67" i="174"/>
  <c r="Z55" i="174"/>
  <c r="AA55" i="174"/>
  <c r="AA35" i="174"/>
  <c r="Z35" i="174"/>
  <c r="L5" i="174" l="1"/>
  <c r="Y5" i="174"/>
  <c r="Z5" i="174" s="1"/>
  <c r="O4" i="174"/>
  <c r="U4" i="174" s="1"/>
  <c r="L4" i="174"/>
  <c r="T4" i="174"/>
  <c r="O3" i="174"/>
  <c r="L3" i="174"/>
  <c r="O6" i="174"/>
  <c r="U6" i="174" s="1"/>
  <c r="O2" i="174"/>
  <c r="L2" i="174"/>
  <c r="L6" i="174"/>
  <c r="AB43" i="174"/>
  <c r="O118" i="174"/>
  <c r="O106" i="174"/>
  <c r="O94" i="174"/>
  <c r="O82" i="174"/>
  <c r="O70" i="174"/>
  <c r="O58" i="174"/>
  <c r="O38" i="174"/>
  <c r="O18" i="174"/>
  <c r="U18" i="174" s="1"/>
  <c r="Y18" i="174"/>
  <c r="U37" i="174"/>
  <c r="O37" i="174" s="1"/>
  <c r="L37" i="174"/>
  <c r="U17" i="174"/>
  <c r="O17" i="174" s="1"/>
  <c r="L17" i="174"/>
  <c r="U117" i="174"/>
  <c r="O117" i="174" s="1"/>
  <c r="L117" i="174"/>
  <c r="U105" i="174"/>
  <c r="O105" i="174" s="1"/>
  <c r="L105" i="174"/>
  <c r="U93" i="174"/>
  <c r="O93" i="174" s="1"/>
  <c r="L93" i="174"/>
  <c r="U81" i="174"/>
  <c r="O81" i="174" s="1"/>
  <c r="Y81" i="174" s="1"/>
  <c r="L81" i="174"/>
  <c r="U69" i="174"/>
  <c r="O69" i="174" s="1"/>
  <c r="L69" i="174"/>
  <c r="U57" i="174"/>
  <c r="O57" i="174" s="1"/>
  <c r="L57" i="174"/>
  <c r="O7" i="174" l="1"/>
  <c r="T3" i="174"/>
  <c r="U3" i="174"/>
  <c r="T2" i="174"/>
  <c r="U2" i="174"/>
  <c r="Y2" i="174"/>
  <c r="T5" i="174"/>
  <c r="Y4" i="174"/>
  <c r="Z4" i="174" s="1"/>
  <c r="Y3" i="174"/>
  <c r="Z3" i="174" s="1"/>
  <c r="Y6" i="174"/>
  <c r="Z6" i="174" s="1"/>
  <c r="T6" i="174"/>
  <c r="Y37" i="174"/>
  <c r="R37" i="174"/>
  <c r="R17" i="174"/>
  <c r="Y17" i="174"/>
  <c r="Y117" i="174"/>
  <c r="R117" i="174"/>
  <c r="R105" i="174"/>
  <c r="Y105" i="174"/>
  <c r="R93" i="174"/>
  <c r="Y93" i="174"/>
  <c r="Z81" i="174"/>
  <c r="R81" i="174"/>
  <c r="AA81" i="174" s="1"/>
  <c r="Y69" i="174"/>
  <c r="R69" i="174"/>
  <c r="Y57" i="174"/>
  <c r="R57" i="174"/>
  <c r="U7" i="174" l="1"/>
  <c r="T7" i="174"/>
  <c r="Z2" i="174"/>
  <c r="Y7" i="174"/>
  <c r="Z7" i="174" s="1"/>
  <c r="Z37" i="174"/>
  <c r="AA37" i="174"/>
  <c r="AA17" i="174"/>
  <c r="Z17" i="174"/>
  <c r="AA117" i="174"/>
  <c r="Z117" i="174"/>
  <c r="Z105" i="174"/>
  <c r="AA105" i="174"/>
  <c r="Z93" i="174"/>
  <c r="AA93" i="174"/>
  <c r="AA69" i="174"/>
  <c r="Z69" i="174"/>
  <c r="AA57" i="174"/>
  <c r="Z57" i="174"/>
  <c r="AB190" i="174" l="1"/>
  <c r="AD190" i="174" s="1"/>
  <c r="AB186" i="174"/>
  <c r="AD186" i="174" s="1"/>
  <c r="AB182" i="174"/>
  <c r="AD182" i="174" s="1"/>
  <c r="AB170" i="174"/>
  <c r="AB162" i="174"/>
  <c r="AB154" i="174"/>
  <c r="AB146" i="174"/>
  <c r="AB138" i="174"/>
  <c r="AB130" i="174"/>
  <c r="AB122" i="174"/>
  <c r="AB110" i="174"/>
  <c r="AB98" i="174"/>
  <c r="AB86" i="174"/>
  <c r="AB74" i="174"/>
  <c r="AB62" i="174"/>
  <c r="AB50" i="174"/>
  <c r="AB30" i="174"/>
  <c r="AB10" i="174"/>
  <c r="T11" i="173"/>
  <c r="I19" i="173" l="1"/>
  <c r="S65" i="173" l="1"/>
  <c r="H67" i="173"/>
  <c r="H66" i="173"/>
  <c r="H68" i="173" l="1"/>
  <c r="J15" i="173" l="1"/>
  <c r="J14" i="173"/>
  <c r="B33" i="173"/>
  <c r="B21" i="173"/>
  <c r="Y197" i="174" l="1"/>
  <c r="I12" i="183" l="1"/>
  <c r="H12" i="183"/>
  <c r="G12" i="183"/>
  <c r="F12" i="183"/>
  <c r="E12" i="183"/>
  <c r="D12" i="183"/>
  <c r="C12" i="183"/>
  <c r="B12" i="183"/>
  <c r="C9" i="183"/>
  <c r="D9" i="183"/>
  <c r="E9" i="183"/>
  <c r="F9" i="183"/>
  <c r="G9" i="183"/>
  <c r="H9" i="183"/>
  <c r="I9" i="183"/>
  <c r="B9" i="183"/>
  <c r="I3" i="183"/>
  <c r="I4" i="183" s="1"/>
  <c r="C3" i="183"/>
  <c r="C4" i="183" s="1"/>
  <c r="D3" i="183"/>
  <c r="D4" i="183" s="1"/>
  <c r="E3" i="183"/>
  <c r="E4" i="183" s="1"/>
  <c r="F3" i="183"/>
  <c r="F4" i="183" s="1"/>
  <c r="G3" i="183"/>
  <c r="G4" i="183" s="1"/>
  <c r="H3" i="183"/>
  <c r="H4" i="183" s="1"/>
  <c r="B3" i="183"/>
  <c r="B4" i="183" s="1"/>
  <c r="E3" i="182"/>
  <c r="E4" i="182" s="1"/>
  <c r="F3" i="182"/>
  <c r="F4" i="182" s="1"/>
  <c r="D3" i="182"/>
  <c r="D4" i="182" s="1"/>
  <c r="C3" i="182"/>
  <c r="C4" i="182" s="1"/>
  <c r="B3" i="182"/>
  <c r="B4" i="182" s="1"/>
  <c r="A3" i="182"/>
  <c r="A274" i="176" l="1"/>
  <c r="B274" i="176"/>
  <c r="C274" i="176"/>
  <c r="D274" i="176"/>
  <c r="E274" i="176"/>
  <c r="F274" i="176"/>
  <c r="G274" i="176"/>
  <c r="H274" i="176"/>
  <c r="I274" i="176"/>
  <c r="J274" i="176"/>
  <c r="M274" i="176"/>
  <c r="O274" i="176"/>
  <c r="P274" i="176"/>
  <c r="R274" i="176"/>
  <c r="U274" i="176"/>
  <c r="V274" i="176"/>
  <c r="Z274" i="176"/>
  <c r="AA274" i="176"/>
  <c r="A272" i="176"/>
  <c r="B272" i="176"/>
  <c r="C272" i="176"/>
  <c r="D272" i="176"/>
  <c r="E272" i="176"/>
  <c r="F272" i="176"/>
  <c r="G272" i="176"/>
  <c r="H272" i="176"/>
  <c r="I272" i="176"/>
  <c r="J272" i="176"/>
  <c r="M272" i="176"/>
  <c r="O272" i="176"/>
  <c r="P272" i="176"/>
  <c r="Q272" i="176"/>
  <c r="R272" i="176"/>
  <c r="U272" i="176"/>
  <c r="V272" i="176"/>
  <c r="Y272" i="176"/>
  <c r="Z272" i="176"/>
  <c r="AA272" i="176"/>
  <c r="A270" i="176"/>
  <c r="B270" i="176"/>
  <c r="C270" i="176"/>
  <c r="D270" i="176"/>
  <c r="E270" i="176"/>
  <c r="F270" i="176"/>
  <c r="G270" i="176"/>
  <c r="H270" i="176"/>
  <c r="I270" i="176"/>
  <c r="J270" i="176"/>
  <c r="M270" i="176"/>
  <c r="O270" i="176"/>
  <c r="P270" i="176"/>
  <c r="Q270" i="176"/>
  <c r="R270" i="176"/>
  <c r="U270" i="176"/>
  <c r="V270" i="176"/>
  <c r="Y270" i="176"/>
  <c r="Z270" i="176"/>
  <c r="AA270" i="176"/>
  <c r="A266" i="176"/>
  <c r="B266" i="176"/>
  <c r="C266" i="176"/>
  <c r="D266" i="176"/>
  <c r="E266" i="176"/>
  <c r="F266" i="176"/>
  <c r="G266" i="176"/>
  <c r="H266" i="176"/>
  <c r="I266" i="176"/>
  <c r="J266" i="176"/>
  <c r="M266" i="176"/>
  <c r="O266" i="176"/>
  <c r="P266" i="176"/>
  <c r="R266" i="176"/>
  <c r="U266" i="176"/>
  <c r="V266" i="176"/>
  <c r="Z266" i="176"/>
  <c r="AA266" i="176"/>
  <c r="A264" i="176"/>
  <c r="B264" i="176"/>
  <c r="C264" i="176"/>
  <c r="D264" i="176"/>
  <c r="E264" i="176"/>
  <c r="F264" i="176"/>
  <c r="G264" i="176"/>
  <c r="H264" i="176"/>
  <c r="I264" i="176"/>
  <c r="J264" i="176"/>
  <c r="M264" i="176"/>
  <c r="O264" i="176"/>
  <c r="P264" i="176"/>
  <c r="Q264" i="176"/>
  <c r="R264" i="176"/>
  <c r="U264" i="176"/>
  <c r="V264" i="176"/>
  <c r="Y264" i="176"/>
  <c r="Z264" i="176"/>
  <c r="AA264" i="176"/>
  <c r="A262" i="176"/>
  <c r="B262" i="176"/>
  <c r="C262" i="176"/>
  <c r="D262" i="176"/>
  <c r="E262" i="176"/>
  <c r="F262" i="176"/>
  <c r="G262" i="176"/>
  <c r="H262" i="176"/>
  <c r="I262" i="176"/>
  <c r="J262" i="176"/>
  <c r="M262" i="176"/>
  <c r="O262" i="176"/>
  <c r="P262" i="176"/>
  <c r="Q262" i="176"/>
  <c r="R262" i="176"/>
  <c r="U262" i="176"/>
  <c r="V262" i="176"/>
  <c r="Y262" i="176"/>
  <c r="Z262" i="176"/>
  <c r="AA262" i="176"/>
  <c r="A258" i="176"/>
  <c r="B258" i="176"/>
  <c r="C258" i="176"/>
  <c r="D258" i="176"/>
  <c r="E258" i="176"/>
  <c r="F258" i="176"/>
  <c r="G258" i="176"/>
  <c r="H258" i="176"/>
  <c r="I258" i="176"/>
  <c r="J258" i="176"/>
  <c r="M258" i="176"/>
  <c r="O258" i="176"/>
  <c r="P258" i="176"/>
  <c r="R258" i="176"/>
  <c r="U258" i="176"/>
  <c r="V258" i="176"/>
  <c r="Z258" i="176"/>
  <c r="AA258" i="176"/>
  <c r="A256" i="176"/>
  <c r="B256" i="176"/>
  <c r="C256" i="176"/>
  <c r="D256" i="176"/>
  <c r="E256" i="176"/>
  <c r="F256" i="176"/>
  <c r="G256" i="176"/>
  <c r="H256" i="176"/>
  <c r="I256" i="176"/>
  <c r="J256" i="176"/>
  <c r="M256" i="176"/>
  <c r="O256" i="176"/>
  <c r="P256" i="176"/>
  <c r="Q256" i="176"/>
  <c r="R256" i="176"/>
  <c r="U256" i="176"/>
  <c r="V256" i="176"/>
  <c r="Y256" i="176"/>
  <c r="Z256" i="176"/>
  <c r="AA256" i="176"/>
  <c r="A254" i="176"/>
  <c r="B254" i="176"/>
  <c r="C254" i="176"/>
  <c r="D254" i="176"/>
  <c r="E254" i="176"/>
  <c r="F254" i="176"/>
  <c r="G254" i="176"/>
  <c r="H254" i="176"/>
  <c r="I254" i="176"/>
  <c r="J254" i="176"/>
  <c r="M254" i="176"/>
  <c r="O254" i="176"/>
  <c r="P254" i="176"/>
  <c r="Q254" i="176"/>
  <c r="R254" i="176"/>
  <c r="U254" i="176"/>
  <c r="V254" i="176"/>
  <c r="Y254" i="176"/>
  <c r="Z254" i="176"/>
  <c r="AA254" i="176"/>
  <c r="A252" i="176"/>
  <c r="B252" i="176"/>
  <c r="C252" i="176"/>
  <c r="D252" i="176"/>
  <c r="E252" i="176"/>
  <c r="F252" i="176"/>
  <c r="G252" i="176"/>
  <c r="H252" i="176"/>
  <c r="I252" i="176"/>
  <c r="J252" i="176"/>
  <c r="L252" i="176"/>
  <c r="M252" i="176"/>
  <c r="O252" i="176"/>
  <c r="P252" i="176"/>
  <c r="Q252" i="176"/>
  <c r="R252" i="176"/>
  <c r="U252" i="176"/>
  <c r="V252" i="176"/>
  <c r="Y252" i="176"/>
  <c r="Z252" i="176"/>
  <c r="AA252" i="176"/>
  <c r="A249" i="176"/>
  <c r="B249" i="176"/>
  <c r="C249" i="176"/>
  <c r="D249" i="176"/>
  <c r="E249" i="176"/>
  <c r="F249" i="176"/>
  <c r="G249" i="176"/>
  <c r="H249" i="176"/>
  <c r="I249" i="176"/>
  <c r="J249" i="176"/>
  <c r="M249" i="176"/>
  <c r="O249" i="176"/>
  <c r="P249" i="176"/>
  <c r="R249" i="176"/>
  <c r="U249" i="176"/>
  <c r="V249" i="176"/>
  <c r="Z249" i="176"/>
  <c r="AA249" i="176"/>
  <c r="A247" i="176"/>
  <c r="B247" i="176"/>
  <c r="C247" i="176"/>
  <c r="D247" i="176"/>
  <c r="E247" i="176"/>
  <c r="F247" i="176"/>
  <c r="G247" i="176"/>
  <c r="H247" i="176"/>
  <c r="I247" i="176"/>
  <c r="J247" i="176"/>
  <c r="M247" i="176"/>
  <c r="O247" i="176"/>
  <c r="P247" i="176"/>
  <c r="Q247" i="176"/>
  <c r="R247" i="176"/>
  <c r="U247" i="176"/>
  <c r="V247" i="176"/>
  <c r="Y247" i="176"/>
  <c r="Z247" i="176"/>
  <c r="AA247" i="176"/>
  <c r="A245" i="176"/>
  <c r="B245" i="176"/>
  <c r="C245" i="176"/>
  <c r="D245" i="176"/>
  <c r="E245" i="176"/>
  <c r="F245" i="176"/>
  <c r="G245" i="176"/>
  <c r="H245" i="176"/>
  <c r="I245" i="176"/>
  <c r="J245" i="176"/>
  <c r="M245" i="176"/>
  <c r="O245" i="176"/>
  <c r="P245" i="176"/>
  <c r="Q245" i="176"/>
  <c r="R245" i="176"/>
  <c r="U245" i="176"/>
  <c r="V245" i="176"/>
  <c r="Y245" i="176"/>
  <c r="Z245" i="176"/>
  <c r="AA245" i="176"/>
  <c r="A237" i="176"/>
  <c r="B237" i="176"/>
  <c r="C237" i="176"/>
  <c r="D237" i="176"/>
  <c r="E237" i="176"/>
  <c r="F237" i="176"/>
  <c r="G237" i="176"/>
  <c r="H237" i="176"/>
  <c r="I237" i="176"/>
  <c r="J237" i="176"/>
  <c r="M237" i="176"/>
  <c r="O237" i="176"/>
  <c r="P237" i="176"/>
  <c r="R237" i="176"/>
  <c r="U237" i="176"/>
  <c r="V237" i="176"/>
  <c r="Z237" i="176"/>
  <c r="AA237" i="176"/>
  <c r="A235" i="176"/>
  <c r="B235" i="176"/>
  <c r="C235" i="176"/>
  <c r="D235" i="176"/>
  <c r="E235" i="176"/>
  <c r="F235" i="176"/>
  <c r="G235" i="176"/>
  <c r="H235" i="176"/>
  <c r="I235" i="176"/>
  <c r="J235" i="176"/>
  <c r="M235" i="176"/>
  <c r="O235" i="176"/>
  <c r="P235" i="176"/>
  <c r="Q235" i="176"/>
  <c r="R235" i="176"/>
  <c r="U235" i="176"/>
  <c r="V235" i="176"/>
  <c r="Y235" i="176"/>
  <c r="Z235" i="176"/>
  <c r="AA235" i="176"/>
  <c r="A233" i="176"/>
  <c r="B233" i="176"/>
  <c r="C233" i="176"/>
  <c r="D233" i="176"/>
  <c r="E233" i="176"/>
  <c r="F233" i="176"/>
  <c r="G233" i="176"/>
  <c r="H233" i="176"/>
  <c r="I233" i="176"/>
  <c r="J233" i="176"/>
  <c r="M233" i="176"/>
  <c r="O233" i="176"/>
  <c r="P233" i="176"/>
  <c r="Q233" i="176"/>
  <c r="R233" i="176"/>
  <c r="U233" i="176"/>
  <c r="V233" i="176"/>
  <c r="Y233" i="176"/>
  <c r="Z233" i="176"/>
  <c r="AA233" i="176"/>
  <c r="A225" i="176"/>
  <c r="B225" i="176"/>
  <c r="C225" i="176"/>
  <c r="D225" i="176"/>
  <c r="E225" i="176"/>
  <c r="F225" i="176"/>
  <c r="G225" i="176"/>
  <c r="H225" i="176"/>
  <c r="I225" i="176"/>
  <c r="J225" i="176"/>
  <c r="M225" i="176"/>
  <c r="O225" i="176"/>
  <c r="P225" i="176"/>
  <c r="R225" i="176"/>
  <c r="U225" i="176"/>
  <c r="V225" i="176"/>
  <c r="Z225" i="176"/>
  <c r="AA225" i="176"/>
  <c r="A223" i="176"/>
  <c r="B223" i="176"/>
  <c r="C223" i="176"/>
  <c r="D223" i="176"/>
  <c r="E223" i="176"/>
  <c r="F223" i="176"/>
  <c r="G223" i="176"/>
  <c r="H223" i="176"/>
  <c r="I223" i="176"/>
  <c r="J223" i="176"/>
  <c r="M223" i="176"/>
  <c r="O223" i="176"/>
  <c r="P223" i="176"/>
  <c r="Q223" i="176"/>
  <c r="R223" i="176"/>
  <c r="U223" i="176"/>
  <c r="V223" i="176"/>
  <c r="Y223" i="176"/>
  <c r="Z223" i="176"/>
  <c r="AA223" i="176"/>
  <c r="A221" i="176"/>
  <c r="B221" i="176"/>
  <c r="C221" i="176"/>
  <c r="D221" i="176"/>
  <c r="E221" i="176"/>
  <c r="F221" i="176"/>
  <c r="G221" i="176"/>
  <c r="H221" i="176"/>
  <c r="I221" i="176"/>
  <c r="J221" i="176"/>
  <c r="M221" i="176"/>
  <c r="O221" i="176"/>
  <c r="P221" i="176"/>
  <c r="Q221" i="176"/>
  <c r="R221" i="176"/>
  <c r="U221" i="176"/>
  <c r="V221" i="176"/>
  <c r="Y221" i="176"/>
  <c r="Z221" i="176"/>
  <c r="AA221" i="176"/>
  <c r="A213" i="176"/>
  <c r="B213" i="176"/>
  <c r="C213" i="176"/>
  <c r="D213" i="176"/>
  <c r="E213" i="176"/>
  <c r="F213" i="176"/>
  <c r="G213" i="176"/>
  <c r="H213" i="176"/>
  <c r="I213" i="176"/>
  <c r="J213" i="176"/>
  <c r="M213" i="176"/>
  <c r="O213" i="176"/>
  <c r="P213" i="176"/>
  <c r="R213" i="176"/>
  <c r="U213" i="176"/>
  <c r="V213" i="176"/>
  <c r="Z213" i="176"/>
  <c r="AA213" i="176"/>
  <c r="A211" i="176"/>
  <c r="B211" i="176"/>
  <c r="C211" i="176"/>
  <c r="D211" i="176"/>
  <c r="E211" i="176"/>
  <c r="F211" i="176"/>
  <c r="G211" i="176"/>
  <c r="H211" i="176"/>
  <c r="I211" i="176"/>
  <c r="J211" i="176"/>
  <c r="M211" i="176"/>
  <c r="O211" i="176"/>
  <c r="P211" i="176"/>
  <c r="Q211" i="176"/>
  <c r="R211" i="176"/>
  <c r="U211" i="176"/>
  <c r="V211" i="176"/>
  <c r="Y211" i="176"/>
  <c r="Z211" i="176"/>
  <c r="AA211" i="176"/>
  <c r="A209" i="176"/>
  <c r="B209" i="176"/>
  <c r="C209" i="176"/>
  <c r="D209" i="176"/>
  <c r="E209" i="176"/>
  <c r="F209" i="176"/>
  <c r="G209" i="176"/>
  <c r="H209" i="176"/>
  <c r="I209" i="176"/>
  <c r="J209" i="176"/>
  <c r="M209" i="176"/>
  <c r="O209" i="176"/>
  <c r="P209" i="176"/>
  <c r="Q209" i="176"/>
  <c r="R209" i="176"/>
  <c r="U209" i="176"/>
  <c r="V209" i="176"/>
  <c r="Y209" i="176"/>
  <c r="Z209" i="176"/>
  <c r="AA209" i="176"/>
  <c r="A201" i="176"/>
  <c r="B201" i="176"/>
  <c r="C201" i="176"/>
  <c r="D201" i="176"/>
  <c r="E201" i="176"/>
  <c r="F201" i="176"/>
  <c r="G201" i="176"/>
  <c r="H201" i="176"/>
  <c r="I201" i="176"/>
  <c r="J201" i="176"/>
  <c r="M201" i="176"/>
  <c r="O201" i="176"/>
  <c r="P201" i="176"/>
  <c r="R201" i="176"/>
  <c r="U201" i="176"/>
  <c r="V201" i="176"/>
  <c r="Z201" i="176"/>
  <c r="AA201" i="176"/>
  <c r="A199" i="176"/>
  <c r="B199" i="176"/>
  <c r="C199" i="176"/>
  <c r="D199" i="176"/>
  <c r="E199" i="176"/>
  <c r="F199" i="176"/>
  <c r="G199" i="176"/>
  <c r="H199" i="176"/>
  <c r="I199" i="176"/>
  <c r="J199" i="176"/>
  <c r="M199" i="176"/>
  <c r="O199" i="176"/>
  <c r="P199" i="176"/>
  <c r="Q199" i="176"/>
  <c r="R199" i="176"/>
  <c r="U199" i="176"/>
  <c r="V199" i="176"/>
  <c r="Y199" i="176"/>
  <c r="Z199" i="176"/>
  <c r="AA199" i="176"/>
  <c r="A197" i="176"/>
  <c r="B197" i="176"/>
  <c r="C197" i="176"/>
  <c r="D197" i="176"/>
  <c r="E197" i="176"/>
  <c r="F197" i="176"/>
  <c r="G197" i="176"/>
  <c r="H197" i="176"/>
  <c r="I197" i="176"/>
  <c r="J197" i="176"/>
  <c r="M197" i="176"/>
  <c r="O197" i="176"/>
  <c r="P197" i="176"/>
  <c r="Q197" i="176"/>
  <c r="R197" i="176"/>
  <c r="U197" i="176"/>
  <c r="V197" i="176"/>
  <c r="Y197" i="176"/>
  <c r="Z197" i="176"/>
  <c r="AA197" i="176"/>
  <c r="A189" i="176"/>
  <c r="B189" i="176"/>
  <c r="C189" i="176"/>
  <c r="D189" i="176"/>
  <c r="E189" i="176"/>
  <c r="F189" i="176"/>
  <c r="G189" i="176"/>
  <c r="H189" i="176"/>
  <c r="I189" i="176"/>
  <c r="J189" i="176"/>
  <c r="M189" i="176"/>
  <c r="O189" i="176"/>
  <c r="P189" i="176"/>
  <c r="R189" i="176"/>
  <c r="U189" i="176"/>
  <c r="V189" i="176"/>
  <c r="Z189" i="176"/>
  <c r="AA189" i="176"/>
  <c r="A187" i="176"/>
  <c r="B187" i="176"/>
  <c r="C187" i="176"/>
  <c r="D187" i="176"/>
  <c r="E187" i="176"/>
  <c r="F187" i="176"/>
  <c r="G187" i="176"/>
  <c r="H187" i="176"/>
  <c r="I187" i="176"/>
  <c r="J187" i="176"/>
  <c r="M187" i="176"/>
  <c r="O187" i="176"/>
  <c r="P187" i="176"/>
  <c r="Q187" i="176"/>
  <c r="R187" i="176"/>
  <c r="U187" i="176"/>
  <c r="V187" i="176"/>
  <c r="Y187" i="176"/>
  <c r="Z187" i="176"/>
  <c r="AA187" i="176"/>
  <c r="A185" i="176"/>
  <c r="B185" i="176"/>
  <c r="C185" i="176"/>
  <c r="D185" i="176"/>
  <c r="E185" i="176"/>
  <c r="F185" i="176"/>
  <c r="G185" i="176"/>
  <c r="H185" i="176"/>
  <c r="I185" i="176"/>
  <c r="J185" i="176"/>
  <c r="M185" i="176"/>
  <c r="O185" i="176"/>
  <c r="P185" i="176"/>
  <c r="Q185" i="176"/>
  <c r="R185" i="176"/>
  <c r="U185" i="176"/>
  <c r="V185" i="176"/>
  <c r="Y185" i="176"/>
  <c r="Z185" i="176"/>
  <c r="AA185" i="176"/>
  <c r="A177" i="176"/>
  <c r="B177" i="176"/>
  <c r="C177" i="176"/>
  <c r="D177" i="176"/>
  <c r="E177" i="176"/>
  <c r="F177" i="176"/>
  <c r="G177" i="176"/>
  <c r="H177" i="176"/>
  <c r="I177" i="176"/>
  <c r="J177" i="176"/>
  <c r="M177" i="176"/>
  <c r="O177" i="176"/>
  <c r="P177" i="176"/>
  <c r="R177" i="176"/>
  <c r="U177" i="176"/>
  <c r="V177" i="176"/>
  <c r="Z177" i="176"/>
  <c r="AA177" i="176"/>
  <c r="A175" i="176"/>
  <c r="B175" i="176"/>
  <c r="C175" i="176"/>
  <c r="D175" i="176"/>
  <c r="E175" i="176"/>
  <c r="F175" i="176"/>
  <c r="G175" i="176"/>
  <c r="H175" i="176"/>
  <c r="I175" i="176"/>
  <c r="J175" i="176"/>
  <c r="M175" i="176"/>
  <c r="O175" i="176"/>
  <c r="P175" i="176"/>
  <c r="Q175" i="176"/>
  <c r="R175" i="176"/>
  <c r="U175" i="176"/>
  <c r="V175" i="176"/>
  <c r="Y175" i="176"/>
  <c r="Z175" i="176"/>
  <c r="AA175" i="176"/>
  <c r="A173" i="176"/>
  <c r="B173" i="176"/>
  <c r="C173" i="176"/>
  <c r="D173" i="176"/>
  <c r="E173" i="176"/>
  <c r="F173" i="176"/>
  <c r="G173" i="176"/>
  <c r="H173" i="176"/>
  <c r="I173" i="176"/>
  <c r="J173" i="176"/>
  <c r="M173" i="176"/>
  <c r="O173" i="176"/>
  <c r="P173" i="176"/>
  <c r="Q173" i="176"/>
  <c r="R173" i="176"/>
  <c r="U173" i="176"/>
  <c r="V173" i="176"/>
  <c r="Y173" i="176"/>
  <c r="Z173" i="176"/>
  <c r="AA173" i="176"/>
  <c r="A165" i="176"/>
  <c r="B165" i="176"/>
  <c r="C165" i="176"/>
  <c r="D165" i="176"/>
  <c r="E165" i="176"/>
  <c r="F165" i="176"/>
  <c r="G165" i="176"/>
  <c r="H165" i="176"/>
  <c r="I165" i="176"/>
  <c r="J165" i="176"/>
  <c r="M165" i="176"/>
  <c r="O165" i="176"/>
  <c r="P165" i="176"/>
  <c r="R165" i="176"/>
  <c r="U165" i="176"/>
  <c r="V165" i="176"/>
  <c r="Z165" i="176"/>
  <c r="AA165" i="176"/>
  <c r="A163" i="176"/>
  <c r="B163" i="176"/>
  <c r="C163" i="176"/>
  <c r="D163" i="176"/>
  <c r="E163" i="176"/>
  <c r="F163" i="176"/>
  <c r="G163" i="176"/>
  <c r="H163" i="176"/>
  <c r="I163" i="176"/>
  <c r="J163" i="176"/>
  <c r="M163" i="176"/>
  <c r="O163" i="176"/>
  <c r="P163" i="176"/>
  <c r="Q163" i="176"/>
  <c r="R163" i="176"/>
  <c r="U163" i="176"/>
  <c r="V163" i="176"/>
  <c r="Y163" i="176"/>
  <c r="Z163" i="176"/>
  <c r="AA163" i="176"/>
  <c r="A161" i="176"/>
  <c r="B161" i="176"/>
  <c r="C161" i="176"/>
  <c r="D161" i="176"/>
  <c r="E161" i="176"/>
  <c r="F161" i="176"/>
  <c r="G161" i="176"/>
  <c r="H161" i="176"/>
  <c r="I161" i="176"/>
  <c r="J161" i="176"/>
  <c r="M161" i="176"/>
  <c r="O161" i="176"/>
  <c r="P161" i="176"/>
  <c r="Q161" i="176"/>
  <c r="R161" i="176"/>
  <c r="U161" i="176"/>
  <c r="V161" i="176"/>
  <c r="Y161" i="176"/>
  <c r="Z161" i="176"/>
  <c r="AA161" i="176"/>
  <c r="A149" i="176"/>
  <c r="B149" i="176"/>
  <c r="C149" i="176"/>
  <c r="D149" i="176"/>
  <c r="E149" i="176"/>
  <c r="F149" i="176"/>
  <c r="G149" i="176"/>
  <c r="H149" i="176"/>
  <c r="I149" i="176"/>
  <c r="J149" i="176"/>
  <c r="M149" i="176"/>
  <c r="O149" i="176"/>
  <c r="P149" i="176"/>
  <c r="R149" i="176"/>
  <c r="U149" i="176"/>
  <c r="V149" i="176"/>
  <c r="Z149" i="176"/>
  <c r="AA149" i="176"/>
  <c r="A147" i="176"/>
  <c r="B147" i="176"/>
  <c r="C147" i="176"/>
  <c r="D147" i="176"/>
  <c r="E147" i="176"/>
  <c r="F147" i="176"/>
  <c r="G147" i="176"/>
  <c r="H147" i="176"/>
  <c r="I147" i="176"/>
  <c r="J147" i="176"/>
  <c r="M147" i="176"/>
  <c r="O147" i="176"/>
  <c r="P147" i="176"/>
  <c r="Q147" i="176"/>
  <c r="R147" i="176"/>
  <c r="U147" i="176"/>
  <c r="V147" i="176"/>
  <c r="Y147" i="176"/>
  <c r="Z147" i="176"/>
  <c r="AA147" i="176"/>
  <c r="A145" i="176"/>
  <c r="B145" i="176"/>
  <c r="C145" i="176"/>
  <c r="D145" i="176"/>
  <c r="E145" i="176"/>
  <c r="F145" i="176"/>
  <c r="G145" i="176"/>
  <c r="H145" i="176"/>
  <c r="I145" i="176"/>
  <c r="J145" i="176"/>
  <c r="M145" i="176"/>
  <c r="O145" i="176"/>
  <c r="P145" i="176"/>
  <c r="Q145" i="176"/>
  <c r="R145" i="176"/>
  <c r="U145" i="176"/>
  <c r="V145" i="176"/>
  <c r="Y145" i="176"/>
  <c r="Z145" i="176"/>
  <c r="AA145" i="176"/>
  <c r="A133" i="176"/>
  <c r="B133" i="176"/>
  <c r="C133" i="176"/>
  <c r="D133" i="176"/>
  <c r="E133" i="176"/>
  <c r="F133" i="176"/>
  <c r="G133" i="176"/>
  <c r="H133" i="176"/>
  <c r="I133" i="176"/>
  <c r="J133" i="176"/>
  <c r="M133" i="176"/>
  <c r="O133" i="176"/>
  <c r="P133" i="176"/>
  <c r="R133" i="176"/>
  <c r="U133" i="176"/>
  <c r="V133" i="176"/>
  <c r="Z133" i="176"/>
  <c r="AA133" i="176"/>
  <c r="A131" i="176"/>
  <c r="B131" i="176"/>
  <c r="C131" i="176"/>
  <c r="D131" i="176"/>
  <c r="E131" i="176"/>
  <c r="F131" i="176"/>
  <c r="G131" i="176"/>
  <c r="H131" i="176"/>
  <c r="I131" i="176"/>
  <c r="J131" i="176"/>
  <c r="M131" i="176"/>
  <c r="O131" i="176"/>
  <c r="P131" i="176"/>
  <c r="Q131" i="176"/>
  <c r="R131" i="176"/>
  <c r="U131" i="176"/>
  <c r="V131" i="176"/>
  <c r="Y131" i="176"/>
  <c r="Z131" i="176"/>
  <c r="AA131" i="176"/>
  <c r="A129" i="176"/>
  <c r="B129" i="176"/>
  <c r="C129" i="176"/>
  <c r="D129" i="176"/>
  <c r="E129" i="176"/>
  <c r="F129" i="176"/>
  <c r="G129" i="176"/>
  <c r="H129" i="176"/>
  <c r="I129" i="176"/>
  <c r="J129" i="176"/>
  <c r="M129" i="176"/>
  <c r="O129" i="176"/>
  <c r="P129" i="176"/>
  <c r="Q129" i="176"/>
  <c r="R129" i="176"/>
  <c r="U129" i="176"/>
  <c r="V129" i="176"/>
  <c r="Y129" i="176"/>
  <c r="Z129" i="176"/>
  <c r="AA129" i="176"/>
  <c r="A117" i="176"/>
  <c r="B117" i="176"/>
  <c r="C117" i="176"/>
  <c r="D117" i="176"/>
  <c r="E117" i="176"/>
  <c r="F117" i="176"/>
  <c r="G117" i="176"/>
  <c r="H117" i="176"/>
  <c r="I117" i="176"/>
  <c r="J117" i="176"/>
  <c r="M117" i="176"/>
  <c r="O117" i="176"/>
  <c r="P117" i="176"/>
  <c r="R117" i="176"/>
  <c r="U117" i="176"/>
  <c r="V117" i="176"/>
  <c r="Z117" i="176"/>
  <c r="AA117" i="176"/>
  <c r="A115" i="176"/>
  <c r="B115" i="176"/>
  <c r="C115" i="176"/>
  <c r="D115" i="176"/>
  <c r="E115" i="176"/>
  <c r="F115" i="176"/>
  <c r="G115" i="176"/>
  <c r="H115" i="176"/>
  <c r="I115" i="176"/>
  <c r="J115" i="176"/>
  <c r="M115" i="176"/>
  <c r="O115" i="176"/>
  <c r="P115" i="176"/>
  <c r="Q115" i="176"/>
  <c r="R115" i="176"/>
  <c r="U115" i="176"/>
  <c r="V115" i="176"/>
  <c r="Y115" i="176"/>
  <c r="Z115" i="176"/>
  <c r="AA115" i="176"/>
  <c r="A113" i="176"/>
  <c r="B113" i="176"/>
  <c r="C113" i="176"/>
  <c r="D113" i="176"/>
  <c r="E113" i="176"/>
  <c r="F113" i="176"/>
  <c r="G113" i="176"/>
  <c r="H113" i="176"/>
  <c r="I113" i="176"/>
  <c r="J113" i="176"/>
  <c r="M113" i="176"/>
  <c r="O113" i="176"/>
  <c r="P113" i="176"/>
  <c r="Q113" i="176"/>
  <c r="R113" i="176"/>
  <c r="U113" i="176"/>
  <c r="V113" i="176"/>
  <c r="Y113" i="176"/>
  <c r="Z113" i="176"/>
  <c r="AA113" i="176"/>
  <c r="A101" i="176"/>
  <c r="B101" i="176"/>
  <c r="C101" i="176"/>
  <c r="D101" i="176"/>
  <c r="E101" i="176"/>
  <c r="F101" i="176"/>
  <c r="G101" i="176"/>
  <c r="H101" i="176"/>
  <c r="I101" i="176"/>
  <c r="J101" i="176"/>
  <c r="M101" i="176"/>
  <c r="O101" i="176"/>
  <c r="P101" i="176"/>
  <c r="R101" i="176"/>
  <c r="U101" i="176"/>
  <c r="V101" i="176"/>
  <c r="Z101" i="176"/>
  <c r="AA101" i="176"/>
  <c r="A99" i="176"/>
  <c r="B99" i="176"/>
  <c r="C99" i="176"/>
  <c r="D99" i="176"/>
  <c r="E99" i="176"/>
  <c r="F99" i="176"/>
  <c r="G99" i="176"/>
  <c r="H99" i="176"/>
  <c r="I99" i="176"/>
  <c r="J99" i="176"/>
  <c r="M99" i="176"/>
  <c r="O99" i="176"/>
  <c r="P99" i="176"/>
  <c r="Q99" i="176"/>
  <c r="R99" i="176"/>
  <c r="U99" i="176"/>
  <c r="V99" i="176"/>
  <c r="Y99" i="176"/>
  <c r="Z99" i="176"/>
  <c r="AA99" i="176"/>
  <c r="A97" i="176"/>
  <c r="B97" i="176"/>
  <c r="C97" i="176"/>
  <c r="D97" i="176"/>
  <c r="E97" i="176"/>
  <c r="F97" i="176"/>
  <c r="G97" i="176"/>
  <c r="H97" i="176"/>
  <c r="I97" i="176"/>
  <c r="J97" i="176"/>
  <c r="M97" i="176"/>
  <c r="O97" i="176"/>
  <c r="P97" i="176"/>
  <c r="Q97" i="176"/>
  <c r="R97" i="176"/>
  <c r="U97" i="176"/>
  <c r="V97" i="176"/>
  <c r="Y97" i="176"/>
  <c r="Z97" i="176"/>
  <c r="AA97" i="176"/>
  <c r="A85" i="176"/>
  <c r="B85" i="176"/>
  <c r="C85" i="176"/>
  <c r="D85" i="176"/>
  <c r="E85" i="176"/>
  <c r="F85" i="176"/>
  <c r="G85" i="176"/>
  <c r="H85" i="176"/>
  <c r="I85" i="176"/>
  <c r="J85" i="176"/>
  <c r="M85" i="176"/>
  <c r="O85" i="176"/>
  <c r="P85" i="176"/>
  <c r="R85" i="176"/>
  <c r="U85" i="176"/>
  <c r="V85" i="176"/>
  <c r="Z85" i="176"/>
  <c r="AA85" i="176"/>
  <c r="A83" i="176"/>
  <c r="B83" i="176"/>
  <c r="C83" i="176"/>
  <c r="D83" i="176"/>
  <c r="E83" i="176"/>
  <c r="F83" i="176"/>
  <c r="G83" i="176"/>
  <c r="H83" i="176"/>
  <c r="I83" i="176"/>
  <c r="J83" i="176"/>
  <c r="M83" i="176"/>
  <c r="O83" i="176"/>
  <c r="P83" i="176"/>
  <c r="Q83" i="176"/>
  <c r="R83" i="176"/>
  <c r="U83" i="176"/>
  <c r="V83" i="176"/>
  <c r="Y83" i="176"/>
  <c r="Z83" i="176"/>
  <c r="AA83" i="176"/>
  <c r="A81" i="176"/>
  <c r="B81" i="176"/>
  <c r="C81" i="176"/>
  <c r="D81" i="176"/>
  <c r="E81" i="176"/>
  <c r="F81" i="176"/>
  <c r="G81" i="176"/>
  <c r="H81" i="176"/>
  <c r="I81" i="176"/>
  <c r="J81" i="176"/>
  <c r="M81" i="176"/>
  <c r="O81" i="176"/>
  <c r="P81" i="176"/>
  <c r="Q81" i="176"/>
  <c r="R81" i="176"/>
  <c r="U81" i="176"/>
  <c r="V81" i="176"/>
  <c r="Y81" i="176"/>
  <c r="Z81" i="176"/>
  <c r="AA81" i="176"/>
  <c r="A69" i="176"/>
  <c r="B69" i="176"/>
  <c r="C69" i="176"/>
  <c r="D69" i="176"/>
  <c r="E69" i="176"/>
  <c r="F69" i="176"/>
  <c r="G69" i="176"/>
  <c r="H69" i="176"/>
  <c r="I69" i="176"/>
  <c r="J69" i="176"/>
  <c r="M69" i="176"/>
  <c r="O69" i="176"/>
  <c r="P69" i="176"/>
  <c r="R69" i="176"/>
  <c r="U69" i="176"/>
  <c r="V69" i="176"/>
  <c r="Z69" i="176"/>
  <c r="AA69" i="176"/>
  <c r="A67" i="176"/>
  <c r="B67" i="176"/>
  <c r="C67" i="176"/>
  <c r="D67" i="176"/>
  <c r="E67" i="176"/>
  <c r="F67" i="176"/>
  <c r="G67" i="176"/>
  <c r="H67" i="176"/>
  <c r="I67" i="176"/>
  <c r="J67" i="176"/>
  <c r="M67" i="176"/>
  <c r="O67" i="176"/>
  <c r="P67" i="176"/>
  <c r="Q67" i="176"/>
  <c r="R67" i="176"/>
  <c r="U67" i="176"/>
  <c r="V67" i="176"/>
  <c r="Y67" i="176"/>
  <c r="Z67" i="176"/>
  <c r="AA67" i="176"/>
  <c r="A65" i="176"/>
  <c r="B65" i="176"/>
  <c r="C65" i="176"/>
  <c r="D65" i="176"/>
  <c r="E65" i="176"/>
  <c r="F65" i="176"/>
  <c r="G65" i="176"/>
  <c r="H65" i="176"/>
  <c r="I65" i="176"/>
  <c r="J65" i="176"/>
  <c r="M65" i="176"/>
  <c r="O65" i="176"/>
  <c r="P65" i="176"/>
  <c r="Q65" i="176"/>
  <c r="R65" i="176"/>
  <c r="U65" i="176"/>
  <c r="V65" i="176"/>
  <c r="Y65" i="176"/>
  <c r="Z65" i="176"/>
  <c r="AA65" i="176"/>
  <c r="A56" i="176"/>
  <c r="B56" i="176"/>
  <c r="C56" i="176"/>
  <c r="D56" i="176"/>
  <c r="E56" i="176"/>
  <c r="F56" i="176"/>
  <c r="G56" i="176"/>
  <c r="H56" i="176"/>
  <c r="I56" i="176"/>
  <c r="J56" i="176"/>
  <c r="M56" i="176"/>
  <c r="O56" i="176"/>
  <c r="P56" i="176"/>
  <c r="R56" i="176"/>
  <c r="U56" i="176"/>
  <c r="V56" i="176"/>
  <c r="Z56" i="176"/>
  <c r="AA56" i="176"/>
  <c r="A54" i="176"/>
  <c r="B54" i="176"/>
  <c r="C54" i="176"/>
  <c r="D54" i="176"/>
  <c r="E54" i="176"/>
  <c r="F54" i="176"/>
  <c r="G54" i="176"/>
  <c r="H54" i="176"/>
  <c r="I54" i="176"/>
  <c r="J54" i="176"/>
  <c r="M54" i="176"/>
  <c r="O54" i="176"/>
  <c r="P54" i="176"/>
  <c r="R54" i="176"/>
  <c r="U54" i="176"/>
  <c r="V54" i="176"/>
  <c r="Z54" i="176"/>
  <c r="AA54" i="176"/>
  <c r="A42" i="176"/>
  <c r="B42" i="176"/>
  <c r="C42" i="176"/>
  <c r="D42" i="176"/>
  <c r="E42" i="176"/>
  <c r="F42" i="176"/>
  <c r="G42" i="176"/>
  <c r="H42" i="176"/>
  <c r="I42" i="176"/>
  <c r="J42" i="176"/>
  <c r="M42" i="176"/>
  <c r="O42" i="176"/>
  <c r="P42" i="176"/>
  <c r="R42" i="176"/>
  <c r="U42" i="176"/>
  <c r="V42" i="176"/>
  <c r="Z42" i="176"/>
  <c r="AA42" i="176"/>
  <c r="A40" i="176"/>
  <c r="B40" i="176"/>
  <c r="C40" i="176"/>
  <c r="D40" i="176"/>
  <c r="E40" i="176"/>
  <c r="F40" i="176"/>
  <c r="G40" i="176"/>
  <c r="H40" i="176"/>
  <c r="I40" i="176"/>
  <c r="J40" i="176"/>
  <c r="M40" i="176"/>
  <c r="O40" i="176"/>
  <c r="P40" i="176"/>
  <c r="Q40" i="176"/>
  <c r="R40" i="176"/>
  <c r="U40" i="176"/>
  <c r="V40" i="176"/>
  <c r="Y40" i="176"/>
  <c r="Z40" i="176"/>
  <c r="AA40" i="176"/>
  <c r="A38" i="176"/>
  <c r="B38" i="176"/>
  <c r="C38" i="176"/>
  <c r="D38" i="176"/>
  <c r="E38" i="176"/>
  <c r="F38" i="176"/>
  <c r="G38" i="176"/>
  <c r="H38" i="176"/>
  <c r="I38" i="176"/>
  <c r="J38" i="176"/>
  <c r="M38" i="176"/>
  <c r="O38" i="176"/>
  <c r="P38" i="176"/>
  <c r="Q38" i="176"/>
  <c r="R38" i="176"/>
  <c r="U38" i="176"/>
  <c r="V38" i="176"/>
  <c r="Y38" i="176"/>
  <c r="Z38" i="176"/>
  <c r="AA38" i="176"/>
  <c r="A29" i="176"/>
  <c r="B29" i="176"/>
  <c r="C29" i="176"/>
  <c r="D29" i="176"/>
  <c r="E29" i="176"/>
  <c r="F29" i="176"/>
  <c r="G29" i="176"/>
  <c r="H29" i="176"/>
  <c r="I29" i="176"/>
  <c r="J29" i="176"/>
  <c r="M29" i="176"/>
  <c r="O29" i="176"/>
  <c r="P29" i="176"/>
  <c r="R29" i="176"/>
  <c r="U29" i="176"/>
  <c r="V29" i="176"/>
  <c r="A27" i="176"/>
  <c r="B27" i="176"/>
  <c r="C27" i="176"/>
  <c r="D27" i="176"/>
  <c r="E27" i="176"/>
  <c r="F27" i="176"/>
  <c r="G27" i="176"/>
  <c r="H27" i="176"/>
  <c r="I27" i="176"/>
  <c r="J27" i="176"/>
  <c r="M27" i="176"/>
  <c r="O27" i="176"/>
  <c r="P27" i="176"/>
  <c r="R27" i="176"/>
  <c r="U27" i="176"/>
  <c r="V27" i="176"/>
  <c r="A15" i="176"/>
  <c r="B15" i="176"/>
  <c r="C15" i="176"/>
  <c r="D15" i="176"/>
  <c r="E15" i="176"/>
  <c r="F15" i="176"/>
  <c r="G15" i="176"/>
  <c r="H15" i="176"/>
  <c r="I15" i="176"/>
  <c r="J15" i="176"/>
  <c r="M15" i="176"/>
  <c r="O15" i="176"/>
  <c r="P15" i="176"/>
  <c r="R15" i="176"/>
  <c r="U15" i="176"/>
  <c r="V15" i="176"/>
  <c r="A13" i="176"/>
  <c r="B13" i="176"/>
  <c r="C13" i="176"/>
  <c r="D13" i="176"/>
  <c r="E13" i="176"/>
  <c r="F13" i="176"/>
  <c r="G13" i="176"/>
  <c r="H13" i="176"/>
  <c r="I13" i="176"/>
  <c r="J13" i="176"/>
  <c r="M13" i="176"/>
  <c r="O13" i="176"/>
  <c r="P13" i="176"/>
  <c r="Q13" i="176"/>
  <c r="R13" i="176"/>
  <c r="U13" i="176"/>
  <c r="V13" i="176"/>
  <c r="Y13" i="176"/>
  <c r="Z13" i="176"/>
  <c r="AA13" i="176"/>
  <c r="A11" i="176"/>
  <c r="B11" i="176"/>
  <c r="C11" i="176"/>
  <c r="D11" i="176"/>
  <c r="E11" i="176"/>
  <c r="F11" i="176"/>
  <c r="G11" i="176"/>
  <c r="H11" i="176"/>
  <c r="I11" i="176"/>
  <c r="J11" i="176"/>
  <c r="M11" i="176"/>
  <c r="O11" i="176"/>
  <c r="P11" i="176"/>
  <c r="Q11" i="176"/>
  <c r="R11" i="176"/>
  <c r="U11" i="176"/>
  <c r="V11" i="176"/>
  <c r="Y11" i="176"/>
  <c r="Z11" i="176"/>
  <c r="AA11" i="176"/>
  <c r="L274" i="176"/>
  <c r="L272" i="176"/>
  <c r="L270" i="176"/>
  <c r="L266" i="176"/>
  <c r="K264" i="176"/>
  <c r="L256" i="176"/>
  <c r="K247" i="176"/>
  <c r="K245" i="176"/>
  <c r="L237" i="176"/>
  <c r="L235" i="176"/>
  <c r="L233" i="176"/>
  <c r="L225" i="176"/>
  <c r="L223" i="176"/>
  <c r="L221" i="176"/>
  <c r="L213" i="176"/>
  <c r="L211" i="176"/>
  <c r="L209" i="176"/>
  <c r="L201" i="176"/>
  <c r="L199" i="176"/>
  <c r="L197" i="176"/>
  <c r="L189" i="176"/>
  <c r="L187" i="176"/>
  <c r="L185" i="176"/>
  <c r="L177" i="176"/>
  <c r="L175" i="176"/>
  <c r="L173" i="176"/>
  <c r="L165" i="176"/>
  <c r="L163" i="176"/>
  <c r="L161" i="176"/>
  <c r="L149" i="176"/>
  <c r="L147" i="176"/>
  <c r="L145" i="176"/>
  <c r="L133" i="176"/>
  <c r="L131" i="176"/>
  <c r="L129" i="176"/>
  <c r="L117" i="176"/>
  <c r="L115" i="176"/>
  <c r="L113" i="176"/>
  <c r="L101" i="176"/>
  <c r="L99" i="176"/>
  <c r="L97" i="176"/>
  <c r="L85" i="176"/>
  <c r="L83" i="176"/>
  <c r="L81" i="176"/>
  <c r="L69" i="176"/>
  <c r="L67" i="176"/>
  <c r="L65" i="176"/>
  <c r="L42" i="176"/>
  <c r="L40" i="176"/>
  <c r="L38" i="176"/>
  <c r="L56" i="176"/>
  <c r="L54" i="176"/>
  <c r="L29" i="176"/>
  <c r="L27" i="176"/>
  <c r="L15" i="176"/>
  <c r="L13" i="176"/>
  <c r="L11" i="176"/>
  <c r="A2" i="182"/>
  <c r="A4" i="182" s="1"/>
  <c r="T274" i="176"/>
  <c r="T266" i="176"/>
  <c r="T183" i="174"/>
  <c r="S258" i="176" s="1"/>
  <c r="N272" i="176"/>
  <c r="AJ272" i="176" s="1"/>
  <c r="N264" i="176"/>
  <c r="T254" i="176"/>
  <c r="W249" i="176"/>
  <c r="N245" i="176"/>
  <c r="L191" i="174" l="1"/>
  <c r="K274" i="176" s="1"/>
  <c r="K256" i="176"/>
  <c r="K270" i="176"/>
  <c r="K272" i="176"/>
  <c r="T270" i="176"/>
  <c r="L247" i="176"/>
  <c r="T264" i="176"/>
  <c r="AH272" i="176"/>
  <c r="S254" i="176"/>
  <c r="L187" i="174"/>
  <c r="K266" i="176" s="1"/>
  <c r="AJ264" i="176"/>
  <c r="AH264" i="176"/>
  <c r="AI264" i="176"/>
  <c r="AJ245" i="176"/>
  <c r="AI245" i="176"/>
  <c r="AH245" i="176"/>
  <c r="K254" i="176"/>
  <c r="L254" i="176"/>
  <c r="L258" i="176"/>
  <c r="L183" i="174"/>
  <c r="K258" i="176" s="1"/>
  <c r="L262" i="176"/>
  <c r="K262" i="176"/>
  <c r="T256" i="176"/>
  <c r="S256" i="176"/>
  <c r="N262" i="176"/>
  <c r="T262" i="176"/>
  <c r="L245" i="176"/>
  <c r="N249" i="176"/>
  <c r="S247" i="176"/>
  <c r="T247" i="176"/>
  <c r="T245" i="176"/>
  <c r="N258" i="176"/>
  <c r="T272" i="176"/>
  <c r="AI272" i="176"/>
  <c r="X270" i="176"/>
  <c r="W270" i="176"/>
  <c r="T249" i="176"/>
  <c r="L264" i="176"/>
  <c r="N270" i="176"/>
  <c r="L179" i="174"/>
  <c r="K249" i="176" s="1"/>
  <c r="L249" i="176"/>
  <c r="T258" i="176"/>
  <c r="W258" i="176"/>
  <c r="R183" i="174"/>
  <c r="Q258" i="176" s="1"/>
  <c r="S272" i="176"/>
  <c r="S264" i="176"/>
  <c r="S270" i="176"/>
  <c r="T179" i="174"/>
  <c r="S249" i="176" s="1"/>
  <c r="R179" i="174"/>
  <c r="Q249" i="176" s="1"/>
  <c r="S245" i="176"/>
  <c r="N266" i="176" l="1"/>
  <c r="AI266" i="176" s="1"/>
  <c r="R187" i="174"/>
  <c r="Q266" i="176" s="1"/>
  <c r="T191" i="174"/>
  <c r="S274" i="176" s="1"/>
  <c r="T187" i="174"/>
  <c r="S266" i="176" s="1"/>
  <c r="R191" i="174"/>
  <c r="Q274" i="176" s="1"/>
  <c r="S262" i="176"/>
  <c r="N274" i="176"/>
  <c r="AH274" i="176" s="1"/>
  <c r="W274" i="176"/>
  <c r="Z191" i="174"/>
  <c r="X274" i="176" s="1"/>
  <c r="N254" i="176"/>
  <c r="AJ249" i="176"/>
  <c r="AH249" i="176"/>
  <c r="AI249" i="176"/>
  <c r="AI262" i="176"/>
  <c r="AH262" i="176"/>
  <c r="AJ262" i="176"/>
  <c r="AJ270" i="176"/>
  <c r="AH270" i="176"/>
  <c r="AI270" i="176"/>
  <c r="Z187" i="174"/>
  <c r="X266" i="176" s="1"/>
  <c r="W266" i="176"/>
  <c r="X264" i="176"/>
  <c r="W264" i="176"/>
  <c r="AJ258" i="176"/>
  <c r="AI258" i="176"/>
  <c r="AH258" i="176"/>
  <c r="X272" i="176"/>
  <c r="W272" i="176"/>
  <c r="N256" i="176"/>
  <c r="X245" i="176"/>
  <c r="W245" i="176"/>
  <c r="N247" i="176"/>
  <c r="AA183" i="174"/>
  <c r="Y258" i="176" s="1"/>
  <c r="Z183" i="174"/>
  <c r="X258" i="176" s="1"/>
  <c r="Z179" i="174"/>
  <c r="X249" i="176" s="1"/>
  <c r="AA179" i="174"/>
  <c r="Y249" i="176" s="1"/>
  <c r="AJ274" i="176" l="1"/>
  <c r="AH266" i="176"/>
  <c r="AJ266" i="176"/>
  <c r="AA187" i="174"/>
  <c r="Y266" i="176" s="1"/>
  <c r="AA191" i="174"/>
  <c r="Y274" i="176" s="1"/>
  <c r="AI274" i="176"/>
  <c r="AH254" i="176"/>
  <c r="AJ254" i="176"/>
  <c r="AI254" i="176"/>
  <c r="X254" i="176"/>
  <c r="W254" i="176"/>
  <c r="AJ247" i="176"/>
  <c r="AH247" i="176"/>
  <c r="AI247" i="176"/>
  <c r="AH256" i="176"/>
  <c r="AJ256" i="176"/>
  <c r="AI256" i="176"/>
  <c r="X247" i="176"/>
  <c r="W247" i="176"/>
  <c r="X256" i="176"/>
  <c r="W256" i="176"/>
  <c r="X262" i="176"/>
  <c r="W262" i="176"/>
  <c r="L171" i="174" l="1"/>
  <c r="K237" i="176" s="1"/>
  <c r="K235" i="176"/>
  <c r="K233" i="176"/>
  <c r="L163" i="174"/>
  <c r="K225" i="176" s="1"/>
  <c r="K223" i="176"/>
  <c r="K221" i="176"/>
  <c r="L155" i="174"/>
  <c r="K213" i="176" s="1"/>
  <c r="K211" i="176"/>
  <c r="K209" i="176"/>
  <c r="L147" i="174"/>
  <c r="K201" i="176" s="1"/>
  <c r="K199" i="176"/>
  <c r="K197" i="176"/>
  <c r="L139" i="174"/>
  <c r="K189" i="176" s="1"/>
  <c r="K187" i="176"/>
  <c r="K185" i="176"/>
  <c r="L131" i="174"/>
  <c r="K177" i="176" s="1"/>
  <c r="K175" i="176"/>
  <c r="K173" i="176"/>
  <c r="L123" i="174"/>
  <c r="K165" i="176" s="1"/>
  <c r="K163" i="176"/>
  <c r="K161" i="176"/>
  <c r="L111" i="174"/>
  <c r="K149" i="176" s="1"/>
  <c r="K147" i="176"/>
  <c r="K145" i="176"/>
  <c r="L99" i="174"/>
  <c r="K133" i="176" s="1"/>
  <c r="K131" i="176"/>
  <c r="K129" i="176"/>
  <c r="L87" i="174"/>
  <c r="K117" i="176" s="1"/>
  <c r="K115" i="176"/>
  <c r="K113" i="176"/>
  <c r="L75" i="174"/>
  <c r="K101" i="176" s="1"/>
  <c r="K99" i="176"/>
  <c r="K97" i="176"/>
  <c r="L63" i="174"/>
  <c r="K85" i="176" s="1"/>
  <c r="K83" i="176"/>
  <c r="K81" i="176"/>
  <c r="L51" i="174"/>
  <c r="K69" i="176" s="1"/>
  <c r="K67" i="176"/>
  <c r="K65" i="176"/>
  <c r="L42" i="174"/>
  <c r="K56" i="176" s="1"/>
  <c r="L40" i="174"/>
  <c r="K54" i="176" s="1"/>
  <c r="L31" i="174"/>
  <c r="K42" i="176" s="1"/>
  <c r="K40" i="176"/>
  <c r="K38" i="176"/>
  <c r="AB22" i="174"/>
  <c r="L22" i="174"/>
  <c r="K29" i="176" s="1"/>
  <c r="AB20" i="174"/>
  <c r="AC20" i="174" s="1"/>
  <c r="AA27" i="176" s="1"/>
  <c r="L20" i="174"/>
  <c r="K27" i="176" s="1"/>
  <c r="L11" i="174"/>
  <c r="K15" i="176" s="1"/>
  <c r="AB11" i="174"/>
  <c r="AC11" i="174" s="1"/>
  <c r="AA15" i="176" s="1"/>
  <c r="K13" i="176"/>
  <c r="K11" i="176"/>
  <c r="AB23" i="174" l="1"/>
  <c r="AC22" i="174"/>
  <c r="AA29" i="176" s="1"/>
  <c r="T15" i="176"/>
  <c r="Z15" i="176"/>
  <c r="N27" i="176"/>
  <c r="Z27" i="176"/>
  <c r="Z29" i="176"/>
  <c r="N42" i="176"/>
  <c r="T42" i="176"/>
  <c r="N13" i="176"/>
  <c r="T13" i="176"/>
  <c r="N81" i="176"/>
  <c r="T81" i="176"/>
  <c r="N113" i="176"/>
  <c r="T113" i="176"/>
  <c r="S145" i="176"/>
  <c r="T145" i="176"/>
  <c r="N173" i="176"/>
  <c r="T173" i="176"/>
  <c r="S197" i="176"/>
  <c r="T197" i="176"/>
  <c r="S221" i="176"/>
  <c r="T221" i="176"/>
  <c r="N199" i="176"/>
  <c r="T199" i="176"/>
  <c r="N56" i="176"/>
  <c r="T56" i="176"/>
  <c r="N85" i="176"/>
  <c r="T85" i="176"/>
  <c r="S147" i="176"/>
  <c r="T147" i="176"/>
  <c r="N201" i="176"/>
  <c r="T201" i="176"/>
  <c r="N97" i="176"/>
  <c r="T97" i="176"/>
  <c r="N129" i="176"/>
  <c r="T129" i="176"/>
  <c r="S161" i="176"/>
  <c r="T161" i="176"/>
  <c r="N185" i="176"/>
  <c r="T185" i="176"/>
  <c r="N209" i="176"/>
  <c r="T209" i="176"/>
  <c r="S233" i="176"/>
  <c r="T233" i="176"/>
  <c r="T83" i="176"/>
  <c r="S175" i="176"/>
  <c r="T175" i="176"/>
  <c r="T40" i="174"/>
  <c r="S54" i="176" s="1"/>
  <c r="T54" i="176"/>
  <c r="S115" i="176"/>
  <c r="T115" i="176"/>
  <c r="T223" i="176"/>
  <c r="T99" i="176"/>
  <c r="N131" i="176"/>
  <c r="T131" i="176"/>
  <c r="T163" i="176"/>
  <c r="N187" i="176"/>
  <c r="T187" i="176"/>
  <c r="T211" i="176"/>
  <c r="S235" i="176"/>
  <c r="T235" i="176"/>
  <c r="W117" i="176"/>
  <c r="T117" i="176"/>
  <c r="T149" i="176"/>
  <c r="N177" i="176"/>
  <c r="T177" i="176"/>
  <c r="R163" i="174"/>
  <c r="T225" i="176"/>
  <c r="N65" i="176"/>
  <c r="T65" i="176"/>
  <c r="S38" i="176"/>
  <c r="T38" i="176"/>
  <c r="N67" i="176"/>
  <c r="T67" i="176"/>
  <c r="N11" i="176"/>
  <c r="T11" i="176"/>
  <c r="N69" i="176"/>
  <c r="T69" i="176"/>
  <c r="N40" i="176"/>
  <c r="T40" i="176"/>
  <c r="R75" i="174"/>
  <c r="T101" i="176"/>
  <c r="N133" i="176"/>
  <c r="T133" i="176"/>
  <c r="T165" i="176"/>
  <c r="T189" i="176"/>
  <c r="N213" i="176"/>
  <c r="T213" i="176"/>
  <c r="N237" i="176"/>
  <c r="T237" i="176"/>
  <c r="N29" i="176" l="1"/>
  <c r="AJ29" i="176" s="1"/>
  <c r="T31" i="174"/>
  <c r="S42" i="176" s="1"/>
  <c r="X40" i="176"/>
  <c r="W42" i="176"/>
  <c r="W201" i="176"/>
  <c r="T163" i="174"/>
  <c r="S225" i="176" s="1"/>
  <c r="X129" i="176"/>
  <c r="R171" i="174"/>
  <c r="Q237" i="176" s="1"/>
  <c r="T171" i="174"/>
  <c r="S237" i="176" s="1"/>
  <c r="T27" i="176"/>
  <c r="W177" i="176"/>
  <c r="S129" i="176"/>
  <c r="S113" i="176"/>
  <c r="X81" i="176"/>
  <c r="N15" i="176"/>
  <c r="AH15" i="176" s="1"/>
  <c r="W27" i="176"/>
  <c r="W185" i="176"/>
  <c r="R40" i="174"/>
  <c r="Q54" i="176" s="1"/>
  <c r="S185" i="176"/>
  <c r="S187" i="176"/>
  <c r="R31" i="174"/>
  <c r="Q42" i="176" s="1"/>
  <c r="X187" i="176"/>
  <c r="W13" i="176"/>
  <c r="T75" i="174"/>
  <c r="S101" i="176" s="1"/>
  <c r="S13" i="176"/>
  <c r="R147" i="174"/>
  <c r="Q201" i="176" s="1"/>
  <c r="T29" i="176"/>
  <c r="W133" i="176"/>
  <c r="R99" i="174"/>
  <c r="Q133" i="176" s="1"/>
  <c r="T99" i="174"/>
  <c r="S133" i="176" s="1"/>
  <c r="X209" i="176"/>
  <c r="S65" i="176"/>
  <c r="R20" i="174"/>
  <c r="Q27" i="176" s="1"/>
  <c r="T51" i="174"/>
  <c r="S69" i="176" s="1"/>
  <c r="T20" i="174"/>
  <c r="S27" i="176" s="1"/>
  <c r="S81" i="176"/>
  <c r="T131" i="174"/>
  <c r="S177" i="176" s="1"/>
  <c r="W85" i="176"/>
  <c r="R63" i="174"/>
  <c r="Q85" i="176" s="1"/>
  <c r="R42" i="174"/>
  <c r="Q56" i="176" s="1"/>
  <c r="W113" i="176"/>
  <c r="W173" i="176"/>
  <c r="X199" i="176"/>
  <c r="W237" i="176"/>
  <c r="T42" i="174"/>
  <c r="S56" i="176" s="1"/>
  <c r="S173" i="176"/>
  <c r="T63" i="174"/>
  <c r="S85" i="176" s="1"/>
  <c r="S199" i="176"/>
  <c r="S40" i="176"/>
  <c r="W65" i="176"/>
  <c r="T147" i="174"/>
  <c r="S201" i="176" s="1"/>
  <c r="S11" i="176"/>
  <c r="W69" i="176"/>
  <c r="R131" i="174"/>
  <c r="Q177" i="176" s="1"/>
  <c r="AJ177" i="176"/>
  <c r="AI177" i="176"/>
  <c r="AH177" i="176"/>
  <c r="N163" i="176"/>
  <c r="N175" i="176"/>
  <c r="AJ129" i="176"/>
  <c r="AI129" i="176"/>
  <c r="AH129" i="176"/>
  <c r="AI85" i="176"/>
  <c r="AH85" i="176"/>
  <c r="AJ85" i="176"/>
  <c r="AI173" i="176"/>
  <c r="AH173" i="176"/>
  <c r="AJ173" i="176"/>
  <c r="AJ69" i="176"/>
  <c r="AI69" i="176"/>
  <c r="AH69" i="176"/>
  <c r="N189" i="176"/>
  <c r="T111" i="174"/>
  <c r="S149" i="176" s="1"/>
  <c r="N149" i="176"/>
  <c r="AI131" i="176"/>
  <c r="AH131" i="176"/>
  <c r="AJ131" i="176"/>
  <c r="S83" i="176"/>
  <c r="N83" i="176"/>
  <c r="AJ97" i="176"/>
  <c r="AH97" i="176"/>
  <c r="AI97" i="176"/>
  <c r="AJ56" i="176"/>
  <c r="AI56" i="176"/>
  <c r="AH56" i="176"/>
  <c r="N145" i="176"/>
  <c r="X223" i="176"/>
  <c r="W223" i="176"/>
  <c r="R51" i="174"/>
  <c r="Q69" i="176" s="1"/>
  <c r="Q225" i="176"/>
  <c r="AJ11" i="176"/>
  <c r="AH11" i="176"/>
  <c r="AI11" i="176"/>
  <c r="N99" i="176"/>
  <c r="AJ199" i="176"/>
  <c r="AI199" i="176"/>
  <c r="AH199" i="176"/>
  <c r="AH113" i="176"/>
  <c r="AJ113" i="176"/>
  <c r="AI113" i="176"/>
  <c r="R111" i="174"/>
  <c r="T123" i="174"/>
  <c r="S165" i="176" s="1"/>
  <c r="N165" i="176"/>
  <c r="AH67" i="176"/>
  <c r="AJ67" i="176"/>
  <c r="AI67" i="176"/>
  <c r="T87" i="174"/>
  <c r="S117" i="176" s="1"/>
  <c r="N117" i="176"/>
  <c r="N233" i="176"/>
  <c r="R87" i="174"/>
  <c r="Q117" i="176" s="1"/>
  <c r="S209" i="176"/>
  <c r="AJ213" i="176"/>
  <c r="AH213" i="176"/>
  <c r="AI213" i="176"/>
  <c r="AJ133" i="176"/>
  <c r="AH133" i="176"/>
  <c r="AI133" i="176"/>
  <c r="N38" i="176"/>
  <c r="N235" i="176"/>
  <c r="S223" i="176"/>
  <c r="N223" i="176"/>
  <c r="AJ209" i="176"/>
  <c r="AI209" i="176"/>
  <c r="AH209" i="176"/>
  <c r="AI201" i="176"/>
  <c r="AH201" i="176"/>
  <c r="AJ201" i="176"/>
  <c r="AH81" i="176"/>
  <c r="AI81" i="176"/>
  <c r="AJ81" i="176"/>
  <c r="Q101" i="176"/>
  <c r="W11" i="176"/>
  <c r="S163" i="176"/>
  <c r="X211" i="176"/>
  <c r="W211" i="176"/>
  <c r="AJ65" i="176"/>
  <c r="AH65" i="176"/>
  <c r="AI65" i="176"/>
  <c r="S211" i="176"/>
  <c r="N211" i="176"/>
  <c r="N115" i="176"/>
  <c r="AJ185" i="176"/>
  <c r="AH185" i="176"/>
  <c r="AI185" i="176"/>
  <c r="AH27" i="176"/>
  <c r="AJ27" i="176"/>
  <c r="AI27" i="176"/>
  <c r="N221" i="176"/>
  <c r="AJ13" i="176"/>
  <c r="AI13" i="176"/>
  <c r="AH13" i="176"/>
  <c r="S97" i="176"/>
  <c r="R123" i="174"/>
  <c r="Q165" i="176" s="1"/>
  <c r="T139" i="174"/>
  <c r="S189" i="176" s="1"/>
  <c r="R155" i="174"/>
  <c r="Q213" i="176" s="1"/>
  <c r="AA75" i="174"/>
  <c r="Y101" i="176" s="1"/>
  <c r="N101" i="176"/>
  <c r="S67" i="176"/>
  <c r="W165" i="176"/>
  <c r="R139" i="174"/>
  <c r="W213" i="176"/>
  <c r="W67" i="176"/>
  <c r="S99" i="176"/>
  <c r="S131" i="176"/>
  <c r="T155" i="174"/>
  <c r="S213" i="176" s="1"/>
  <c r="AJ237" i="176"/>
  <c r="AH237" i="176"/>
  <c r="AI237" i="176"/>
  <c r="AJ40" i="176"/>
  <c r="AH40" i="176"/>
  <c r="AI40" i="176"/>
  <c r="AA163" i="174"/>
  <c r="Y225" i="176" s="1"/>
  <c r="N225" i="176"/>
  <c r="AH187" i="176"/>
  <c r="AJ187" i="176"/>
  <c r="AI187" i="176"/>
  <c r="N54" i="176"/>
  <c r="N161" i="176"/>
  <c r="N147" i="176"/>
  <c r="N197" i="176"/>
  <c r="AJ42" i="176"/>
  <c r="AI42" i="176"/>
  <c r="AH42" i="176"/>
  <c r="Z87" i="174"/>
  <c r="X117" i="176" s="1"/>
  <c r="T22" i="174" l="1"/>
  <c r="S29" i="176" s="1"/>
  <c r="W54" i="176"/>
  <c r="Z40" i="174"/>
  <c r="X54" i="176" s="1"/>
  <c r="W29" i="176"/>
  <c r="R22" i="174"/>
  <c r="Q29" i="176" s="1"/>
  <c r="AH29" i="176"/>
  <c r="AI29" i="176"/>
  <c r="W56" i="176"/>
  <c r="AA42" i="174"/>
  <c r="Y56" i="176" s="1"/>
  <c r="Z42" i="174"/>
  <c r="X56" i="176" s="1"/>
  <c r="W40" i="176"/>
  <c r="Z147" i="174"/>
  <c r="X201" i="176" s="1"/>
  <c r="X185" i="176"/>
  <c r="W129" i="176"/>
  <c r="Z131" i="174"/>
  <c r="X177" i="176" s="1"/>
  <c r="AA99" i="174"/>
  <c r="Y133" i="176" s="1"/>
  <c r="Z31" i="174"/>
  <c r="X42" i="176" s="1"/>
  <c r="AA63" i="174"/>
  <c r="Y85" i="176" s="1"/>
  <c r="W187" i="176"/>
  <c r="AA51" i="174"/>
  <c r="Y69" i="176" s="1"/>
  <c r="W15" i="176"/>
  <c r="AA147" i="174"/>
  <c r="Y201" i="176" s="1"/>
  <c r="Z99" i="174"/>
  <c r="X133" i="176" s="1"/>
  <c r="Z20" i="174"/>
  <c r="X27" i="176" s="1"/>
  <c r="W209" i="176"/>
  <c r="X173" i="176"/>
  <c r="Z63" i="174"/>
  <c r="X85" i="176" s="1"/>
  <c r="Z51" i="174"/>
  <c r="X69" i="176" s="1"/>
  <c r="AA31" i="174"/>
  <c r="Y42" i="176" s="1"/>
  <c r="X65" i="176"/>
  <c r="W81" i="176"/>
  <c r="AI15" i="176"/>
  <c r="AJ15" i="176"/>
  <c r="T11" i="174"/>
  <c r="S15" i="176" s="1"/>
  <c r="R11" i="174"/>
  <c r="Q15" i="176" s="1"/>
  <c r="X13" i="176"/>
  <c r="Z171" i="174"/>
  <c r="X237" i="176" s="1"/>
  <c r="X113" i="176"/>
  <c r="AA20" i="174"/>
  <c r="Y27" i="176" s="1"/>
  <c r="AA131" i="174"/>
  <c r="Y177" i="176" s="1"/>
  <c r="W199" i="176"/>
  <c r="Z155" i="174"/>
  <c r="X213" i="176" s="1"/>
  <c r="AA171" i="174"/>
  <c r="Y237" i="176" s="1"/>
  <c r="Z123" i="174"/>
  <c r="X165" i="176" s="1"/>
  <c r="AA123" i="174"/>
  <c r="Y165" i="176" s="1"/>
  <c r="X11" i="176"/>
  <c r="AA87" i="174"/>
  <c r="Y117" i="176" s="1"/>
  <c r="X97" i="176"/>
  <c r="W97" i="176"/>
  <c r="X115" i="176"/>
  <c r="W115" i="176"/>
  <c r="X83" i="176"/>
  <c r="W83" i="176"/>
  <c r="X233" i="176"/>
  <c r="W233" i="176"/>
  <c r="AA155" i="174"/>
  <c r="Y213" i="176" s="1"/>
  <c r="AH54" i="176"/>
  <c r="AJ54" i="176"/>
  <c r="AI54" i="176"/>
  <c r="AJ211" i="176"/>
  <c r="AI211" i="176"/>
  <c r="AH211" i="176"/>
  <c r="AH117" i="176"/>
  <c r="AJ117" i="176"/>
  <c r="AI117" i="176"/>
  <c r="AJ189" i="176"/>
  <c r="AI189" i="176"/>
  <c r="AH189" i="176"/>
  <c r="X161" i="176"/>
  <c r="W161" i="176"/>
  <c r="AJ101" i="176"/>
  <c r="AH101" i="176"/>
  <c r="AI101" i="176"/>
  <c r="X221" i="176"/>
  <c r="W221" i="176"/>
  <c r="AA40" i="174"/>
  <c r="Y54" i="176" s="1"/>
  <c r="W101" i="176"/>
  <c r="Z75" i="174"/>
  <c r="X101" i="176" s="1"/>
  <c r="AI235" i="176"/>
  <c r="AH235" i="176"/>
  <c r="AJ235" i="176"/>
  <c r="AJ175" i="176"/>
  <c r="AI175" i="176"/>
  <c r="AH175" i="176"/>
  <c r="AH221" i="176"/>
  <c r="AJ221" i="176"/>
  <c r="AI221" i="176"/>
  <c r="X99" i="176"/>
  <c r="W99" i="176"/>
  <c r="AH163" i="176"/>
  <c r="AI163" i="176"/>
  <c r="AJ163" i="176"/>
  <c r="X235" i="176"/>
  <c r="W235" i="176"/>
  <c r="AJ165" i="176"/>
  <c r="AI165" i="176"/>
  <c r="AH165" i="176"/>
  <c r="AJ99" i="176"/>
  <c r="AI99" i="176"/>
  <c r="AH99" i="176"/>
  <c r="W225" i="176"/>
  <c r="Z163" i="174"/>
  <c r="X225" i="176" s="1"/>
  <c r="AI38" i="176"/>
  <c r="AH38" i="176"/>
  <c r="AJ38" i="176"/>
  <c r="X197" i="176"/>
  <c r="W197" i="176"/>
  <c r="X38" i="176"/>
  <c r="W38" i="176"/>
  <c r="Z111" i="174"/>
  <c r="X149" i="176" s="1"/>
  <c r="W149" i="176"/>
  <c r="AA111" i="174"/>
  <c r="Y149" i="176" s="1"/>
  <c r="Q149" i="176"/>
  <c r="X163" i="176"/>
  <c r="W163" i="176"/>
  <c r="AJ223" i="176"/>
  <c r="AI223" i="176"/>
  <c r="AH223" i="176"/>
  <c r="AJ83" i="176"/>
  <c r="AI83" i="176"/>
  <c r="AH83" i="176"/>
  <c r="X67" i="176"/>
  <c r="AA139" i="174"/>
  <c r="Y189" i="176" s="1"/>
  <c r="Q189" i="176"/>
  <c r="W189" i="176"/>
  <c r="Z139" i="174"/>
  <c r="X189" i="176" s="1"/>
  <c r="AH197" i="176"/>
  <c r="AJ197" i="176"/>
  <c r="AI197" i="176"/>
  <c r="X147" i="176"/>
  <c r="W147" i="176"/>
  <c r="AJ145" i="176"/>
  <c r="AI145" i="176"/>
  <c r="AH145" i="176"/>
  <c r="AH225" i="176"/>
  <c r="AI225" i="176"/>
  <c r="AJ225" i="176"/>
  <c r="X175" i="176"/>
  <c r="W175" i="176"/>
  <c r="AJ147" i="176"/>
  <c r="AH147" i="176"/>
  <c r="AI147" i="176"/>
  <c r="AJ161" i="176"/>
  <c r="AI161" i="176"/>
  <c r="AH161" i="176"/>
  <c r="X131" i="176"/>
  <c r="W131" i="176"/>
  <c r="AJ115" i="176"/>
  <c r="AI115" i="176"/>
  <c r="AH115" i="176"/>
  <c r="AJ233" i="176"/>
  <c r="AI233" i="176"/>
  <c r="AH233" i="176"/>
  <c r="X145" i="176"/>
  <c r="W145" i="176"/>
  <c r="AJ149" i="176"/>
  <c r="AI149" i="176"/>
  <c r="AH149" i="176"/>
  <c r="Y282" i="176"/>
  <c r="X282" i="176"/>
  <c r="V282" i="176"/>
  <c r="R282" i="176"/>
  <c r="P282" i="176"/>
  <c r="O282" i="176"/>
  <c r="M282" i="176"/>
  <c r="L282" i="176"/>
  <c r="K282" i="176"/>
  <c r="J282" i="176"/>
  <c r="I282" i="176"/>
  <c r="H282" i="176"/>
  <c r="G282" i="176"/>
  <c r="F282" i="176"/>
  <c r="E282" i="176"/>
  <c r="D282" i="176"/>
  <c r="C282" i="176"/>
  <c r="B282" i="176"/>
  <c r="A282" i="176"/>
  <c r="AA280" i="176"/>
  <c r="Z280" i="176"/>
  <c r="Y280" i="176"/>
  <c r="X280" i="176"/>
  <c r="V280" i="176"/>
  <c r="U280" i="176"/>
  <c r="S280" i="176"/>
  <c r="R280" i="176"/>
  <c r="P280" i="176"/>
  <c r="O280" i="176"/>
  <c r="M280" i="176"/>
  <c r="L280" i="176"/>
  <c r="K280" i="176"/>
  <c r="J280" i="176"/>
  <c r="I280" i="176"/>
  <c r="H280" i="176"/>
  <c r="G280" i="176"/>
  <c r="F280" i="176"/>
  <c r="E280" i="176"/>
  <c r="D280" i="176"/>
  <c r="C280" i="176"/>
  <c r="B280" i="176"/>
  <c r="A280" i="176"/>
  <c r="AA279" i="176"/>
  <c r="Z279" i="176"/>
  <c r="W279" i="176"/>
  <c r="V279" i="176"/>
  <c r="U279" i="176"/>
  <c r="S279" i="176"/>
  <c r="R279" i="176"/>
  <c r="P279" i="176"/>
  <c r="O279" i="176"/>
  <c r="M279" i="176"/>
  <c r="L279" i="176"/>
  <c r="J279" i="176"/>
  <c r="I279" i="176"/>
  <c r="H279" i="176"/>
  <c r="G279" i="176"/>
  <c r="F279" i="176"/>
  <c r="E279" i="176"/>
  <c r="D279" i="176"/>
  <c r="C279" i="176"/>
  <c r="B279" i="176"/>
  <c r="A279" i="176"/>
  <c r="AA278" i="176"/>
  <c r="Z278" i="176"/>
  <c r="W278" i="176"/>
  <c r="V278" i="176"/>
  <c r="U278" i="176"/>
  <c r="S278" i="176"/>
  <c r="R278" i="176"/>
  <c r="P278" i="176"/>
  <c r="O278" i="176"/>
  <c r="M278" i="176"/>
  <c r="L278" i="176"/>
  <c r="J278" i="176"/>
  <c r="I278" i="176"/>
  <c r="H278" i="176"/>
  <c r="G278" i="176"/>
  <c r="F278" i="176"/>
  <c r="E278" i="176"/>
  <c r="D278" i="176"/>
  <c r="C278" i="176"/>
  <c r="B278" i="176"/>
  <c r="A278" i="176"/>
  <c r="Z277" i="176"/>
  <c r="W277" i="176"/>
  <c r="V277" i="176"/>
  <c r="U277" i="176"/>
  <c r="S277" i="176"/>
  <c r="R277" i="176"/>
  <c r="P277" i="176"/>
  <c r="O277" i="176"/>
  <c r="M277" i="176"/>
  <c r="L277" i="176"/>
  <c r="J277" i="176"/>
  <c r="I277" i="176"/>
  <c r="H277" i="176"/>
  <c r="G277" i="176"/>
  <c r="F277" i="176"/>
  <c r="E277" i="176"/>
  <c r="D277" i="176"/>
  <c r="C277" i="176"/>
  <c r="B277" i="176"/>
  <c r="A277" i="176"/>
  <c r="V276" i="176"/>
  <c r="R276" i="176"/>
  <c r="O276" i="176"/>
  <c r="M276" i="176"/>
  <c r="L276" i="176"/>
  <c r="K276" i="176"/>
  <c r="J276" i="176"/>
  <c r="I276" i="176"/>
  <c r="H276" i="176"/>
  <c r="G276" i="176"/>
  <c r="F276" i="176"/>
  <c r="E276" i="176"/>
  <c r="D276" i="176"/>
  <c r="C276" i="176"/>
  <c r="B276" i="176"/>
  <c r="AA275" i="176"/>
  <c r="V275" i="176"/>
  <c r="U275" i="176"/>
  <c r="S275" i="176"/>
  <c r="R275" i="176"/>
  <c r="P275" i="176"/>
  <c r="O275" i="176"/>
  <c r="M275" i="176"/>
  <c r="L275" i="176"/>
  <c r="J275" i="176"/>
  <c r="I275" i="176"/>
  <c r="H275" i="176"/>
  <c r="G275" i="176"/>
  <c r="F275" i="176"/>
  <c r="E275" i="176"/>
  <c r="D275" i="176"/>
  <c r="C275" i="176"/>
  <c r="B275" i="176"/>
  <c r="A275" i="176"/>
  <c r="AA273" i="176"/>
  <c r="Z273" i="176"/>
  <c r="V273" i="176"/>
  <c r="U273" i="176"/>
  <c r="R273" i="176"/>
  <c r="P273" i="176"/>
  <c r="O273" i="176"/>
  <c r="M273" i="176"/>
  <c r="L273" i="176"/>
  <c r="J273" i="176"/>
  <c r="I273" i="176"/>
  <c r="H273" i="176"/>
  <c r="G273" i="176"/>
  <c r="F273" i="176"/>
  <c r="E273" i="176"/>
  <c r="D273" i="176"/>
  <c r="C273" i="176"/>
  <c r="B273" i="176"/>
  <c r="A273" i="176"/>
  <c r="AA271" i="176"/>
  <c r="Z271" i="176"/>
  <c r="Y271" i="176"/>
  <c r="V271" i="176"/>
  <c r="U271" i="176"/>
  <c r="R271" i="176"/>
  <c r="Q271" i="176"/>
  <c r="P271" i="176"/>
  <c r="O271" i="176"/>
  <c r="M271" i="176"/>
  <c r="L271" i="176"/>
  <c r="J271" i="176"/>
  <c r="I271" i="176"/>
  <c r="H271" i="176"/>
  <c r="G271" i="176"/>
  <c r="F271" i="176"/>
  <c r="E271" i="176"/>
  <c r="D271" i="176"/>
  <c r="C271" i="176"/>
  <c r="B271" i="176"/>
  <c r="A271" i="176"/>
  <c r="AA269" i="176"/>
  <c r="Z269" i="176"/>
  <c r="Y269" i="176"/>
  <c r="V269" i="176"/>
  <c r="U269" i="176"/>
  <c r="R269" i="176"/>
  <c r="Q269" i="176"/>
  <c r="P269" i="176"/>
  <c r="O269" i="176"/>
  <c r="M269" i="176"/>
  <c r="L269" i="176"/>
  <c r="J269" i="176"/>
  <c r="I269" i="176"/>
  <c r="H269" i="176"/>
  <c r="G269" i="176"/>
  <c r="F269" i="176"/>
  <c r="E269" i="176"/>
  <c r="D269" i="176"/>
  <c r="C269" i="176"/>
  <c r="B269" i="176"/>
  <c r="A269" i="176"/>
  <c r="AA268" i="176"/>
  <c r="Y268" i="176"/>
  <c r="V268" i="176"/>
  <c r="U268" i="176"/>
  <c r="R268" i="176"/>
  <c r="Q268" i="176"/>
  <c r="P268" i="176"/>
  <c r="O268" i="176"/>
  <c r="M268" i="176"/>
  <c r="L268" i="176"/>
  <c r="J268" i="176"/>
  <c r="I268" i="176"/>
  <c r="H268" i="176"/>
  <c r="G268" i="176"/>
  <c r="F268" i="176"/>
  <c r="E268" i="176"/>
  <c r="D268" i="176"/>
  <c r="C268" i="176"/>
  <c r="B268" i="176"/>
  <c r="AA267" i="176"/>
  <c r="Y267" i="176"/>
  <c r="V267" i="176"/>
  <c r="U267" i="176"/>
  <c r="R267" i="176"/>
  <c r="Q267" i="176"/>
  <c r="P267" i="176"/>
  <c r="O267" i="176"/>
  <c r="M267" i="176"/>
  <c r="L267" i="176"/>
  <c r="J267" i="176"/>
  <c r="I267" i="176"/>
  <c r="H267" i="176"/>
  <c r="G267" i="176"/>
  <c r="F267" i="176"/>
  <c r="E267" i="176"/>
  <c r="D267" i="176"/>
  <c r="C267" i="176"/>
  <c r="B267" i="176"/>
  <c r="AA265" i="176"/>
  <c r="Z265" i="176"/>
  <c r="V265" i="176"/>
  <c r="U265" i="176"/>
  <c r="R265" i="176"/>
  <c r="P265" i="176"/>
  <c r="O265" i="176"/>
  <c r="M265" i="176"/>
  <c r="L265" i="176"/>
  <c r="J265" i="176"/>
  <c r="I265" i="176"/>
  <c r="H265" i="176"/>
  <c r="G265" i="176"/>
  <c r="F265" i="176"/>
  <c r="E265" i="176"/>
  <c r="D265" i="176"/>
  <c r="C265" i="176"/>
  <c r="B265" i="176"/>
  <c r="A265" i="176"/>
  <c r="AA263" i="176"/>
  <c r="Z263" i="176"/>
  <c r="Y263" i="176"/>
  <c r="V263" i="176"/>
  <c r="U263" i="176"/>
  <c r="R263" i="176"/>
  <c r="Q263" i="176"/>
  <c r="P263" i="176"/>
  <c r="O263" i="176"/>
  <c r="M263" i="176"/>
  <c r="L263" i="176"/>
  <c r="J263" i="176"/>
  <c r="I263" i="176"/>
  <c r="H263" i="176"/>
  <c r="G263" i="176"/>
  <c r="F263" i="176"/>
  <c r="E263" i="176"/>
  <c r="D263" i="176"/>
  <c r="C263" i="176"/>
  <c r="B263" i="176"/>
  <c r="A263" i="176"/>
  <c r="AA261" i="176"/>
  <c r="Z261" i="176"/>
  <c r="Y261" i="176"/>
  <c r="V261" i="176"/>
  <c r="U261" i="176"/>
  <c r="R261" i="176"/>
  <c r="Q261" i="176"/>
  <c r="P261" i="176"/>
  <c r="O261" i="176"/>
  <c r="M261" i="176"/>
  <c r="L261" i="176"/>
  <c r="J261" i="176"/>
  <c r="I261" i="176"/>
  <c r="H261" i="176"/>
  <c r="G261" i="176"/>
  <c r="F261" i="176"/>
  <c r="E261" i="176"/>
  <c r="D261" i="176"/>
  <c r="C261" i="176"/>
  <c r="B261" i="176"/>
  <c r="A261" i="176"/>
  <c r="AA260" i="176"/>
  <c r="Y260" i="176"/>
  <c r="V260" i="176"/>
  <c r="U260" i="176"/>
  <c r="R260" i="176"/>
  <c r="Q260" i="176"/>
  <c r="P260" i="176"/>
  <c r="O260" i="176"/>
  <c r="M260" i="176"/>
  <c r="L260" i="176"/>
  <c r="J260" i="176"/>
  <c r="I260" i="176"/>
  <c r="H260" i="176"/>
  <c r="G260" i="176"/>
  <c r="F260" i="176"/>
  <c r="E260" i="176"/>
  <c r="D260" i="176"/>
  <c r="C260" i="176"/>
  <c r="B260" i="176"/>
  <c r="AA259" i="176"/>
  <c r="Y259" i="176"/>
  <c r="V259" i="176"/>
  <c r="U259" i="176"/>
  <c r="R259" i="176"/>
  <c r="Q259" i="176"/>
  <c r="P259" i="176"/>
  <c r="O259" i="176"/>
  <c r="M259" i="176"/>
  <c r="L259" i="176"/>
  <c r="J259" i="176"/>
  <c r="I259" i="176"/>
  <c r="H259" i="176"/>
  <c r="G259" i="176"/>
  <c r="F259" i="176"/>
  <c r="E259" i="176"/>
  <c r="D259" i="176"/>
  <c r="C259" i="176"/>
  <c r="B259" i="176"/>
  <c r="AA257" i="176"/>
  <c r="Z257" i="176"/>
  <c r="V257" i="176"/>
  <c r="U257" i="176"/>
  <c r="R257" i="176"/>
  <c r="P257" i="176"/>
  <c r="O257" i="176"/>
  <c r="M257" i="176"/>
  <c r="L257" i="176"/>
  <c r="J257" i="176"/>
  <c r="I257" i="176"/>
  <c r="H257" i="176"/>
  <c r="G257" i="176"/>
  <c r="F257" i="176"/>
  <c r="E257" i="176"/>
  <c r="D257" i="176"/>
  <c r="C257" i="176"/>
  <c r="B257" i="176"/>
  <c r="A257" i="176"/>
  <c r="AA255" i="176"/>
  <c r="Z255" i="176"/>
  <c r="Y255" i="176"/>
  <c r="V255" i="176"/>
  <c r="U255" i="176"/>
  <c r="R255" i="176"/>
  <c r="Q255" i="176"/>
  <c r="P255" i="176"/>
  <c r="O255" i="176"/>
  <c r="M255" i="176"/>
  <c r="L255" i="176"/>
  <c r="J255" i="176"/>
  <c r="I255" i="176"/>
  <c r="H255" i="176"/>
  <c r="G255" i="176"/>
  <c r="F255" i="176"/>
  <c r="E255" i="176"/>
  <c r="D255" i="176"/>
  <c r="C255" i="176"/>
  <c r="B255" i="176"/>
  <c r="A255" i="176"/>
  <c r="AA253" i="176"/>
  <c r="Z253" i="176"/>
  <c r="Y253" i="176"/>
  <c r="V253" i="176"/>
  <c r="U253" i="176"/>
  <c r="R253" i="176"/>
  <c r="Q253" i="176"/>
  <c r="P253" i="176"/>
  <c r="O253" i="176"/>
  <c r="M253" i="176"/>
  <c r="L253" i="176"/>
  <c r="J253" i="176"/>
  <c r="I253" i="176"/>
  <c r="H253" i="176"/>
  <c r="G253" i="176"/>
  <c r="F253" i="176"/>
  <c r="E253" i="176"/>
  <c r="D253" i="176"/>
  <c r="C253" i="176"/>
  <c r="B253" i="176"/>
  <c r="A253" i="176"/>
  <c r="AA251" i="176"/>
  <c r="Y251" i="176"/>
  <c r="V251" i="176"/>
  <c r="U251" i="176"/>
  <c r="R251" i="176"/>
  <c r="Q251" i="176"/>
  <c r="P251" i="176"/>
  <c r="O251" i="176"/>
  <c r="M251" i="176"/>
  <c r="L251" i="176"/>
  <c r="J251" i="176"/>
  <c r="I251" i="176"/>
  <c r="H251" i="176"/>
  <c r="G251" i="176"/>
  <c r="F251" i="176"/>
  <c r="E251" i="176"/>
  <c r="D251" i="176"/>
  <c r="C251" i="176"/>
  <c r="B251" i="176"/>
  <c r="AA250" i="176"/>
  <c r="Y250" i="176"/>
  <c r="V250" i="176"/>
  <c r="U250" i="176"/>
  <c r="R250" i="176"/>
  <c r="Q250" i="176"/>
  <c r="P250" i="176"/>
  <c r="O250" i="176"/>
  <c r="M250" i="176"/>
  <c r="L250" i="176"/>
  <c r="J250" i="176"/>
  <c r="I250" i="176"/>
  <c r="H250" i="176"/>
  <c r="G250" i="176"/>
  <c r="F250" i="176"/>
  <c r="E250" i="176"/>
  <c r="D250" i="176"/>
  <c r="C250" i="176"/>
  <c r="B250" i="176"/>
  <c r="AA248" i="176"/>
  <c r="Z248" i="176"/>
  <c r="V248" i="176"/>
  <c r="U248" i="176"/>
  <c r="R248" i="176"/>
  <c r="P248" i="176"/>
  <c r="O248" i="176"/>
  <c r="M248" i="176"/>
  <c r="L248" i="176"/>
  <c r="J248" i="176"/>
  <c r="I248" i="176"/>
  <c r="H248" i="176"/>
  <c r="G248" i="176"/>
  <c r="F248" i="176"/>
  <c r="E248" i="176"/>
  <c r="D248" i="176"/>
  <c r="C248" i="176"/>
  <c r="B248" i="176"/>
  <c r="A248" i="176"/>
  <c r="AA246" i="176"/>
  <c r="Z246" i="176"/>
  <c r="Y246" i="176"/>
  <c r="V246" i="176"/>
  <c r="U246" i="176"/>
  <c r="R246" i="176"/>
  <c r="Q246" i="176"/>
  <c r="P246" i="176"/>
  <c r="O246" i="176"/>
  <c r="M246" i="176"/>
  <c r="L246" i="176"/>
  <c r="J246" i="176"/>
  <c r="I246" i="176"/>
  <c r="H246" i="176"/>
  <c r="G246" i="176"/>
  <c r="F246" i="176"/>
  <c r="E246" i="176"/>
  <c r="D246" i="176"/>
  <c r="C246" i="176"/>
  <c r="B246" i="176"/>
  <c r="A246" i="176"/>
  <c r="AA244" i="176"/>
  <c r="Z244" i="176"/>
  <c r="Y244" i="176"/>
  <c r="V244" i="176"/>
  <c r="U244" i="176"/>
  <c r="R244" i="176"/>
  <c r="Q244" i="176"/>
  <c r="P244" i="176"/>
  <c r="O244" i="176"/>
  <c r="M244" i="176"/>
  <c r="L244" i="176"/>
  <c r="J244" i="176"/>
  <c r="I244" i="176"/>
  <c r="H244" i="176"/>
  <c r="G244" i="176"/>
  <c r="F244" i="176"/>
  <c r="E244" i="176"/>
  <c r="D244" i="176"/>
  <c r="C244" i="176"/>
  <c r="B244" i="176"/>
  <c r="A244" i="176"/>
  <c r="AA243" i="176"/>
  <c r="Y243" i="176"/>
  <c r="V243" i="176"/>
  <c r="U243" i="176"/>
  <c r="R243" i="176"/>
  <c r="Q243" i="176"/>
  <c r="P243" i="176"/>
  <c r="O243" i="176"/>
  <c r="M243" i="176"/>
  <c r="L243" i="176"/>
  <c r="J243" i="176"/>
  <c r="I243" i="176"/>
  <c r="H243" i="176"/>
  <c r="G243" i="176"/>
  <c r="F243" i="176"/>
  <c r="E243" i="176"/>
  <c r="D243" i="176"/>
  <c r="C243" i="176"/>
  <c r="B243" i="176"/>
  <c r="AA242" i="176"/>
  <c r="Y242" i="176"/>
  <c r="V242" i="176"/>
  <c r="U242" i="176"/>
  <c r="R242" i="176"/>
  <c r="Q242" i="176"/>
  <c r="P242" i="176"/>
  <c r="O242" i="176"/>
  <c r="M242" i="176"/>
  <c r="L242" i="176"/>
  <c r="J242" i="176"/>
  <c r="I242" i="176"/>
  <c r="H242" i="176"/>
  <c r="G242" i="176"/>
  <c r="F242" i="176"/>
  <c r="E242" i="176"/>
  <c r="D242" i="176"/>
  <c r="C242" i="176"/>
  <c r="B242" i="176"/>
  <c r="V241" i="176"/>
  <c r="R241" i="176"/>
  <c r="O241" i="176"/>
  <c r="M241" i="176"/>
  <c r="L241" i="176"/>
  <c r="K241" i="176"/>
  <c r="J241" i="176"/>
  <c r="I241" i="176"/>
  <c r="H241" i="176"/>
  <c r="G241" i="176"/>
  <c r="F241" i="176"/>
  <c r="E241" i="176"/>
  <c r="D241" i="176"/>
  <c r="C241" i="176"/>
  <c r="B241" i="176"/>
  <c r="AA240" i="176"/>
  <c r="Z240" i="176"/>
  <c r="V240" i="176"/>
  <c r="U240" i="176"/>
  <c r="S240" i="176"/>
  <c r="R240" i="176"/>
  <c r="P240" i="176"/>
  <c r="O240" i="176"/>
  <c r="M240" i="176"/>
  <c r="L240" i="176"/>
  <c r="J240" i="176"/>
  <c r="I240" i="176"/>
  <c r="H240" i="176"/>
  <c r="G240" i="176"/>
  <c r="F240" i="176"/>
  <c r="E240" i="176"/>
  <c r="D240" i="176"/>
  <c r="C240" i="176"/>
  <c r="B240" i="176"/>
  <c r="AA239" i="176"/>
  <c r="Z239" i="176"/>
  <c r="V239" i="176"/>
  <c r="U239" i="176"/>
  <c r="S239" i="176"/>
  <c r="R239" i="176"/>
  <c r="P239" i="176"/>
  <c r="O239" i="176"/>
  <c r="M239" i="176"/>
  <c r="L239" i="176"/>
  <c r="J239" i="176"/>
  <c r="I239" i="176"/>
  <c r="H239" i="176"/>
  <c r="G239" i="176"/>
  <c r="F239" i="176"/>
  <c r="E239" i="176"/>
  <c r="D239" i="176"/>
  <c r="C239" i="176"/>
  <c r="B239" i="176"/>
  <c r="AA238" i="176"/>
  <c r="V238" i="176"/>
  <c r="U238" i="176"/>
  <c r="S238" i="176"/>
  <c r="R238" i="176"/>
  <c r="P238" i="176"/>
  <c r="O238" i="176"/>
  <c r="M238" i="176"/>
  <c r="L238" i="176"/>
  <c r="J238" i="176"/>
  <c r="I238" i="176"/>
  <c r="H238" i="176"/>
  <c r="G238" i="176"/>
  <c r="F238" i="176"/>
  <c r="E238" i="176"/>
  <c r="D238" i="176"/>
  <c r="C238" i="176"/>
  <c r="B238" i="176"/>
  <c r="A238" i="176"/>
  <c r="AA236" i="176"/>
  <c r="Z236" i="176"/>
  <c r="V236" i="176"/>
  <c r="U236" i="176"/>
  <c r="R236" i="176"/>
  <c r="P236" i="176"/>
  <c r="O236" i="176"/>
  <c r="M236" i="176"/>
  <c r="L236" i="176"/>
  <c r="J236" i="176"/>
  <c r="I236" i="176"/>
  <c r="H236" i="176"/>
  <c r="G236" i="176"/>
  <c r="F236" i="176"/>
  <c r="E236" i="176"/>
  <c r="D236" i="176"/>
  <c r="C236" i="176"/>
  <c r="B236" i="176"/>
  <c r="A236" i="176"/>
  <c r="AA234" i="176"/>
  <c r="Z234" i="176"/>
  <c r="Y234" i="176"/>
  <c r="V234" i="176"/>
  <c r="U234" i="176"/>
  <c r="R234" i="176"/>
  <c r="Q234" i="176"/>
  <c r="P234" i="176"/>
  <c r="O234" i="176"/>
  <c r="M234" i="176"/>
  <c r="L234" i="176"/>
  <c r="J234" i="176"/>
  <c r="I234" i="176"/>
  <c r="H234" i="176"/>
  <c r="G234" i="176"/>
  <c r="F234" i="176"/>
  <c r="E234" i="176"/>
  <c r="D234" i="176"/>
  <c r="C234" i="176"/>
  <c r="B234" i="176"/>
  <c r="A234" i="176"/>
  <c r="AA232" i="176"/>
  <c r="Z232" i="176"/>
  <c r="Y232" i="176"/>
  <c r="V232" i="176"/>
  <c r="U232" i="176"/>
  <c r="R232" i="176"/>
  <c r="Q232" i="176"/>
  <c r="P232" i="176"/>
  <c r="O232" i="176"/>
  <c r="M232" i="176"/>
  <c r="L232" i="176"/>
  <c r="J232" i="176"/>
  <c r="I232" i="176"/>
  <c r="H232" i="176"/>
  <c r="G232" i="176"/>
  <c r="F232" i="176"/>
  <c r="E232" i="176"/>
  <c r="D232" i="176"/>
  <c r="C232" i="176"/>
  <c r="B232" i="176"/>
  <c r="A232" i="176"/>
  <c r="AA231" i="176"/>
  <c r="Y231" i="176"/>
  <c r="V231" i="176"/>
  <c r="U231" i="176"/>
  <c r="R231" i="176"/>
  <c r="Q231" i="176"/>
  <c r="P231" i="176"/>
  <c r="O231" i="176"/>
  <c r="M231" i="176"/>
  <c r="L231" i="176"/>
  <c r="J231" i="176"/>
  <c r="I231" i="176"/>
  <c r="H231" i="176"/>
  <c r="G231" i="176"/>
  <c r="F231" i="176"/>
  <c r="E231" i="176"/>
  <c r="D231" i="176"/>
  <c r="C231" i="176"/>
  <c r="B231" i="176"/>
  <c r="AA230" i="176"/>
  <c r="Y230" i="176"/>
  <c r="V230" i="176"/>
  <c r="U230" i="176"/>
  <c r="R230" i="176"/>
  <c r="Q230" i="176"/>
  <c r="P230" i="176"/>
  <c r="O230" i="176"/>
  <c r="M230" i="176"/>
  <c r="L230" i="176"/>
  <c r="J230" i="176"/>
  <c r="I230" i="176"/>
  <c r="H230" i="176"/>
  <c r="G230" i="176"/>
  <c r="F230" i="176"/>
  <c r="E230" i="176"/>
  <c r="D230" i="176"/>
  <c r="C230" i="176"/>
  <c r="B230" i="176"/>
  <c r="V229" i="176"/>
  <c r="R229" i="176"/>
  <c r="O229" i="176"/>
  <c r="M229" i="176"/>
  <c r="L229" i="176"/>
  <c r="K229" i="176"/>
  <c r="J229" i="176"/>
  <c r="I229" i="176"/>
  <c r="H229" i="176"/>
  <c r="G229" i="176"/>
  <c r="F229" i="176"/>
  <c r="E229" i="176"/>
  <c r="D229" i="176"/>
  <c r="C229" i="176"/>
  <c r="B229" i="176"/>
  <c r="AA228" i="176"/>
  <c r="Z228" i="176"/>
  <c r="V228" i="176"/>
  <c r="U228" i="176"/>
  <c r="S228" i="176"/>
  <c r="R228" i="176"/>
  <c r="P228" i="176"/>
  <c r="O228" i="176"/>
  <c r="M228" i="176"/>
  <c r="L228" i="176"/>
  <c r="J228" i="176"/>
  <c r="I228" i="176"/>
  <c r="H228" i="176"/>
  <c r="G228" i="176"/>
  <c r="F228" i="176"/>
  <c r="E228" i="176"/>
  <c r="D228" i="176"/>
  <c r="C228" i="176"/>
  <c r="B228" i="176"/>
  <c r="AA227" i="176"/>
  <c r="Z227" i="176"/>
  <c r="V227" i="176"/>
  <c r="U227" i="176"/>
  <c r="S227" i="176"/>
  <c r="R227" i="176"/>
  <c r="P227" i="176"/>
  <c r="O227" i="176"/>
  <c r="M227" i="176"/>
  <c r="L227" i="176"/>
  <c r="J227" i="176"/>
  <c r="I227" i="176"/>
  <c r="H227" i="176"/>
  <c r="G227" i="176"/>
  <c r="F227" i="176"/>
  <c r="E227" i="176"/>
  <c r="D227" i="176"/>
  <c r="C227" i="176"/>
  <c r="B227" i="176"/>
  <c r="AA226" i="176"/>
  <c r="V226" i="176"/>
  <c r="U226" i="176"/>
  <c r="S226" i="176"/>
  <c r="R226" i="176"/>
  <c r="P226" i="176"/>
  <c r="O226" i="176"/>
  <c r="M226" i="176"/>
  <c r="L226" i="176"/>
  <c r="J226" i="176"/>
  <c r="I226" i="176"/>
  <c r="H226" i="176"/>
  <c r="G226" i="176"/>
  <c r="F226" i="176"/>
  <c r="E226" i="176"/>
  <c r="D226" i="176"/>
  <c r="C226" i="176"/>
  <c r="B226" i="176"/>
  <c r="A226" i="176"/>
  <c r="AA224" i="176"/>
  <c r="Z224" i="176"/>
  <c r="V224" i="176"/>
  <c r="U224" i="176"/>
  <c r="R224" i="176"/>
  <c r="P224" i="176"/>
  <c r="O224" i="176"/>
  <c r="M224" i="176"/>
  <c r="L224" i="176"/>
  <c r="J224" i="176"/>
  <c r="I224" i="176"/>
  <c r="H224" i="176"/>
  <c r="G224" i="176"/>
  <c r="F224" i="176"/>
  <c r="E224" i="176"/>
  <c r="D224" i="176"/>
  <c r="C224" i="176"/>
  <c r="B224" i="176"/>
  <c r="A224" i="176"/>
  <c r="AA222" i="176"/>
  <c r="Z222" i="176"/>
  <c r="Y222" i="176"/>
  <c r="V222" i="176"/>
  <c r="U222" i="176"/>
  <c r="R222" i="176"/>
  <c r="Q222" i="176"/>
  <c r="P222" i="176"/>
  <c r="O222" i="176"/>
  <c r="M222" i="176"/>
  <c r="L222" i="176"/>
  <c r="J222" i="176"/>
  <c r="I222" i="176"/>
  <c r="H222" i="176"/>
  <c r="G222" i="176"/>
  <c r="F222" i="176"/>
  <c r="E222" i="176"/>
  <c r="D222" i="176"/>
  <c r="C222" i="176"/>
  <c r="B222" i="176"/>
  <c r="A222" i="176"/>
  <c r="AA220" i="176"/>
  <c r="Z220" i="176"/>
  <c r="Y220" i="176"/>
  <c r="V220" i="176"/>
  <c r="U220" i="176"/>
  <c r="R220" i="176"/>
  <c r="Q220" i="176"/>
  <c r="P220" i="176"/>
  <c r="O220" i="176"/>
  <c r="M220" i="176"/>
  <c r="L220" i="176"/>
  <c r="J220" i="176"/>
  <c r="I220" i="176"/>
  <c r="H220" i="176"/>
  <c r="G220" i="176"/>
  <c r="F220" i="176"/>
  <c r="E220" i="176"/>
  <c r="D220" i="176"/>
  <c r="C220" i="176"/>
  <c r="B220" i="176"/>
  <c r="A220" i="176"/>
  <c r="AA219" i="176"/>
  <c r="Y219" i="176"/>
  <c r="V219" i="176"/>
  <c r="U219" i="176"/>
  <c r="R219" i="176"/>
  <c r="Q219" i="176"/>
  <c r="P219" i="176"/>
  <c r="O219" i="176"/>
  <c r="M219" i="176"/>
  <c r="L219" i="176"/>
  <c r="J219" i="176"/>
  <c r="I219" i="176"/>
  <c r="H219" i="176"/>
  <c r="G219" i="176"/>
  <c r="F219" i="176"/>
  <c r="E219" i="176"/>
  <c r="D219" i="176"/>
  <c r="C219" i="176"/>
  <c r="B219" i="176"/>
  <c r="AA218" i="176"/>
  <c r="Y218" i="176"/>
  <c r="V218" i="176"/>
  <c r="U218" i="176"/>
  <c r="R218" i="176"/>
  <c r="Q218" i="176"/>
  <c r="P218" i="176"/>
  <c r="O218" i="176"/>
  <c r="M218" i="176"/>
  <c r="L218" i="176"/>
  <c r="J218" i="176"/>
  <c r="I218" i="176"/>
  <c r="H218" i="176"/>
  <c r="G218" i="176"/>
  <c r="F218" i="176"/>
  <c r="E218" i="176"/>
  <c r="D218" i="176"/>
  <c r="C218" i="176"/>
  <c r="B218" i="176"/>
  <c r="V217" i="176"/>
  <c r="R217" i="176"/>
  <c r="O217" i="176"/>
  <c r="M217" i="176"/>
  <c r="L217" i="176"/>
  <c r="K217" i="176"/>
  <c r="J217" i="176"/>
  <c r="I217" i="176"/>
  <c r="H217" i="176"/>
  <c r="G217" i="176"/>
  <c r="F217" i="176"/>
  <c r="E217" i="176"/>
  <c r="D217" i="176"/>
  <c r="C217" i="176"/>
  <c r="B217" i="176"/>
  <c r="AA216" i="176"/>
  <c r="Z216" i="176"/>
  <c r="V216" i="176"/>
  <c r="U216" i="176"/>
  <c r="S216" i="176"/>
  <c r="R216" i="176"/>
  <c r="P216" i="176"/>
  <c r="O216" i="176"/>
  <c r="M216" i="176"/>
  <c r="L216" i="176"/>
  <c r="J216" i="176"/>
  <c r="I216" i="176"/>
  <c r="H216" i="176"/>
  <c r="G216" i="176"/>
  <c r="F216" i="176"/>
  <c r="E216" i="176"/>
  <c r="D216" i="176"/>
  <c r="C216" i="176"/>
  <c r="B216" i="176"/>
  <c r="AA215" i="176"/>
  <c r="Z215" i="176"/>
  <c r="V215" i="176"/>
  <c r="U215" i="176"/>
  <c r="S215" i="176"/>
  <c r="R215" i="176"/>
  <c r="P215" i="176"/>
  <c r="O215" i="176"/>
  <c r="M215" i="176"/>
  <c r="L215" i="176"/>
  <c r="J215" i="176"/>
  <c r="I215" i="176"/>
  <c r="H215" i="176"/>
  <c r="G215" i="176"/>
  <c r="F215" i="176"/>
  <c r="E215" i="176"/>
  <c r="D215" i="176"/>
  <c r="C215" i="176"/>
  <c r="B215" i="176"/>
  <c r="AA214" i="176"/>
  <c r="V214" i="176"/>
  <c r="U214" i="176"/>
  <c r="S214" i="176"/>
  <c r="R214" i="176"/>
  <c r="P214" i="176"/>
  <c r="O214" i="176"/>
  <c r="M214" i="176"/>
  <c r="L214" i="176"/>
  <c r="J214" i="176"/>
  <c r="I214" i="176"/>
  <c r="H214" i="176"/>
  <c r="G214" i="176"/>
  <c r="F214" i="176"/>
  <c r="E214" i="176"/>
  <c r="D214" i="176"/>
  <c r="C214" i="176"/>
  <c r="B214" i="176"/>
  <c r="A214" i="176"/>
  <c r="AA212" i="176"/>
  <c r="Z212" i="176"/>
  <c r="V212" i="176"/>
  <c r="U212" i="176"/>
  <c r="R212" i="176"/>
  <c r="P212" i="176"/>
  <c r="O212" i="176"/>
  <c r="M212" i="176"/>
  <c r="L212" i="176"/>
  <c r="J212" i="176"/>
  <c r="I212" i="176"/>
  <c r="H212" i="176"/>
  <c r="G212" i="176"/>
  <c r="F212" i="176"/>
  <c r="E212" i="176"/>
  <c r="D212" i="176"/>
  <c r="C212" i="176"/>
  <c r="B212" i="176"/>
  <c r="A212" i="176"/>
  <c r="AA210" i="176"/>
  <c r="Z210" i="176"/>
  <c r="Y210" i="176"/>
  <c r="V210" i="176"/>
  <c r="U210" i="176"/>
  <c r="R210" i="176"/>
  <c r="Q210" i="176"/>
  <c r="P210" i="176"/>
  <c r="O210" i="176"/>
  <c r="M210" i="176"/>
  <c r="L210" i="176"/>
  <c r="J210" i="176"/>
  <c r="I210" i="176"/>
  <c r="H210" i="176"/>
  <c r="G210" i="176"/>
  <c r="F210" i="176"/>
  <c r="E210" i="176"/>
  <c r="D210" i="176"/>
  <c r="C210" i="176"/>
  <c r="B210" i="176"/>
  <c r="A210" i="176"/>
  <c r="AA208" i="176"/>
  <c r="Z208" i="176"/>
  <c r="Y208" i="176"/>
  <c r="V208" i="176"/>
  <c r="U208" i="176"/>
  <c r="R208" i="176"/>
  <c r="Q208" i="176"/>
  <c r="P208" i="176"/>
  <c r="O208" i="176"/>
  <c r="M208" i="176"/>
  <c r="L208" i="176"/>
  <c r="J208" i="176"/>
  <c r="I208" i="176"/>
  <c r="H208" i="176"/>
  <c r="G208" i="176"/>
  <c r="F208" i="176"/>
  <c r="E208" i="176"/>
  <c r="D208" i="176"/>
  <c r="C208" i="176"/>
  <c r="B208" i="176"/>
  <c r="A208" i="176"/>
  <c r="AA207" i="176"/>
  <c r="Y207" i="176"/>
  <c r="V207" i="176"/>
  <c r="U207" i="176"/>
  <c r="R207" i="176"/>
  <c r="Q207" i="176"/>
  <c r="P207" i="176"/>
  <c r="O207" i="176"/>
  <c r="M207" i="176"/>
  <c r="L207" i="176"/>
  <c r="J207" i="176"/>
  <c r="I207" i="176"/>
  <c r="H207" i="176"/>
  <c r="G207" i="176"/>
  <c r="F207" i="176"/>
  <c r="E207" i="176"/>
  <c r="D207" i="176"/>
  <c r="C207" i="176"/>
  <c r="B207" i="176"/>
  <c r="AA206" i="176"/>
  <c r="Y206" i="176"/>
  <c r="V206" i="176"/>
  <c r="U206" i="176"/>
  <c r="R206" i="176"/>
  <c r="Q206" i="176"/>
  <c r="P206" i="176"/>
  <c r="O206" i="176"/>
  <c r="M206" i="176"/>
  <c r="L206" i="176"/>
  <c r="J206" i="176"/>
  <c r="I206" i="176"/>
  <c r="H206" i="176"/>
  <c r="G206" i="176"/>
  <c r="F206" i="176"/>
  <c r="E206" i="176"/>
  <c r="D206" i="176"/>
  <c r="C206" i="176"/>
  <c r="B206" i="176"/>
  <c r="V205" i="176"/>
  <c r="R205" i="176"/>
  <c r="O205" i="176"/>
  <c r="M205" i="176"/>
  <c r="L205" i="176"/>
  <c r="K205" i="176"/>
  <c r="J205" i="176"/>
  <c r="I205" i="176"/>
  <c r="H205" i="176"/>
  <c r="G205" i="176"/>
  <c r="F205" i="176"/>
  <c r="E205" i="176"/>
  <c r="D205" i="176"/>
  <c r="C205" i="176"/>
  <c r="B205" i="176"/>
  <c r="AA204" i="176"/>
  <c r="Z204" i="176"/>
  <c r="V204" i="176"/>
  <c r="U204" i="176"/>
  <c r="S204" i="176"/>
  <c r="R204" i="176"/>
  <c r="P204" i="176"/>
  <c r="O204" i="176"/>
  <c r="M204" i="176"/>
  <c r="L204" i="176"/>
  <c r="J204" i="176"/>
  <c r="I204" i="176"/>
  <c r="H204" i="176"/>
  <c r="G204" i="176"/>
  <c r="F204" i="176"/>
  <c r="E204" i="176"/>
  <c r="D204" i="176"/>
  <c r="C204" i="176"/>
  <c r="B204" i="176"/>
  <c r="AA203" i="176"/>
  <c r="Z203" i="176"/>
  <c r="V203" i="176"/>
  <c r="U203" i="176"/>
  <c r="S203" i="176"/>
  <c r="R203" i="176"/>
  <c r="P203" i="176"/>
  <c r="O203" i="176"/>
  <c r="M203" i="176"/>
  <c r="L203" i="176"/>
  <c r="J203" i="176"/>
  <c r="I203" i="176"/>
  <c r="H203" i="176"/>
  <c r="G203" i="176"/>
  <c r="F203" i="176"/>
  <c r="E203" i="176"/>
  <c r="D203" i="176"/>
  <c r="C203" i="176"/>
  <c r="B203" i="176"/>
  <c r="AA202" i="176"/>
  <c r="V202" i="176"/>
  <c r="U202" i="176"/>
  <c r="S202" i="176"/>
  <c r="R202" i="176"/>
  <c r="P202" i="176"/>
  <c r="O202" i="176"/>
  <c r="M202" i="176"/>
  <c r="L202" i="176"/>
  <c r="J202" i="176"/>
  <c r="I202" i="176"/>
  <c r="H202" i="176"/>
  <c r="G202" i="176"/>
  <c r="F202" i="176"/>
  <c r="E202" i="176"/>
  <c r="D202" i="176"/>
  <c r="C202" i="176"/>
  <c r="B202" i="176"/>
  <c r="A202" i="176"/>
  <c r="AA200" i="176"/>
  <c r="Z200" i="176"/>
  <c r="V200" i="176"/>
  <c r="U200" i="176"/>
  <c r="R200" i="176"/>
  <c r="P200" i="176"/>
  <c r="O200" i="176"/>
  <c r="M200" i="176"/>
  <c r="L200" i="176"/>
  <c r="J200" i="176"/>
  <c r="I200" i="176"/>
  <c r="H200" i="176"/>
  <c r="G200" i="176"/>
  <c r="F200" i="176"/>
  <c r="E200" i="176"/>
  <c r="D200" i="176"/>
  <c r="C200" i="176"/>
  <c r="B200" i="176"/>
  <c r="A200" i="176"/>
  <c r="AA198" i="176"/>
  <c r="Z198" i="176"/>
  <c r="Y198" i="176"/>
  <c r="V198" i="176"/>
  <c r="U198" i="176"/>
  <c r="R198" i="176"/>
  <c r="Q198" i="176"/>
  <c r="P198" i="176"/>
  <c r="O198" i="176"/>
  <c r="M198" i="176"/>
  <c r="L198" i="176"/>
  <c r="J198" i="176"/>
  <c r="I198" i="176"/>
  <c r="H198" i="176"/>
  <c r="G198" i="176"/>
  <c r="F198" i="176"/>
  <c r="E198" i="176"/>
  <c r="D198" i="176"/>
  <c r="C198" i="176"/>
  <c r="B198" i="176"/>
  <c r="A198" i="176"/>
  <c r="AA196" i="176"/>
  <c r="Z196" i="176"/>
  <c r="Y196" i="176"/>
  <c r="V196" i="176"/>
  <c r="U196" i="176"/>
  <c r="R196" i="176"/>
  <c r="Q196" i="176"/>
  <c r="P196" i="176"/>
  <c r="O196" i="176"/>
  <c r="M196" i="176"/>
  <c r="L196" i="176"/>
  <c r="J196" i="176"/>
  <c r="I196" i="176"/>
  <c r="H196" i="176"/>
  <c r="G196" i="176"/>
  <c r="F196" i="176"/>
  <c r="E196" i="176"/>
  <c r="D196" i="176"/>
  <c r="C196" i="176"/>
  <c r="B196" i="176"/>
  <c r="A196" i="176"/>
  <c r="AA195" i="176"/>
  <c r="Y195" i="176"/>
  <c r="V195" i="176"/>
  <c r="U195" i="176"/>
  <c r="R195" i="176"/>
  <c r="Q195" i="176"/>
  <c r="P195" i="176"/>
  <c r="O195" i="176"/>
  <c r="M195" i="176"/>
  <c r="L195" i="176"/>
  <c r="J195" i="176"/>
  <c r="I195" i="176"/>
  <c r="H195" i="176"/>
  <c r="G195" i="176"/>
  <c r="F195" i="176"/>
  <c r="E195" i="176"/>
  <c r="D195" i="176"/>
  <c r="C195" i="176"/>
  <c r="B195" i="176"/>
  <c r="AA194" i="176"/>
  <c r="Y194" i="176"/>
  <c r="V194" i="176"/>
  <c r="U194" i="176"/>
  <c r="R194" i="176"/>
  <c r="Q194" i="176"/>
  <c r="P194" i="176"/>
  <c r="O194" i="176"/>
  <c r="M194" i="176"/>
  <c r="L194" i="176"/>
  <c r="J194" i="176"/>
  <c r="I194" i="176"/>
  <c r="H194" i="176"/>
  <c r="G194" i="176"/>
  <c r="F194" i="176"/>
  <c r="E194" i="176"/>
  <c r="D194" i="176"/>
  <c r="C194" i="176"/>
  <c r="B194" i="176"/>
  <c r="V193" i="176"/>
  <c r="R193" i="176"/>
  <c r="O193" i="176"/>
  <c r="M193" i="176"/>
  <c r="L193" i="176"/>
  <c r="K193" i="176"/>
  <c r="J193" i="176"/>
  <c r="I193" i="176"/>
  <c r="H193" i="176"/>
  <c r="G193" i="176"/>
  <c r="F193" i="176"/>
  <c r="E193" i="176"/>
  <c r="D193" i="176"/>
  <c r="C193" i="176"/>
  <c r="B193" i="176"/>
  <c r="AA192" i="176"/>
  <c r="Z192" i="176"/>
  <c r="V192" i="176"/>
  <c r="U192" i="176"/>
  <c r="S192" i="176"/>
  <c r="R192" i="176"/>
  <c r="P192" i="176"/>
  <c r="O192" i="176"/>
  <c r="M192" i="176"/>
  <c r="L192" i="176"/>
  <c r="J192" i="176"/>
  <c r="I192" i="176"/>
  <c r="H192" i="176"/>
  <c r="G192" i="176"/>
  <c r="F192" i="176"/>
  <c r="E192" i="176"/>
  <c r="D192" i="176"/>
  <c r="C192" i="176"/>
  <c r="B192" i="176"/>
  <c r="AA191" i="176"/>
  <c r="Z191" i="176"/>
  <c r="V191" i="176"/>
  <c r="U191" i="176"/>
  <c r="S191" i="176"/>
  <c r="R191" i="176"/>
  <c r="P191" i="176"/>
  <c r="O191" i="176"/>
  <c r="M191" i="176"/>
  <c r="L191" i="176"/>
  <c r="J191" i="176"/>
  <c r="I191" i="176"/>
  <c r="H191" i="176"/>
  <c r="G191" i="176"/>
  <c r="F191" i="176"/>
  <c r="E191" i="176"/>
  <c r="D191" i="176"/>
  <c r="C191" i="176"/>
  <c r="B191" i="176"/>
  <c r="AA190" i="176"/>
  <c r="V190" i="176"/>
  <c r="U190" i="176"/>
  <c r="S190" i="176"/>
  <c r="R190" i="176"/>
  <c r="P190" i="176"/>
  <c r="O190" i="176"/>
  <c r="M190" i="176"/>
  <c r="L190" i="176"/>
  <c r="J190" i="176"/>
  <c r="I190" i="176"/>
  <c r="H190" i="176"/>
  <c r="G190" i="176"/>
  <c r="F190" i="176"/>
  <c r="E190" i="176"/>
  <c r="D190" i="176"/>
  <c r="C190" i="176"/>
  <c r="B190" i="176"/>
  <c r="A190" i="176"/>
  <c r="AA188" i="176"/>
  <c r="Z188" i="176"/>
  <c r="V188" i="176"/>
  <c r="U188" i="176"/>
  <c r="R188" i="176"/>
  <c r="P188" i="176"/>
  <c r="O188" i="176"/>
  <c r="M188" i="176"/>
  <c r="L188" i="176"/>
  <c r="J188" i="176"/>
  <c r="I188" i="176"/>
  <c r="H188" i="176"/>
  <c r="G188" i="176"/>
  <c r="F188" i="176"/>
  <c r="E188" i="176"/>
  <c r="D188" i="176"/>
  <c r="C188" i="176"/>
  <c r="B188" i="176"/>
  <c r="A188" i="176"/>
  <c r="AA186" i="176"/>
  <c r="Z186" i="176"/>
  <c r="Y186" i="176"/>
  <c r="V186" i="176"/>
  <c r="U186" i="176"/>
  <c r="R186" i="176"/>
  <c r="Q186" i="176"/>
  <c r="P186" i="176"/>
  <c r="O186" i="176"/>
  <c r="M186" i="176"/>
  <c r="L186" i="176"/>
  <c r="J186" i="176"/>
  <c r="I186" i="176"/>
  <c r="H186" i="176"/>
  <c r="G186" i="176"/>
  <c r="F186" i="176"/>
  <c r="E186" i="176"/>
  <c r="D186" i="176"/>
  <c r="C186" i="176"/>
  <c r="B186" i="176"/>
  <c r="A186" i="176"/>
  <c r="AA184" i="176"/>
  <c r="Z184" i="176"/>
  <c r="Y184" i="176"/>
  <c r="V184" i="176"/>
  <c r="U184" i="176"/>
  <c r="R184" i="176"/>
  <c r="Q184" i="176"/>
  <c r="P184" i="176"/>
  <c r="O184" i="176"/>
  <c r="M184" i="176"/>
  <c r="L184" i="176"/>
  <c r="J184" i="176"/>
  <c r="I184" i="176"/>
  <c r="H184" i="176"/>
  <c r="G184" i="176"/>
  <c r="F184" i="176"/>
  <c r="E184" i="176"/>
  <c r="D184" i="176"/>
  <c r="C184" i="176"/>
  <c r="B184" i="176"/>
  <c r="A184" i="176"/>
  <c r="AA183" i="176"/>
  <c r="Y183" i="176"/>
  <c r="V183" i="176"/>
  <c r="U183" i="176"/>
  <c r="R183" i="176"/>
  <c r="Q183" i="176"/>
  <c r="P183" i="176"/>
  <c r="O183" i="176"/>
  <c r="M183" i="176"/>
  <c r="L183" i="176"/>
  <c r="J183" i="176"/>
  <c r="I183" i="176"/>
  <c r="H183" i="176"/>
  <c r="G183" i="176"/>
  <c r="F183" i="176"/>
  <c r="E183" i="176"/>
  <c r="D183" i="176"/>
  <c r="C183" i="176"/>
  <c r="B183" i="176"/>
  <c r="AA182" i="176"/>
  <c r="Y182" i="176"/>
  <c r="V182" i="176"/>
  <c r="U182" i="176"/>
  <c r="R182" i="176"/>
  <c r="Q182" i="176"/>
  <c r="P182" i="176"/>
  <c r="O182" i="176"/>
  <c r="M182" i="176"/>
  <c r="L182" i="176"/>
  <c r="J182" i="176"/>
  <c r="I182" i="176"/>
  <c r="H182" i="176"/>
  <c r="G182" i="176"/>
  <c r="F182" i="176"/>
  <c r="E182" i="176"/>
  <c r="D182" i="176"/>
  <c r="C182" i="176"/>
  <c r="B182" i="176"/>
  <c r="V181" i="176"/>
  <c r="R181" i="176"/>
  <c r="O181" i="176"/>
  <c r="M181" i="176"/>
  <c r="L181" i="176"/>
  <c r="K181" i="176"/>
  <c r="J181" i="176"/>
  <c r="I181" i="176"/>
  <c r="H181" i="176"/>
  <c r="G181" i="176"/>
  <c r="F181" i="176"/>
  <c r="E181" i="176"/>
  <c r="D181" i="176"/>
  <c r="C181" i="176"/>
  <c r="B181" i="176"/>
  <c r="AA180" i="176"/>
  <c r="Z180" i="176"/>
  <c r="V180" i="176"/>
  <c r="U180" i="176"/>
  <c r="S180" i="176"/>
  <c r="R180" i="176"/>
  <c r="P180" i="176"/>
  <c r="O180" i="176"/>
  <c r="M180" i="176"/>
  <c r="L180" i="176"/>
  <c r="J180" i="176"/>
  <c r="I180" i="176"/>
  <c r="H180" i="176"/>
  <c r="G180" i="176"/>
  <c r="F180" i="176"/>
  <c r="E180" i="176"/>
  <c r="D180" i="176"/>
  <c r="C180" i="176"/>
  <c r="B180" i="176"/>
  <c r="AA179" i="176"/>
  <c r="Z179" i="176"/>
  <c r="V179" i="176"/>
  <c r="U179" i="176"/>
  <c r="S179" i="176"/>
  <c r="R179" i="176"/>
  <c r="P179" i="176"/>
  <c r="O179" i="176"/>
  <c r="M179" i="176"/>
  <c r="L179" i="176"/>
  <c r="J179" i="176"/>
  <c r="I179" i="176"/>
  <c r="H179" i="176"/>
  <c r="G179" i="176"/>
  <c r="F179" i="176"/>
  <c r="E179" i="176"/>
  <c r="D179" i="176"/>
  <c r="C179" i="176"/>
  <c r="B179" i="176"/>
  <c r="AA178" i="176"/>
  <c r="V178" i="176"/>
  <c r="U178" i="176"/>
  <c r="S178" i="176"/>
  <c r="R178" i="176"/>
  <c r="P178" i="176"/>
  <c r="O178" i="176"/>
  <c r="M178" i="176"/>
  <c r="L178" i="176"/>
  <c r="J178" i="176"/>
  <c r="I178" i="176"/>
  <c r="H178" i="176"/>
  <c r="G178" i="176"/>
  <c r="F178" i="176"/>
  <c r="E178" i="176"/>
  <c r="D178" i="176"/>
  <c r="C178" i="176"/>
  <c r="B178" i="176"/>
  <c r="A178" i="176"/>
  <c r="AA176" i="176"/>
  <c r="Z176" i="176"/>
  <c r="V176" i="176"/>
  <c r="U176" i="176"/>
  <c r="R176" i="176"/>
  <c r="P176" i="176"/>
  <c r="O176" i="176"/>
  <c r="M176" i="176"/>
  <c r="L176" i="176"/>
  <c r="J176" i="176"/>
  <c r="I176" i="176"/>
  <c r="H176" i="176"/>
  <c r="G176" i="176"/>
  <c r="F176" i="176"/>
  <c r="E176" i="176"/>
  <c r="D176" i="176"/>
  <c r="C176" i="176"/>
  <c r="B176" i="176"/>
  <c r="A176" i="176"/>
  <c r="AA174" i="176"/>
  <c r="Z174" i="176"/>
  <c r="Y174" i="176"/>
  <c r="V174" i="176"/>
  <c r="U174" i="176"/>
  <c r="R174" i="176"/>
  <c r="Q174" i="176"/>
  <c r="P174" i="176"/>
  <c r="O174" i="176"/>
  <c r="M174" i="176"/>
  <c r="L174" i="176"/>
  <c r="J174" i="176"/>
  <c r="I174" i="176"/>
  <c r="H174" i="176"/>
  <c r="G174" i="176"/>
  <c r="F174" i="176"/>
  <c r="E174" i="176"/>
  <c r="D174" i="176"/>
  <c r="C174" i="176"/>
  <c r="B174" i="176"/>
  <c r="A174" i="176"/>
  <c r="AA172" i="176"/>
  <c r="Z172" i="176"/>
  <c r="Y172" i="176"/>
  <c r="V172" i="176"/>
  <c r="U172" i="176"/>
  <c r="R172" i="176"/>
  <c r="Q172" i="176"/>
  <c r="P172" i="176"/>
  <c r="O172" i="176"/>
  <c r="M172" i="176"/>
  <c r="L172" i="176"/>
  <c r="J172" i="176"/>
  <c r="I172" i="176"/>
  <c r="H172" i="176"/>
  <c r="G172" i="176"/>
  <c r="F172" i="176"/>
  <c r="E172" i="176"/>
  <c r="D172" i="176"/>
  <c r="C172" i="176"/>
  <c r="B172" i="176"/>
  <c r="A172" i="176"/>
  <c r="AA171" i="176"/>
  <c r="Y171" i="176"/>
  <c r="V171" i="176"/>
  <c r="U171" i="176"/>
  <c r="R171" i="176"/>
  <c r="Q171" i="176"/>
  <c r="P171" i="176"/>
  <c r="O171" i="176"/>
  <c r="M171" i="176"/>
  <c r="L171" i="176"/>
  <c r="J171" i="176"/>
  <c r="I171" i="176"/>
  <c r="H171" i="176"/>
  <c r="G171" i="176"/>
  <c r="F171" i="176"/>
  <c r="E171" i="176"/>
  <c r="D171" i="176"/>
  <c r="C171" i="176"/>
  <c r="B171" i="176"/>
  <c r="AA170" i="176"/>
  <c r="Y170" i="176"/>
  <c r="V170" i="176"/>
  <c r="U170" i="176"/>
  <c r="R170" i="176"/>
  <c r="Q170" i="176"/>
  <c r="P170" i="176"/>
  <c r="O170" i="176"/>
  <c r="M170" i="176"/>
  <c r="L170" i="176"/>
  <c r="J170" i="176"/>
  <c r="I170" i="176"/>
  <c r="H170" i="176"/>
  <c r="G170" i="176"/>
  <c r="F170" i="176"/>
  <c r="E170" i="176"/>
  <c r="D170" i="176"/>
  <c r="C170" i="176"/>
  <c r="B170" i="176"/>
  <c r="V169" i="176"/>
  <c r="R169" i="176"/>
  <c r="O169" i="176"/>
  <c r="M169" i="176"/>
  <c r="L169" i="176"/>
  <c r="K169" i="176"/>
  <c r="J169" i="176"/>
  <c r="I169" i="176"/>
  <c r="H169" i="176"/>
  <c r="G169" i="176"/>
  <c r="F169" i="176"/>
  <c r="E169" i="176"/>
  <c r="D169" i="176"/>
  <c r="C169" i="176"/>
  <c r="B169" i="176"/>
  <c r="AA168" i="176"/>
  <c r="Z168" i="176"/>
  <c r="V168" i="176"/>
  <c r="U168" i="176"/>
  <c r="S168" i="176"/>
  <c r="R168" i="176"/>
  <c r="P168" i="176"/>
  <c r="O168" i="176"/>
  <c r="M168" i="176"/>
  <c r="L168" i="176"/>
  <c r="J168" i="176"/>
  <c r="I168" i="176"/>
  <c r="H168" i="176"/>
  <c r="G168" i="176"/>
  <c r="F168" i="176"/>
  <c r="E168" i="176"/>
  <c r="D168" i="176"/>
  <c r="C168" i="176"/>
  <c r="B168" i="176"/>
  <c r="AA167" i="176"/>
  <c r="Z167" i="176"/>
  <c r="V167" i="176"/>
  <c r="U167" i="176"/>
  <c r="S167" i="176"/>
  <c r="R167" i="176"/>
  <c r="P167" i="176"/>
  <c r="O167" i="176"/>
  <c r="M167" i="176"/>
  <c r="L167" i="176"/>
  <c r="J167" i="176"/>
  <c r="I167" i="176"/>
  <c r="H167" i="176"/>
  <c r="G167" i="176"/>
  <c r="F167" i="176"/>
  <c r="E167" i="176"/>
  <c r="D167" i="176"/>
  <c r="C167" i="176"/>
  <c r="B167" i="176"/>
  <c r="AA166" i="176"/>
  <c r="V166" i="176"/>
  <c r="U166" i="176"/>
  <c r="S166" i="176"/>
  <c r="R166" i="176"/>
  <c r="P166" i="176"/>
  <c r="O166" i="176"/>
  <c r="M166" i="176"/>
  <c r="L166" i="176"/>
  <c r="J166" i="176"/>
  <c r="I166" i="176"/>
  <c r="H166" i="176"/>
  <c r="G166" i="176"/>
  <c r="F166" i="176"/>
  <c r="E166" i="176"/>
  <c r="D166" i="176"/>
  <c r="C166" i="176"/>
  <c r="B166" i="176"/>
  <c r="A166" i="176"/>
  <c r="AA164" i="176"/>
  <c r="Z164" i="176"/>
  <c r="V164" i="176"/>
  <c r="U164" i="176"/>
  <c r="R164" i="176"/>
  <c r="P164" i="176"/>
  <c r="O164" i="176"/>
  <c r="M164" i="176"/>
  <c r="L164" i="176"/>
  <c r="J164" i="176"/>
  <c r="I164" i="176"/>
  <c r="H164" i="176"/>
  <c r="G164" i="176"/>
  <c r="F164" i="176"/>
  <c r="E164" i="176"/>
  <c r="D164" i="176"/>
  <c r="C164" i="176"/>
  <c r="B164" i="176"/>
  <c r="A164" i="176"/>
  <c r="AA162" i="176"/>
  <c r="Z162" i="176"/>
  <c r="Y162" i="176"/>
  <c r="V162" i="176"/>
  <c r="U162" i="176"/>
  <c r="R162" i="176"/>
  <c r="Q162" i="176"/>
  <c r="P162" i="176"/>
  <c r="O162" i="176"/>
  <c r="M162" i="176"/>
  <c r="L162" i="176"/>
  <c r="J162" i="176"/>
  <c r="I162" i="176"/>
  <c r="H162" i="176"/>
  <c r="G162" i="176"/>
  <c r="F162" i="176"/>
  <c r="E162" i="176"/>
  <c r="D162" i="176"/>
  <c r="C162" i="176"/>
  <c r="B162" i="176"/>
  <c r="A162" i="176"/>
  <c r="AA160" i="176"/>
  <c r="Z160" i="176"/>
  <c r="Y160" i="176"/>
  <c r="V160" i="176"/>
  <c r="U160" i="176"/>
  <c r="R160" i="176"/>
  <c r="Q160" i="176"/>
  <c r="P160" i="176"/>
  <c r="O160" i="176"/>
  <c r="M160" i="176"/>
  <c r="L160" i="176"/>
  <c r="J160" i="176"/>
  <c r="I160" i="176"/>
  <c r="H160" i="176"/>
  <c r="G160" i="176"/>
  <c r="F160" i="176"/>
  <c r="E160" i="176"/>
  <c r="D160" i="176"/>
  <c r="C160" i="176"/>
  <c r="B160" i="176"/>
  <c r="A160" i="176"/>
  <c r="AA159" i="176"/>
  <c r="Y159" i="176"/>
  <c r="V159" i="176"/>
  <c r="U159" i="176"/>
  <c r="R159" i="176"/>
  <c r="Q159" i="176"/>
  <c r="P159" i="176"/>
  <c r="O159" i="176"/>
  <c r="M159" i="176"/>
  <c r="L159" i="176"/>
  <c r="J159" i="176"/>
  <c r="I159" i="176"/>
  <c r="H159" i="176"/>
  <c r="G159" i="176"/>
  <c r="F159" i="176"/>
  <c r="E159" i="176"/>
  <c r="D159" i="176"/>
  <c r="C159" i="176"/>
  <c r="B159" i="176"/>
  <c r="AA158" i="176"/>
  <c r="Y158" i="176"/>
  <c r="V158" i="176"/>
  <c r="U158" i="176"/>
  <c r="R158" i="176"/>
  <c r="Q158" i="176"/>
  <c r="P158" i="176"/>
  <c r="O158" i="176"/>
  <c r="M158" i="176"/>
  <c r="L158" i="176"/>
  <c r="J158" i="176"/>
  <c r="I158" i="176"/>
  <c r="H158" i="176"/>
  <c r="G158" i="176"/>
  <c r="F158" i="176"/>
  <c r="E158" i="176"/>
  <c r="D158" i="176"/>
  <c r="C158" i="176"/>
  <c r="B158" i="176"/>
  <c r="V157" i="176"/>
  <c r="R157" i="176"/>
  <c r="O157" i="176"/>
  <c r="M157" i="176"/>
  <c r="L157" i="176"/>
  <c r="K157" i="176"/>
  <c r="J157" i="176"/>
  <c r="I157" i="176"/>
  <c r="H157" i="176"/>
  <c r="G157" i="176"/>
  <c r="F157" i="176"/>
  <c r="E157" i="176"/>
  <c r="D157" i="176"/>
  <c r="C157" i="176"/>
  <c r="B157" i="176"/>
  <c r="Z156" i="176"/>
  <c r="V156" i="176"/>
  <c r="U156" i="176"/>
  <c r="S156" i="176"/>
  <c r="R156" i="176"/>
  <c r="P156" i="176"/>
  <c r="O156" i="176"/>
  <c r="N156" i="176"/>
  <c r="M156" i="176"/>
  <c r="L156" i="176"/>
  <c r="K156" i="176"/>
  <c r="J156" i="176"/>
  <c r="I156" i="176"/>
  <c r="H156" i="176"/>
  <c r="G156" i="176"/>
  <c r="F156" i="176"/>
  <c r="E156" i="176"/>
  <c r="D156" i="176"/>
  <c r="C156" i="176"/>
  <c r="B156" i="176"/>
  <c r="A156" i="176"/>
  <c r="Z155" i="176"/>
  <c r="V155" i="176"/>
  <c r="U155" i="176"/>
  <c r="S155" i="176"/>
  <c r="R155" i="176"/>
  <c r="P155" i="176"/>
  <c r="O155" i="176"/>
  <c r="N155" i="176"/>
  <c r="M155" i="176"/>
  <c r="L155" i="176"/>
  <c r="K155" i="176"/>
  <c r="J155" i="176"/>
  <c r="I155" i="176"/>
  <c r="H155" i="176"/>
  <c r="G155" i="176"/>
  <c r="F155" i="176"/>
  <c r="E155" i="176"/>
  <c r="D155" i="176"/>
  <c r="C155" i="176"/>
  <c r="B155" i="176"/>
  <c r="AA154" i="176"/>
  <c r="Z154" i="176"/>
  <c r="V154" i="176"/>
  <c r="U154" i="176"/>
  <c r="S154" i="176"/>
  <c r="R154" i="176"/>
  <c r="P154" i="176"/>
  <c r="O154" i="176"/>
  <c r="M154" i="176"/>
  <c r="L154" i="176"/>
  <c r="J154" i="176"/>
  <c r="I154" i="176"/>
  <c r="H154" i="176"/>
  <c r="G154" i="176"/>
  <c r="F154" i="176"/>
  <c r="E154" i="176"/>
  <c r="D154" i="176"/>
  <c r="C154" i="176"/>
  <c r="B154" i="176"/>
  <c r="AA153" i="176"/>
  <c r="Z153" i="176"/>
  <c r="V153" i="176"/>
  <c r="U153" i="176"/>
  <c r="S153" i="176"/>
  <c r="R153" i="176"/>
  <c r="P153" i="176"/>
  <c r="O153" i="176"/>
  <c r="M153" i="176"/>
  <c r="L153" i="176"/>
  <c r="J153" i="176"/>
  <c r="I153" i="176"/>
  <c r="H153" i="176"/>
  <c r="G153" i="176"/>
  <c r="F153" i="176"/>
  <c r="E153" i="176"/>
  <c r="D153" i="176"/>
  <c r="C153" i="176"/>
  <c r="B153" i="176"/>
  <c r="AA152" i="176"/>
  <c r="Z152" i="176"/>
  <c r="V152" i="176"/>
  <c r="U152" i="176"/>
  <c r="S152" i="176"/>
  <c r="R152" i="176"/>
  <c r="P152" i="176"/>
  <c r="O152" i="176"/>
  <c r="M152" i="176"/>
  <c r="L152" i="176"/>
  <c r="J152" i="176"/>
  <c r="I152" i="176"/>
  <c r="H152" i="176"/>
  <c r="G152" i="176"/>
  <c r="F152" i="176"/>
  <c r="E152" i="176"/>
  <c r="D152" i="176"/>
  <c r="C152" i="176"/>
  <c r="B152" i="176"/>
  <c r="AA151" i="176"/>
  <c r="Z151" i="176"/>
  <c r="V151" i="176"/>
  <c r="U151" i="176"/>
  <c r="S151" i="176"/>
  <c r="R151" i="176"/>
  <c r="P151" i="176"/>
  <c r="O151" i="176"/>
  <c r="M151" i="176"/>
  <c r="L151" i="176"/>
  <c r="J151" i="176"/>
  <c r="I151" i="176"/>
  <c r="H151" i="176"/>
  <c r="G151" i="176"/>
  <c r="F151" i="176"/>
  <c r="E151" i="176"/>
  <c r="D151" i="176"/>
  <c r="C151" i="176"/>
  <c r="B151" i="176"/>
  <c r="AA150" i="176"/>
  <c r="V150" i="176"/>
  <c r="U150" i="176"/>
  <c r="S150" i="176"/>
  <c r="R150" i="176"/>
  <c r="P150" i="176"/>
  <c r="O150" i="176"/>
  <c r="M150" i="176"/>
  <c r="L150" i="176"/>
  <c r="J150" i="176"/>
  <c r="I150" i="176"/>
  <c r="H150" i="176"/>
  <c r="G150" i="176"/>
  <c r="F150" i="176"/>
  <c r="E150" i="176"/>
  <c r="D150" i="176"/>
  <c r="C150" i="176"/>
  <c r="B150" i="176"/>
  <c r="A150" i="176"/>
  <c r="AA148" i="176"/>
  <c r="Z148" i="176"/>
  <c r="V148" i="176"/>
  <c r="U148" i="176"/>
  <c r="R148" i="176"/>
  <c r="P148" i="176"/>
  <c r="O148" i="176"/>
  <c r="M148" i="176"/>
  <c r="L148" i="176"/>
  <c r="J148" i="176"/>
  <c r="I148" i="176"/>
  <c r="H148" i="176"/>
  <c r="G148" i="176"/>
  <c r="F148" i="176"/>
  <c r="E148" i="176"/>
  <c r="D148" i="176"/>
  <c r="C148" i="176"/>
  <c r="B148" i="176"/>
  <c r="A148" i="176"/>
  <c r="AA146" i="176"/>
  <c r="Z146" i="176"/>
  <c r="Y146" i="176"/>
  <c r="V146" i="176"/>
  <c r="U146" i="176"/>
  <c r="R146" i="176"/>
  <c r="Q146" i="176"/>
  <c r="P146" i="176"/>
  <c r="O146" i="176"/>
  <c r="M146" i="176"/>
  <c r="L146" i="176"/>
  <c r="J146" i="176"/>
  <c r="I146" i="176"/>
  <c r="H146" i="176"/>
  <c r="G146" i="176"/>
  <c r="F146" i="176"/>
  <c r="E146" i="176"/>
  <c r="D146" i="176"/>
  <c r="C146" i="176"/>
  <c r="B146" i="176"/>
  <c r="A146" i="176"/>
  <c r="AA144" i="176"/>
  <c r="Z144" i="176"/>
  <c r="Y144" i="176"/>
  <c r="V144" i="176"/>
  <c r="U144" i="176"/>
  <c r="R144" i="176"/>
  <c r="Q144" i="176"/>
  <c r="P144" i="176"/>
  <c r="O144" i="176"/>
  <c r="M144" i="176"/>
  <c r="L144" i="176"/>
  <c r="J144" i="176"/>
  <c r="I144" i="176"/>
  <c r="H144" i="176"/>
  <c r="G144" i="176"/>
  <c r="F144" i="176"/>
  <c r="E144" i="176"/>
  <c r="D144" i="176"/>
  <c r="C144" i="176"/>
  <c r="B144" i="176"/>
  <c r="A144" i="176"/>
  <c r="AA143" i="176"/>
  <c r="Y143" i="176"/>
  <c r="V143" i="176"/>
  <c r="U143" i="176"/>
  <c r="R143" i="176"/>
  <c r="Q143" i="176"/>
  <c r="P143" i="176"/>
  <c r="O143" i="176"/>
  <c r="M143" i="176"/>
  <c r="L143" i="176"/>
  <c r="J143" i="176"/>
  <c r="I143" i="176"/>
  <c r="H143" i="176"/>
  <c r="G143" i="176"/>
  <c r="F143" i="176"/>
  <c r="E143" i="176"/>
  <c r="D143" i="176"/>
  <c r="C143" i="176"/>
  <c r="B143" i="176"/>
  <c r="AA142" i="176"/>
  <c r="Y142" i="176"/>
  <c r="V142" i="176"/>
  <c r="U142" i="176"/>
  <c r="R142" i="176"/>
  <c r="Q142" i="176"/>
  <c r="P142" i="176"/>
  <c r="O142" i="176"/>
  <c r="M142" i="176"/>
  <c r="L142" i="176"/>
  <c r="J142" i="176"/>
  <c r="I142" i="176"/>
  <c r="H142" i="176"/>
  <c r="G142" i="176"/>
  <c r="F142" i="176"/>
  <c r="E142" i="176"/>
  <c r="D142" i="176"/>
  <c r="C142" i="176"/>
  <c r="B142" i="176"/>
  <c r="V141" i="176"/>
  <c r="R141" i="176"/>
  <c r="O141" i="176"/>
  <c r="M141" i="176"/>
  <c r="L141" i="176"/>
  <c r="K141" i="176"/>
  <c r="J141" i="176"/>
  <c r="I141" i="176"/>
  <c r="H141" i="176"/>
  <c r="G141" i="176"/>
  <c r="F141" i="176"/>
  <c r="E141" i="176"/>
  <c r="D141" i="176"/>
  <c r="C141" i="176"/>
  <c r="B141" i="176"/>
  <c r="Z140" i="176"/>
  <c r="V140" i="176"/>
  <c r="U140" i="176"/>
  <c r="S140" i="176"/>
  <c r="R140" i="176"/>
  <c r="P140" i="176"/>
  <c r="O140" i="176"/>
  <c r="N140" i="176"/>
  <c r="M140" i="176"/>
  <c r="L140" i="176"/>
  <c r="K140" i="176"/>
  <c r="J140" i="176"/>
  <c r="I140" i="176"/>
  <c r="H140" i="176"/>
  <c r="G140" i="176"/>
  <c r="F140" i="176"/>
  <c r="E140" i="176"/>
  <c r="D140" i="176"/>
  <c r="C140" i="176"/>
  <c r="B140" i="176"/>
  <c r="A140" i="176"/>
  <c r="Z139" i="176"/>
  <c r="V139" i="176"/>
  <c r="U139" i="176"/>
  <c r="S139" i="176"/>
  <c r="R139" i="176"/>
  <c r="P139" i="176"/>
  <c r="O139" i="176"/>
  <c r="N139" i="176"/>
  <c r="M139" i="176"/>
  <c r="L139" i="176"/>
  <c r="K139" i="176"/>
  <c r="J139" i="176"/>
  <c r="I139" i="176"/>
  <c r="H139" i="176"/>
  <c r="G139" i="176"/>
  <c r="F139" i="176"/>
  <c r="E139" i="176"/>
  <c r="D139" i="176"/>
  <c r="C139" i="176"/>
  <c r="B139" i="176"/>
  <c r="AA138" i="176"/>
  <c r="Z138" i="176"/>
  <c r="V138" i="176"/>
  <c r="U138" i="176"/>
  <c r="S138" i="176"/>
  <c r="R138" i="176"/>
  <c r="P138" i="176"/>
  <c r="O138" i="176"/>
  <c r="M138" i="176"/>
  <c r="L138" i="176"/>
  <c r="J138" i="176"/>
  <c r="I138" i="176"/>
  <c r="H138" i="176"/>
  <c r="G138" i="176"/>
  <c r="F138" i="176"/>
  <c r="E138" i="176"/>
  <c r="D138" i="176"/>
  <c r="C138" i="176"/>
  <c r="B138" i="176"/>
  <c r="AA137" i="176"/>
  <c r="Z137" i="176"/>
  <c r="V137" i="176"/>
  <c r="U137" i="176"/>
  <c r="S137" i="176"/>
  <c r="R137" i="176"/>
  <c r="P137" i="176"/>
  <c r="O137" i="176"/>
  <c r="M137" i="176"/>
  <c r="L137" i="176"/>
  <c r="J137" i="176"/>
  <c r="I137" i="176"/>
  <c r="H137" i="176"/>
  <c r="G137" i="176"/>
  <c r="F137" i="176"/>
  <c r="E137" i="176"/>
  <c r="D137" i="176"/>
  <c r="C137" i="176"/>
  <c r="B137" i="176"/>
  <c r="AA136" i="176"/>
  <c r="Z136" i="176"/>
  <c r="V136" i="176"/>
  <c r="U136" i="176"/>
  <c r="S136" i="176"/>
  <c r="R136" i="176"/>
  <c r="P136" i="176"/>
  <c r="O136" i="176"/>
  <c r="M136" i="176"/>
  <c r="L136" i="176"/>
  <c r="J136" i="176"/>
  <c r="I136" i="176"/>
  <c r="H136" i="176"/>
  <c r="G136" i="176"/>
  <c r="F136" i="176"/>
  <c r="E136" i="176"/>
  <c r="D136" i="176"/>
  <c r="C136" i="176"/>
  <c r="B136" i="176"/>
  <c r="AA135" i="176"/>
  <c r="Z135" i="176"/>
  <c r="V135" i="176"/>
  <c r="U135" i="176"/>
  <c r="S135" i="176"/>
  <c r="R135" i="176"/>
  <c r="P135" i="176"/>
  <c r="O135" i="176"/>
  <c r="M135" i="176"/>
  <c r="L135" i="176"/>
  <c r="J135" i="176"/>
  <c r="I135" i="176"/>
  <c r="H135" i="176"/>
  <c r="G135" i="176"/>
  <c r="F135" i="176"/>
  <c r="E135" i="176"/>
  <c r="D135" i="176"/>
  <c r="C135" i="176"/>
  <c r="B135" i="176"/>
  <c r="AA134" i="176"/>
  <c r="V134" i="176"/>
  <c r="U134" i="176"/>
  <c r="S134" i="176"/>
  <c r="R134" i="176"/>
  <c r="P134" i="176"/>
  <c r="O134" i="176"/>
  <c r="M134" i="176"/>
  <c r="L134" i="176"/>
  <c r="J134" i="176"/>
  <c r="I134" i="176"/>
  <c r="H134" i="176"/>
  <c r="G134" i="176"/>
  <c r="F134" i="176"/>
  <c r="E134" i="176"/>
  <c r="D134" i="176"/>
  <c r="C134" i="176"/>
  <c r="B134" i="176"/>
  <c r="A134" i="176"/>
  <c r="AA132" i="176"/>
  <c r="Z132" i="176"/>
  <c r="V132" i="176"/>
  <c r="U132" i="176"/>
  <c r="R132" i="176"/>
  <c r="P132" i="176"/>
  <c r="O132" i="176"/>
  <c r="M132" i="176"/>
  <c r="L132" i="176"/>
  <c r="J132" i="176"/>
  <c r="I132" i="176"/>
  <c r="H132" i="176"/>
  <c r="G132" i="176"/>
  <c r="F132" i="176"/>
  <c r="E132" i="176"/>
  <c r="D132" i="176"/>
  <c r="C132" i="176"/>
  <c r="B132" i="176"/>
  <c r="A132" i="176"/>
  <c r="AA130" i="176"/>
  <c r="Z130" i="176"/>
  <c r="Y130" i="176"/>
  <c r="V130" i="176"/>
  <c r="U130" i="176"/>
  <c r="R130" i="176"/>
  <c r="Q130" i="176"/>
  <c r="P130" i="176"/>
  <c r="O130" i="176"/>
  <c r="M130" i="176"/>
  <c r="L130" i="176"/>
  <c r="J130" i="176"/>
  <c r="I130" i="176"/>
  <c r="H130" i="176"/>
  <c r="G130" i="176"/>
  <c r="F130" i="176"/>
  <c r="E130" i="176"/>
  <c r="D130" i="176"/>
  <c r="C130" i="176"/>
  <c r="B130" i="176"/>
  <c r="A130" i="176"/>
  <c r="AA128" i="176"/>
  <c r="Z128" i="176"/>
  <c r="Y128" i="176"/>
  <c r="V128" i="176"/>
  <c r="U128" i="176"/>
  <c r="R128" i="176"/>
  <c r="Q128" i="176"/>
  <c r="P128" i="176"/>
  <c r="O128" i="176"/>
  <c r="M128" i="176"/>
  <c r="L128" i="176"/>
  <c r="J128" i="176"/>
  <c r="I128" i="176"/>
  <c r="H128" i="176"/>
  <c r="G128" i="176"/>
  <c r="F128" i="176"/>
  <c r="E128" i="176"/>
  <c r="D128" i="176"/>
  <c r="C128" i="176"/>
  <c r="B128" i="176"/>
  <c r="A128" i="176"/>
  <c r="AA127" i="176"/>
  <c r="Y127" i="176"/>
  <c r="V127" i="176"/>
  <c r="U127" i="176"/>
  <c r="R127" i="176"/>
  <c r="Q127" i="176"/>
  <c r="P127" i="176"/>
  <c r="O127" i="176"/>
  <c r="M127" i="176"/>
  <c r="L127" i="176"/>
  <c r="J127" i="176"/>
  <c r="I127" i="176"/>
  <c r="H127" i="176"/>
  <c r="G127" i="176"/>
  <c r="F127" i="176"/>
  <c r="E127" i="176"/>
  <c r="D127" i="176"/>
  <c r="C127" i="176"/>
  <c r="B127" i="176"/>
  <c r="AA126" i="176"/>
  <c r="Y126" i="176"/>
  <c r="V126" i="176"/>
  <c r="U126" i="176"/>
  <c r="R126" i="176"/>
  <c r="Q126" i="176"/>
  <c r="P126" i="176"/>
  <c r="O126" i="176"/>
  <c r="M126" i="176"/>
  <c r="L126" i="176"/>
  <c r="J126" i="176"/>
  <c r="I126" i="176"/>
  <c r="H126" i="176"/>
  <c r="G126" i="176"/>
  <c r="F126" i="176"/>
  <c r="E126" i="176"/>
  <c r="D126" i="176"/>
  <c r="C126" i="176"/>
  <c r="B126" i="176"/>
  <c r="V125" i="176"/>
  <c r="R125" i="176"/>
  <c r="O125" i="176"/>
  <c r="M125" i="176"/>
  <c r="L125" i="176"/>
  <c r="K125" i="176"/>
  <c r="J125" i="176"/>
  <c r="I125" i="176"/>
  <c r="H125" i="176"/>
  <c r="G125" i="176"/>
  <c r="F125" i="176"/>
  <c r="E125" i="176"/>
  <c r="D125" i="176"/>
  <c r="C125" i="176"/>
  <c r="B125" i="176"/>
  <c r="Z124" i="176"/>
  <c r="V124" i="176"/>
  <c r="U124" i="176"/>
  <c r="S124" i="176"/>
  <c r="R124" i="176"/>
  <c r="P124" i="176"/>
  <c r="O124" i="176"/>
  <c r="N124" i="176"/>
  <c r="M124" i="176"/>
  <c r="L124" i="176"/>
  <c r="K124" i="176"/>
  <c r="J124" i="176"/>
  <c r="I124" i="176"/>
  <c r="H124" i="176"/>
  <c r="G124" i="176"/>
  <c r="F124" i="176"/>
  <c r="E124" i="176"/>
  <c r="D124" i="176"/>
  <c r="C124" i="176"/>
  <c r="B124" i="176"/>
  <c r="A124" i="176"/>
  <c r="Z123" i="176"/>
  <c r="V123" i="176"/>
  <c r="U123" i="176"/>
  <c r="S123" i="176"/>
  <c r="R123" i="176"/>
  <c r="P123" i="176"/>
  <c r="O123" i="176"/>
  <c r="N123" i="176"/>
  <c r="M123" i="176"/>
  <c r="L123" i="176"/>
  <c r="K123" i="176"/>
  <c r="J123" i="176"/>
  <c r="I123" i="176"/>
  <c r="H123" i="176"/>
  <c r="G123" i="176"/>
  <c r="F123" i="176"/>
  <c r="E123" i="176"/>
  <c r="D123" i="176"/>
  <c r="C123" i="176"/>
  <c r="B123" i="176"/>
  <c r="AA122" i="176"/>
  <c r="Z122" i="176"/>
  <c r="V122" i="176"/>
  <c r="U122" i="176"/>
  <c r="S122" i="176"/>
  <c r="R122" i="176"/>
  <c r="P122" i="176"/>
  <c r="O122" i="176"/>
  <c r="M122" i="176"/>
  <c r="L122" i="176"/>
  <c r="J122" i="176"/>
  <c r="I122" i="176"/>
  <c r="H122" i="176"/>
  <c r="G122" i="176"/>
  <c r="F122" i="176"/>
  <c r="E122" i="176"/>
  <c r="D122" i="176"/>
  <c r="C122" i="176"/>
  <c r="B122" i="176"/>
  <c r="AA121" i="176"/>
  <c r="Z121" i="176"/>
  <c r="V121" i="176"/>
  <c r="U121" i="176"/>
  <c r="S121" i="176"/>
  <c r="R121" i="176"/>
  <c r="P121" i="176"/>
  <c r="O121" i="176"/>
  <c r="M121" i="176"/>
  <c r="L121" i="176"/>
  <c r="J121" i="176"/>
  <c r="I121" i="176"/>
  <c r="H121" i="176"/>
  <c r="G121" i="176"/>
  <c r="F121" i="176"/>
  <c r="E121" i="176"/>
  <c r="D121" i="176"/>
  <c r="C121" i="176"/>
  <c r="B121" i="176"/>
  <c r="AA120" i="176"/>
  <c r="Z120" i="176"/>
  <c r="V120" i="176"/>
  <c r="U120" i="176"/>
  <c r="S120" i="176"/>
  <c r="R120" i="176"/>
  <c r="P120" i="176"/>
  <c r="O120" i="176"/>
  <c r="M120" i="176"/>
  <c r="L120" i="176"/>
  <c r="J120" i="176"/>
  <c r="I120" i="176"/>
  <c r="H120" i="176"/>
  <c r="G120" i="176"/>
  <c r="F120" i="176"/>
  <c r="E120" i="176"/>
  <c r="D120" i="176"/>
  <c r="C120" i="176"/>
  <c r="B120" i="176"/>
  <c r="AA119" i="176"/>
  <c r="Z119" i="176"/>
  <c r="V119" i="176"/>
  <c r="U119" i="176"/>
  <c r="S119" i="176"/>
  <c r="R119" i="176"/>
  <c r="P119" i="176"/>
  <c r="O119" i="176"/>
  <c r="M119" i="176"/>
  <c r="L119" i="176"/>
  <c r="J119" i="176"/>
  <c r="I119" i="176"/>
  <c r="H119" i="176"/>
  <c r="G119" i="176"/>
  <c r="F119" i="176"/>
  <c r="E119" i="176"/>
  <c r="D119" i="176"/>
  <c r="C119" i="176"/>
  <c r="B119" i="176"/>
  <c r="AA118" i="176"/>
  <c r="V118" i="176"/>
  <c r="U118" i="176"/>
  <c r="S118" i="176"/>
  <c r="R118" i="176"/>
  <c r="P118" i="176"/>
  <c r="O118" i="176"/>
  <c r="M118" i="176"/>
  <c r="L118" i="176"/>
  <c r="J118" i="176"/>
  <c r="I118" i="176"/>
  <c r="H118" i="176"/>
  <c r="G118" i="176"/>
  <c r="F118" i="176"/>
  <c r="E118" i="176"/>
  <c r="D118" i="176"/>
  <c r="C118" i="176"/>
  <c r="B118" i="176"/>
  <c r="A118" i="176"/>
  <c r="AA116" i="176"/>
  <c r="Z116" i="176"/>
  <c r="V116" i="176"/>
  <c r="U116" i="176"/>
  <c r="R116" i="176"/>
  <c r="P116" i="176"/>
  <c r="O116" i="176"/>
  <c r="M116" i="176"/>
  <c r="L116" i="176"/>
  <c r="J116" i="176"/>
  <c r="I116" i="176"/>
  <c r="H116" i="176"/>
  <c r="G116" i="176"/>
  <c r="F116" i="176"/>
  <c r="E116" i="176"/>
  <c r="D116" i="176"/>
  <c r="C116" i="176"/>
  <c r="B116" i="176"/>
  <c r="A116" i="176"/>
  <c r="AA114" i="176"/>
  <c r="Z114" i="176"/>
  <c r="Y114" i="176"/>
  <c r="V114" i="176"/>
  <c r="U114" i="176"/>
  <c r="R114" i="176"/>
  <c r="Q114" i="176"/>
  <c r="P114" i="176"/>
  <c r="O114" i="176"/>
  <c r="M114" i="176"/>
  <c r="L114" i="176"/>
  <c r="J114" i="176"/>
  <c r="I114" i="176"/>
  <c r="H114" i="176"/>
  <c r="G114" i="176"/>
  <c r="F114" i="176"/>
  <c r="E114" i="176"/>
  <c r="D114" i="176"/>
  <c r="C114" i="176"/>
  <c r="B114" i="176"/>
  <c r="A114" i="176"/>
  <c r="AA112" i="176"/>
  <c r="Z112" i="176"/>
  <c r="Y112" i="176"/>
  <c r="V112" i="176"/>
  <c r="U112" i="176"/>
  <c r="R112" i="176"/>
  <c r="Q112" i="176"/>
  <c r="P112" i="176"/>
  <c r="O112" i="176"/>
  <c r="M112" i="176"/>
  <c r="L112" i="176"/>
  <c r="J112" i="176"/>
  <c r="I112" i="176"/>
  <c r="H112" i="176"/>
  <c r="G112" i="176"/>
  <c r="F112" i="176"/>
  <c r="E112" i="176"/>
  <c r="D112" i="176"/>
  <c r="C112" i="176"/>
  <c r="B112" i="176"/>
  <c r="A112" i="176"/>
  <c r="AA111" i="176"/>
  <c r="Y111" i="176"/>
  <c r="V111" i="176"/>
  <c r="U111" i="176"/>
  <c r="R111" i="176"/>
  <c r="Q111" i="176"/>
  <c r="P111" i="176"/>
  <c r="O111" i="176"/>
  <c r="M111" i="176"/>
  <c r="L111" i="176"/>
  <c r="J111" i="176"/>
  <c r="I111" i="176"/>
  <c r="H111" i="176"/>
  <c r="G111" i="176"/>
  <c r="F111" i="176"/>
  <c r="E111" i="176"/>
  <c r="D111" i="176"/>
  <c r="C111" i="176"/>
  <c r="B111" i="176"/>
  <c r="AA110" i="176"/>
  <c r="Y110" i="176"/>
  <c r="V110" i="176"/>
  <c r="U110" i="176"/>
  <c r="R110" i="176"/>
  <c r="Q110" i="176"/>
  <c r="P110" i="176"/>
  <c r="O110" i="176"/>
  <c r="M110" i="176"/>
  <c r="L110" i="176"/>
  <c r="J110" i="176"/>
  <c r="I110" i="176"/>
  <c r="H110" i="176"/>
  <c r="G110" i="176"/>
  <c r="F110" i="176"/>
  <c r="E110" i="176"/>
  <c r="D110" i="176"/>
  <c r="C110" i="176"/>
  <c r="B110" i="176"/>
  <c r="V109" i="176"/>
  <c r="R109" i="176"/>
  <c r="O109" i="176"/>
  <c r="M109" i="176"/>
  <c r="L109" i="176"/>
  <c r="K109" i="176"/>
  <c r="J109" i="176"/>
  <c r="I109" i="176"/>
  <c r="H109" i="176"/>
  <c r="G109" i="176"/>
  <c r="F109" i="176"/>
  <c r="E109" i="176"/>
  <c r="D109" i="176"/>
  <c r="C109" i="176"/>
  <c r="B109" i="176"/>
  <c r="Z108" i="176"/>
  <c r="V108" i="176"/>
  <c r="U108" i="176"/>
  <c r="S108" i="176"/>
  <c r="R108" i="176"/>
  <c r="P108" i="176"/>
  <c r="O108" i="176"/>
  <c r="N108" i="176"/>
  <c r="M108" i="176"/>
  <c r="L108" i="176"/>
  <c r="K108" i="176"/>
  <c r="J108" i="176"/>
  <c r="I108" i="176"/>
  <c r="H108" i="176"/>
  <c r="G108" i="176"/>
  <c r="F108" i="176"/>
  <c r="E108" i="176"/>
  <c r="D108" i="176"/>
  <c r="C108" i="176"/>
  <c r="B108" i="176"/>
  <c r="A108" i="176"/>
  <c r="Z107" i="176"/>
  <c r="V107" i="176"/>
  <c r="U107" i="176"/>
  <c r="S107" i="176"/>
  <c r="R107" i="176"/>
  <c r="P107" i="176"/>
  <c r="O107" i="176"/>
  <c r="N107" i="176"/>
  <c r="M107" i="176"/>
  <c r="L107" i="176"/>
  <c r="K107" i="176"/>
  <c r="J107" i="176"/>
  <c r="I107" i="176"/>
  <c r="H107" i="176"/>
  <c r="G107" i="176"/>
  <c r="F107" i="176"/>
  <c r="E107" i="176"/>
  <c r="D107" i="176"/>
  <c r="C107" i="176"/>
  <c r="B107" i="176"/>
  <c r="AA106" i="176"/>
  <c r="Z106" i="176"/>
  <c r="V106" i="176"/>
  <c r="U106" i="176"/>
  <c r="S106" i="176"/>
  <c r="R106" i="176"/>
  <c r="P106" i="176"/>
  <c r="O106" i="176"/>
  <c r="M106" i="176"/>
  <c r="L106" i="176"/>
  <c r="J106" i="176"/>
  <c r="I106" i="176"/>
  <c r="H106" i="176"/>
  <c r="G106" i="176"/>
  <c r="F106" i="176"/>
  <c r="E106" i="176"/>
  <c r="D106" i="176"/>
  <c r="C106" i="176"/>
  <c r="B106" i="176"/>
  <c r="AA105" i="176"/>
  <c r="Z105" i="176"/>
  <c r="V105" i="176"/>
  <c r="U105" i="176"/>
  <c r="S105" i="176"/>
  <c r="R105" i="176"/>
  <c r="P105" i="176"/>
  <c r="O105" i="176"/>
  <c r="M105" i="176"/>
  <c r="L105" i="176"/>
  <c r="J105" i="176"/>
  <c r="I105" i="176"/>
  <c r="H105" i="176"/>
  <c r="G105" i="176"/>
  <c r="F105" i="176"/>
  <c r="E105" i="176"/>
  <c r="D105" i="176"/>
  <c r="C105" i="176"/>
  <c r="B105" i="176"/>
  <c r="AA104" i="176"/>
  <c r="Z104" i="176"/>
  <c r="V104" i="176"/>
  <c r="U104" i="176"/>
  <c r="S104" i="176"/>
  <c r="R104" i="176"/>
  <c r="P104" i="176"/>
  <c r="O104" i="176"/>
  <c r="M104" i="176"/>
  <c r="L104" i="176"/>
  <c r="J104" i="176"/>
  <c r="I104" i="176"/>
  <c r="H104" i="176"/>
  <c r="G104" i="176"/>
  <c r="F104" i="176"/>
  <c r="E104" i="176"/>
  <c r="D104" i="176"/>
  <c r="C104" i="176"/>
  <c r="B104" i="176"/>
  <c r="AA103" i="176"/>
  <c r="Z103" i="176"/>
  <c r="V103" i="176"/>
  <c r="U103" i="176"/>
  <c r="S103" i="176"/>
  <c r="R103" i="176"/>
  <c r="P103" i="176"/>
  <c r="O103" i="176"/>
  <c r="M103" i="176"/>
  <c r="L103" i="176"/>
  <c r="J103" i="176"/>
  <c r="I103" i="176"/>
  <c r="H103" i="176"/>
  <c r="G103" i="176"/>
  <c r="F103" i="176"/>
  <c r="E103" i="176"/>
  <c r="D103" i="176"/>
  <c r="C103" i="176"/>
  <c r="B103" i="176"/>
  <c r="AA102" i="176"/>
  <c r="V102" i="176"/>
  <c r="U102" i="176"/>
  <c r="S102" i="176"/>
  <c r="R102" i="176"/>
  <c r="P102" i="176"/>
  <c r="O102" i="176"/>
  <c r="M102" i="176"/>
  <c r="L102" i="176"/>
  <c r="J102" i="176"/>
  <c r="I102" i="176"/>
  <c r="H102" i="176"/>
  <c r="G102" i="176"/>
  <c r="F102" i="176"/>
  <c r="E102" i="176"/>
  <c r="D102" i="176"/>
  <c r="C102" i="176"/>
  <c r="B102" i="176"/>
  <c r="A102" i="176"/>
  <c r="AA100" i="176"/>
  <c r="Z100" i="176"/>
  <c r="V100" i="176"/>
  <c r="U100" i="176"/>
  <c r="R100" i="176"/>
  <c r="P100" i="176"/>
  <c r="O100" i="176"/>
  <c r="M100" i="176"/>
  <c r="L100" i="176"/>
  <c r="J100" i="176"/>
  <c r="I100" i="176"/>
  <c r="H100" i="176"/>
  <c r="G100" i="176"/>
  <c r="F100" i="176"/>
  <c r="E100" i="176"/>
  <c r="D100" i="176"/>
  <c r="C100" i="176"/>
  <c r="B100" i="176"/>
  <c r="A100" i="176"/>
  <c r="AA98" i="176"/>
  <c r="Z98" i="176"/>
  <c r="Y98" i="176"/>
  <c r="V98" i="176"/>
  <c r="U98" i="176"/>
  <c r="R98" i="176"/>
  <c r="Q98" i="176"/>
  <c r="P98" i="176"/>
  <c r="O98" i="176"/>
  <c r="M98" i="176"/>
  <c r="L98" i="176"/>
  <c r="J98" i="176"/>
  <c r="I98" i="176"/>
  <c r="H98" i="176"/>
  <c r="G98" i="176"/>
  <c r="F98" i="176"/>
  <c r="E98" i="176"/>
  <c r="D98" i="176"/>
  <c r="C98" i="176"/>
  <c r="B98" i="176"/>
  <c r="A98" i="176"/>
  <c r="AA96" i="176"/>
  <c r="Z96" i="176"/>
  <c r="Y96" i="176"/>
  <c r="V96" i="176"/>
  <c r="U96" i="176"/>
  <c r="R96" i="176"/>
  <c r="Q96" i="176"/>
  <c r="P96" i="176"/>
  <c r="O96" i="176"/>
  <c r="M96" i="176"/>
  <c r="L96" i="176"/>
  <c r="J96" i="176"/>
  <c r="I96" i="176"/>
  <c r="H96" i="176"/>
  <c r="G96" i="176"/>
  <c r="F96" i="176"/>
  <c r="E96" i="176"/>
  <c r="D96" i="176"/>
  <c r="C96" i="176"/>
  <c r="B96" i="176"/>
  <c r="A96" i="176"/>
  <c r="AA95" i="176"/>
  <c r="Y95" i="176"/>
  <c r="V95" i="176"/>
  <c r="U95" i="176"/>
  <c r="R95" i="176"/>
  <c r="Q95" i="176"/>
  <c r="P95" i="176"/>
  <c r="O95" i="176"/>
  <c r="M95" i="176"/>
  <c r="L95" i="176"/>
  <c r="J95" i="176"/>
  <c r="I95" i="176"/>
  <c r="H95" i="176"/>
  <c r="G95" i="176"/>
  <c r="F95" i="176"/>
  <c r="E95" i="176"/>
  <c r="D95" i="176"/>
  <c r="C95" i="176"/>
  <c r="B95" i="176"/>
  <c r="AA94" i="176"/>
  <c r="Y94" i="176"/>
  <c r="V94" i="176"/>
  <c r="U94" i="176"/>
  <c r="R94" i="176"/>
  <c r="Q94" i="176"/>
  <c r="P94" i="176"/>
  <c r="O94" i="176"/>
  <c r="M94" i="176"/>
  <c r="L94" i="176"/>
  <c r="J94" i="176"/>
  <c r="I94" i="176"/>
  <c r="H94" i="176"/>
  <c r="G94" i="176"/>
  <c r="F94" i="176"/>
  <c r="E94" i="176"/>
  <c r="D94" i="176"/>
  <c r="C94" i="176"/>
  <c r="B94" i="176"/>
  <c r="V93" i="176"/>
  <c r="R93" i="176"/>
  <c r="O93" i="176"/>
  <c r="M93" i="176"/>
  <c r="L93" i="176"/>
  <c r="K93" i="176"/>
  <c r="J93" i="176"/>
  <c r="I93" i="176"/>
  <c r="H93" i="176"/>
  <c r="G93" i="176"/>
  <c r="F93" i="176"/>
  <c r="E93" i="176"/>
  <c r="D93" i="176"/>
  <c r="C93" i="176"/>
  <c r="B93" i="176"/>
  <c r="Z92" i="176"/>
  <c r="V92" i="176"/>
  <c r="U92" i="176"/>
  <c r="S92" i="176"/>
  <c r="R92" i="176"/>
  <c r="P92" i="176"/>
  <c r="O92" i="176"/>
  <c r="N92" i="176"/>
  <c r="M92" i="176"/>
  <c r="L92" i="176"/>
  <c r="K92" i="176"/>
  <c r="J92" i="176"/>
  <c r="I92" i="176"/>
  <c r="H92" i="176"/>
  <c r="G92" i="176"/>
  <c r="F92" i="176"/>
  <c r="E92" i="176"/>
  <c r="D92" i="176"/>
  <c r="C92" i="176"/>
  <c r="B92" i="176"/>
  <c r="A92" i="176"/>
  <c r="Z91" i="176"/>
  <c r="V91" i="176"/>
  <c r="U91" i="176"/>
  <c r="S91" i="176"/>
  <c r="R91" i="176"/>
  <c r="P91" i="176"/>
  <c r="O91" i="176"/>
  <c r="N91" i="176"/>
  <c r="M91" i="176"/>
  <c r="L91" i="176"/>
  <c r="K91" i="176"/>
  <c r="J91" i="176"/>
  <c r="I91" i="176"/>
  <c r="H91" i="176"/>
  <c r="G91" i="176"/>
  <c r="F91" i="176"/>
  <c r="E91" i="176"/>
  <c r="D91" i="176"/>
  <c r="C91" i="176"/>
  <c r="B91" i="176"/>
  <c r="AA90" i="176"/>
  <c r="Z90" i="176"/>
  <c r="V90" i="176"/>
  <c r="U90" i="176"/>
  <c r="S90" i="176"/>
  <c r="R90" i="176"/>
  <c r="P90" i="176"/>
  <c r="O90" i="176"/>
  <c r="M90" i="176"/>
  <c r="L90" i="176"/>
  <c r="J90" i="176"/>
  <c r="I90" i="176"/>
  <c r="H90" i="176"/>
  <c r="G90" i="176"/>
  <c r="F90" i="176"/>
  <c r="E90" i="176"/>
  <c r="D90" i="176"/>
  <c r="C90" i="176"/>
  <c r="B90" i="176"/>
  <c r="AA89" i="176"/>
  <c r="Z89" i="176"/>
  <c r="V89" i="176"/>
  <c r="U89" i="176"/>
  <c r="S89" i="176"/>
  <c r="R89" i="176"/>
  <c r="P89" i="176"/>
  <c r="O89" i="176"/>
  <c r="M89" i="176"/>
  <c r="L89" i="176"/>
  <c r="J89" i="176"/>
  <c r="I89" i="176"/>
  <c r="H89" i="176"/>
  <c r="G89" i="176"/>
  <c r="F89" i="176"/>
  <c r="E89" i="176"/>
  <c r="D89" i="176"/>
  <c r="C89" i="176"/>
  <c r="B89" i="176"/>
  <c r="AA88" i="176"/>
  <c r="Z88" i="176"/>
  <c r="V88" i="176"/>
  <c r="U88" i="176"/>
  <c r="S88" i="176"/>
  <c r="R88" i="176"/>
  <c r="P88" i="176"/>
  <c r="O88" i="176"/>
  <c r="M88" i="176"/>
  <c r="L88" i="176"/>
  <c r="J88" i="176"/>
  <c r="I88" i="176"/>
  <c r="H88" i="176"/>
  <c r="G88" i="176"/>
  <c r="F88" i="176"/>
  <c r="E88" i="176"/>
  <c r="D88" i="176"/>
  <c r="C88" i="176"/>
  <c r="B88" i="176"/>
  <c r="AA87" i="176"/>
  <c r="Z87" i="176"/>
  <c r="V87" i="176"/>
  <c r="U87" i="176"/>
  <c r="S87" i="176"/>
  <c r="R87" i="176"/>
  <c r="P87" i="176"/>
  <c r="O87" i="176"/>
  <c r="M87" i="176"/>
  <c r="L87" i="176"/>
  <c r="J87" i="176"/>
  <c r="I87" i="176"/>
  <c r="H87" i="176"/>
  <c r="G87" i="176"/>
  <c r="F87" i="176"/>
  <c r="E87" i="176"/>
  <c r="D87" i="176"/>
  <c r="C87" i="176"/>
  <c r="B87" i="176"/>
  <c r="AA86" i="176"/>
  <c r="V86" i="176"/>
  <c r="U86" i="176"/>
  <c r="S86" i="176"/>
  <c r="R86" i="176"/>
  <c r="P86" i="176"/>
  <c r="O86" i="176"/>
  <c r="M86" i="176"/>
  <c r="L86" i="176"/>
  <c r="J86" i="176"/>
  <c r="I86" i="176"/>
  <c r="H86" i="176"/>
  <c r="G86" i="176"/>
  <c r="F86" i="176"/>
  <c r="E86" i="176"/>
  <c r="D86" i="176"/>
  <c r="C86" i="176"/>
  <c r="B86" i="176"/>
  <c r="A86" i="176"/>
  <c r="AA84" i="176"/>
  <c r="Z84" i="176"/>
  <c r="V84" i="176"/>
  <c r="U84" i="176"/>
  <c r="R84" i="176"/>
  <c r="P84" i="176"/>
  <c r="O84" i="176"/>
  <c r="M84" i="176"/>
  <c r="L84" i="176"/>
  <c r="J84" i="176"/>
  <c r="I84" i="176"/>
  <c r="H84" i="176"/>
  <c r="G84" i="176"/>
  <c r="F84" i="176"/>
  <c r="E84" i="176"/>
  <c r="D84" i="176"/>
  <c r="C84" i="176"/>
  <c r="B84" i="176"/>
  <c r="A84" i="176"/>
  <c r="AA82" i="176"/>
  <c r="Z82" i="176"/>
  <c r="Y82" i="176"/>
  <c r="V82" i="176"/>
  <c r="U82" i="176"/>
  <c r="R82" i="176"/>
  <c r="Q82" i="176"/>
  <c r="P82" i="176"/>
  <c r="O82" i="176"/>
  <c r="M82" i="176"/>
  <c r="L82" i="176"/>
  <c r="J82" i="176"/>
  <c r="I82" i="176"/>
  <c r="H82" i="176"/>
  <c r="G82" i="176"/>
  <c r="F82" i="176"/>
  <c r="E82" i="176"/>
  <c r="D82" i="176"/>
  <c r="C82" i="176"/>
  <c r="B82" i="176"/>
  <c r="A82" i="176"/>
  <c r="AA80" i="176"/>
  <c r="Z80" i="176"/>
  <c r="Y80" i="176"/>
  <c r="V80" i="176"/>
  <c r="U80" i="176"/>
  <c r="R80" i="176"/>
  <c r="Q80" i="176"/>
  <c r="P80" i="176"/>
  <c r="O80" i="176"/>
  <c r="M80" i="176"/>
  <c r="L80" i="176"/>
  <c r="J80" i="176"/>
  <c r="I80" i="176"/>
  <c r="H80" i="176"/>
  <c r="G80" i="176"/>
  <c r="F80" i="176"/>
  <c r="E80" i="176"/>
  <c r="D80" i="176"/>
  <c r="C80" i="176"/>
  <c r="B80" i="176"/>
  <c r="A80" i="176"/>
  <c r="AA79" i="176"/>
  <c r="Y79" i="176"/>
  <c r="V79" i="176"/>
  <c r="U79" i="176"/>
  <c r="R79" i="176"/>
  <c r="Q79" i="176"/>
  <c r="P79" i="176"/>
  <c r="O79" i="176"/>
  <c r="M79" i="176"/>
  <c r="L79" i="176"/>
  <c r="J79" i="176"/>
  <c r="I79" i="176"/>
  <c r="H79" i="176"/>
  <c r="G79" i="176"/>
  <c r="F79" i="176"/>
  <c r="E79" i="176"/>
  <c r="D79" i="176"/>
  <c r="C79" i="176"/>
  <c r="B79" i="176"/>
  <c r="AA78" i="176"/>
  <c r="Y78" i="176"/>
  <c r="V78" i="176"/>
  <c r="U78" i="176"/>
  <c r="R78" i="176"/>
  <c r="Q78" i="176"/>
  <c r="P78" i="176"/>
  <c r="O78" i="176"/>
  <c r="M78" i="176"/>
  <c r="L78" i="176"/>
  <c r="J78" i="176"/>
  <c r="I78" i="176"/>
  <c r="H78" i="176"/>
  <c r="G78" i="176"/>
  <c r="F78" i="176"/>
  <c r="E78" i="176"/>
  <c r="D78" i="176"/>
  <c r="C78" i="176"/>
  <c r="B78" i="176"/>
  <c r="V77" i="176"/>
  <c r="R77" i="176"/>
  <c r="O77" i="176"/>
  <c r="M77" i="176"/>
  <c r="L77" i="176"/>
  <c r="K77" i="176"/>
  <c r="J77" i="176"/>
  <c r="I77" i="176"/>
  <c r="H77" i="176"/>
  <c r="G77" i="176"/>
  <c r="F77" i="176"/>
  <c r="E77" i="176"/>
  <c r="D77" i="176"/>
  <c r="C77" i="176"/>
  <c r="B77" i="176"/>
  <c r="Z76" i="176"/>
  <c r="V76" i="176"/>
  <c r="U76" i="176"/>
  <c r="S76" i="176"/>
  <c r="R76" i="176"/>
  <c r="P76" i="176"/>
  <c r="O76" i="176"/>
  <c r="N76" i="176"/>
  <c r="M76" i="176"/>
  <c r="L76" i="176"/>
  <c r="K76" i="176"/>
  <c r="J76" i="176"/>
  <c r="I76" i="176"/>
  <c r="H76" i="176"/>
  <c r="G76" i="176"/>
  <c r="F76" i="176"/>
  <c r="E76" i="176"/>
  <c r="D76" i="176"/>
  <c r="C76" i="176"/>
  <c r="B76" i="176"/>
  <c r="A76" i="176"/>
  <c r="Z75" i="176"/>
  <c r="V75" i="176"/>
  <c r="U75" i="176"/>
  <c r="S75" i="176"/>
  <c r="R75" i="176"/>
  <c r="P75" i="176"/>
  <c r="O75" i="176"/>
  <c r="N75" i="176"/>
  <c r="M75" i="176"/>
  <c r="L75" i="176"/>
  <c r="K75" i="176"/>
  <c r="J75" i="176"/>
  <c r="I75" i="176"/>
  <c r="H75" i="176"/>
  <c r="G75" i="176"/>
  <c r="F75" i="176"/>
  <c r="E75" i="176"/>
  <c r="D75" i="176"/>
  <c r="C75" i="176"/>
  <c r="B75" i="176"/>
  <c r="A75" i="176"/>
  <c r="AA74" i="176"/>
  <c r="Z74" i="176"/>
  <c r="V74" i="176"/>
  <c r="U74" i="176"/>
  <c r="S74" i="176"/>
  <c r="R74" i="176"/>
  <c r="P74" i="176"/>
  <c r="O74" i="176"/>
  <c r="M74" i="176"/>
  <c r="L74" i="176"/>
  <c r="J74" i="176"/>
  <c r="I74" i="176"/>
  <c r="H74" i="176"/>
  <c r="G74" i="176"/>
  <c r="F74" i="176"/>
  <c r="E74" i="176"/>
  <c r="D74" i="176"/>
  <c r="C74" i="176"/>
  <c r="B74" i="176"/>
  <c r="A74" i="176"/>
  <c r="AA73" i="176"/>
  <c r="Z73" i="176"/>
  <c r="V73" i="176"/>
  <c r="U73" i="176"/>
  <c r="S73" i="176"/>
  <c r="R73" i="176"/>
  <c r="P73" i="176"/>
  <c r="O73" i="176"/>
  <c r="M73" i="176"/>
  <c r="L73" i="176"/>
  <c r="J73" i="176"/>
  <c r="I73" i="176"/>
  <c r="H73" i="176"/>
  <c r="G73" i="176"/>
  <c r="F73" i="176"/>
  <c r="E73" i="176"/>
  <c r="D73" i="176"/>
  <c r="C73" i="176"/>
  <c r="B73" i="176"/>
  <c r="A73" i="176"/>
  <c r="AA72" i="176"/>
  <c r="Z72" i="176"/>
  <c r="V72" i="176"/>
  <c r="U72" i="176"/>
  <c r="S72" i="176"/>
  <c r="R72" i="176"/>
  <c r="P72" i="176"/>
  <c r="O72" i="176"/>
  <c r="M72" i="176"/>
  <c r="L72" i="176"/>
  <c r="J72" i="176"/>
  <c r="I72" i="176"/>
  <c r="H72" i="176"/>
  <c r="G72" i="176"/>
  <c r="F72" i="176"/>
  <c r="E72" i="176"/>
  <c r="D72" i="176"/>
  <c r="C72" i="176"/>
  <c r="B72" i="176"/>
  <c r="A72" i="176"/>
  <c r="AA71" i="176"/>
  <c r="Z71" i="176"/>
  <c r="V71" i="176"/>
  <c r="U71" i="176"/>
  <c r="S71" i="176"/>
  <c r="R71" i="176"/>
  <c r="P71" i="176"/>
  <c r="O71" i="176"/>
  <c r="M71" i="176"/>
  <c r="L71" i="176"/>
  <c r="J71" i="176"/>
  <c r="I71" i="176"/>
  <c r="H71" i="176"/>
  <c r="G71" i="176"/>
  <c r="F71" i="176"/>
  <c r="E71" i="176"/>
  <c r="D71" i="176"/>
  <c r="C71" i="176"/>
  <c r="B71" i="176"/>
  <c r="A71" i="176"/>
  <c r="AA70" i="176"/>
  <c r="V70" i="176"/>
  <c r="U70" i="176"/>
  <c r="S70" i="176"/>
  <c r="R70" i="176"/>
  <c r="P70" i="176"/>
  <c r="O70" i="176"/>
  <c r="M70" i="176"/>
  <c r="L70" i="176"/>
  <c r="J70" i="176"/>
  <c r="I70" i="176"/>
  <c r="H70" i="176"/>
  <c r="G70" i="176"/>
  <c r="F70" i="176"/>
  <c r="E70" i="176"/>
  <c r="D70" i="176"/>
  <c r="C70" i="176"/>
  <c r="B70" i="176"/>
  <c r="A70" i="176"/>
  <c r="AA68" i="176"/>
  <c r="Z68" i="176"/>
  <c r="V68" i="176"/>
  <c r="U68" i="176"/>
  <c r="R68" i="176"/>
  <c r="P68" i="176"/>
  <c r="O68" i="176"/>
  <c r="M68" i="176"/>
  <c r="L68" i="176"/>
  <c r="J68" i="176"/>
  <c r="I68" i="176"/>
  <c r="H68" i="176"/>
  <c r="G68" i="176"/>
  <c r="F68" i="176"/>
  <c r="E68" i="176"/>
  <c r="D68" i="176"/>
  <c r="C68" i="176"/>
  <c r="B68" i="176"/>
  <c r="A68" i="176"/>
  <c r="AA66" i="176"/>
  <c r="Z66" i="176"/>
  <c r="Y66" i="176"/>
  <c r="V66" i="176"/>
  <c r="U66" i="176"/>
  <c r="R66" i="176"/>
  <c r="Q66" i="176"/>
  <c r="P66" i="176"/>
  <c r="O66" i="176"/>
  <c r="M66" i="176"/>
  <c r="L66" i="176"/>
  <c r="J66" i="176"/>
  <c r="I66" i="176"/>
  <c r="H66" i="176"/>
  <c r="G66" i="176"/>
  <c r="F66" i="176"/>
  <c r="E66" i="176"/>
  <c r="D66" i="176"/>
  <c r="C66" i="176"/>
  <c r="B66" i="176"/>
  <c r="A66" i="176"/>
  <c r="AA64" i="176"/>
  <c r="Z64" i="176"/>
  <c r="Y64" i="176"/>
  <c r="V64" i="176"/>
  <c r="U64" i="176"/>
  <c r="R64" i="176"/>
  <c r="Q64" i="176"/>
  <c r="P64" i="176"/>
  <c r="O64" i="176"/>
  <c r="M64" i="176"/>
  <c r="L64" i="176"/>
  <c r="J64" i="176"/>
  <c r="I64" i="176"/>
  <c r="H64" i="176"/>
  <c r="G64" i="176"/>
  <c r="F64" i="176"/>
  <c r="E64" i="176"/>
  <c r="D64" i="176"/>
  <c r="C64" i="176"/>
  <c r="B64" i="176"/>
  <c r="A64" i="176"/>
  <c r="AA63" i="176"/>
  <c r="Z63" i="176"/>
  <c r="Y63" i="176"/>
  <c r="V63" i="176"/>
  <c r="U63" i="176"/>
  <c r="R63" i="176"/>
  <c r="Q63" i="176"/>
  <c r="P63" i="176"/>
  <c r="O63" i="176"/>
  <c r="M63" i="176"/>
  <c r="L63" i="176"/>
  <c r="J63" i="176"/>
  <c r="I63" i="176"/>
  <c r="H63" i="176"/>
  <c r="G63" i="176"/>
  <c r="F63" i="176"/>
  <c r="E63" i="176"/>
  <c r="D63" i="176"/>
  <c r="C63" i="176"/>
  <c r="B63" i="176"/>
  <c r="A63" i="176"/>
  <c r="AA62" i="176"/>
  <c r="Z62" i="176"/>
  <c r="Y62" i="176"/>
  <c r="V62" i="176"/>
  <c r="U62" i="176"/>
  <c r="R62" i="176"/>
  <c r="Q62" i="176"/>
  <c r="P62" i="176"/>
  <c r="O62" i="176"/>
  <c r="M62" i="176"/>
  <c r="L62" i="176"/>
  <c r="J62" i="176"/>
  <c r="I62" i="176"/>
  <c r="H62" i="176"/>
  <c r="G62" i="176"/>
  <c r="F62" i="176"/>
  <c r="E62" i="176"/>
  <c r="D62" i="176"/>
  <c r="C62" i="176"/>
  <c r="B62" i="176"/>
  <c r="A62" i="176"/>
  <c r="V61" i="176"/>
  <c r="R61" i="176"/>
  <c r="O61" i="176"/>
  <c r="M61" i="176"/>
  <c r="L61" i="176"/>
  <c r="K61" i="176"/>
  <c r="J61" i="176"/>
  <c r="I61" i="176"/>
  <c r="H61" i="176"/>
  <c r="G61" i="176"/>
  <c r="F61" i="176"/>
  <c r="E61" i="176"/>
  <c r="D61" i="176"/>
  <c r="C61" i="176"/>
  <c r="B61" i="176"/>
  <c r="W60" i="176"/>
  <c r="V60" i="176"/>
  <c r="U60" i="176"/>
  <c r="S60" i="176"/>
  <c r="R60" i="176"/>
  <c r="P60" i="176"/>
  <c r="O60" i="176"/>
  <c r="M60" i="176"/>
  <c r="L60" i="176"/>
  <c r="J60" i="176"/>
  <c r="I60" i="176"/>
  <c r="H60" i="176"/>
  <c r="G60" i="176"/>
  <c r="F60" i="176"/>
  <c r="E60" i="176"/>
  <c r="D60" i="176"/>
  <c r="C60" i="176"/>
  <c r="B60" i="176"/>
  <c r="A60" i="176"/>
  <c r="AA59" i="176"/>
  <c r="Z59" i="176"/>
  <c r="V59" i="176"/>
  <c r="U59" i="176"/>
  <c r="S59" i="176"/>
  <c r="R59" i="176"/>
  <c r="P59" i="176"/>
  <c r="O59" i="176"/>
  <c r="M59" i="176"/>
  <c r="L59" i="176"/>
  <c r="J59" i="176"/>
  <c r="I59" i="176"/>
  <c r="H59" i="176"/>
  <c r="G59" i="176"/>
  <c r="F59" i="176"/>
  <c r="E59" i="176"/>
  <c r="D59" i="176"/>
  <c r="C59" i="176"/>
  <c r="B59" i="176"/>
  <c r="A59" i="176"/>
  <c r="AA58" i="176"/>
  <c r="Z58" i="176"/>
  <c r="V58" i="176"/>
  <c r="U58" i="176"/>
  <c r="S58" i="176"/>
  <c r="R58" i="176"/>
  <c r="P58" i="176"/>
  <c r="O58" i="176"/>
  <c r="M58" i="176"/>
  <c r="L58" i="176"/>
  <c r="J58" i="176"/>
  <c r="I58" i="176"/>
  <c r="H58" i="176"/>
  <c r="G58" i="176"/>
  <c r="F58" i="176"/>
  <c r="E58" i="176"/>
  <c r="D58" i="176"/>
  <c r="C58" i="176"/>
  <c r="B58" i="176"/>
  <c r="A58" i="176"/>
  <c r="AA57" i="176"/>
  <c r="V57" i="176"/>
  <c r="U57" i="176"/>
  <c r="S57" i="176"/>
  <c r="R57" i="176"/>
  <c r="P57" i="176"/>
  <c r="O57" i="176"/>
  <c r="M57" i="176"/>
  <c r="L57" i="176"/>
  <c r="J57" i="176"/>
  <c r="I57" i="176"/>
  <c r="H57" i="176"/>
  <c r="G57" i="176"/>
  <c r="F57" i="176"/>
  <c r="E57" i="176"/>
  <c r="D57" i="176"/>
  <c r="C57" i="176"/>
  <c r="B57" i="176"/>
  <c r="A57" i="176"/>
  <c r="AA55" i="176"/>
  <c r="Z55" i="176"/>
  <c r="V55" i="176"/>
  <c r="U55" i="176"/>
  <c r="R55" i="176"/>
  <c r="P55" i="176"/>
  <c r="O55" i="176"/>
  <c r="M55" i="176"/>
  <c r="L55" i="176"/>
  <c r="J55" i="176"/>
  <c r="I55" i="176"/>
  <c r="H55" i="176"/>
  <c r="G55" i="176"/>
  <c r="F55" i="176"/>
  <c r="E55" i="176"/>
  <c r="D55" i="176"/>
  <c r="C55" i="176"/>
  <c r="B55" i="176"/>
  <c r="A55" i="176"/>
  <c r="AA53" i="176"/>
  <c r="Z53" i="176"/>
  <c r="V53" i="176"/>
  <c r="U53" i="176"/>
  <c r="R53" i="176"/>
  <c r="P53" i="176"/>
  <c r="O53" i="176"/>
  <c r="M53" i="176"/>
  <c r="L53" i="176"/>
  <c r="J53" i="176"/>
  <c r="I53" i="176"/>
  <c r="H53" i="176"/>
  <c r="G53" i="176"/>
  <c r="F53" i="176"/>
  <c r="E53" i="176"/>
  <c r="D53" i="176"/>
  <c r="C53" i="176"/>
  <c r="B53" i="176"/>
  <c r="A53" i="176"/>
  <c r="AA52" i="176"/>
  <c r="V52" i="176"/>
  <c r="U52" i="176"/>
  <c r="R52" i="176"/>
  <c r="P52" i="176"/>
  <c r="O52" i="176"/>
  <c r="M52" i="176"/>
  <c r="L52" i="176"/>
  <c r="J52" i="176"/>
  <c r="I52" i="176"/>
  <c r="H52" i="176"/>
  <c r="G52" i="176"/>
  <c r="F52" i="176"/>
  <c r="E52" i="176"/>
  <c r="D52" i="176"/>
  <c r="C52" i="176"/>
  <c r="B52" i="176"/>
  <c r="A52" i="176"/>
  <c r="AA51" i="176"/>
  <c r="V51" i="176"/>
  <c r="U51" i="176"/>
  <c r="R51" i="176"/>
  <c r="P51" i="176"/>
  <c r="O51" i="176"/>
  <c r="M51" i="176"/>
  <c r="L51" i="176"/>
  <c r="J51" i="176"/>
  <c r="I51" i="176"/>
  <c r="H51" i="176"/>
  <c r="G51" i="176"/>
  <c r="F51" i="176"/>
  <c r="E51" i="176"/>
  <c r="D51" i="176"/>
  <c r="C51" i="176"/>
  <c r="B51" i="176"/>
  <c r="A51" i="176"/>
  <c r="V50" i="176"/>
  <c r="R50" i="176"/>
  <c r="O50" i="176"/>
  <c r="M50" i="176"/>
  <c r="L50" i="176"/>
  <c r="K50" i="176"/>
  <c r="J50" i="176"/>
  <c r="I50" i="176"/>
  <c r="H50" i="176"/>
  <c r="G50" i="176"/>
  <c r="F50" i="176"/>
  <c r="E50" i="176"/>
  <c r="D50" i="176"/>
  <c r="C50" i="176"/>
  <c r="B50" i="176"/>
  <c r="Z49" i="176"/>
  <c r="V49" i="176"/>
  <c r="U49" i="176"/>
  <c r="S49" i="176"/>
  <c r="R49" i="176"/>
  <c r="P49" i="176"/>
  <c r="O49" i="176"/>
  <c r="N49" i="176"/>
  <c r="M49" i="176"/>
  <c r="L49" i="176"/>
  <c r="K49" i="176"/>
  <c r="J49" i="176"/>
  <c r="I49" i="176"/>
  <c r="H49" i="176"/>
  <c r="G49" i="176"/>
  <c r="F49" i="176"/>
  <c r="E49" i="176"/>
  <c r="D49" i="176"/>
  <c r="C49" i="176"/>
  <c r="B49" i="176"/>
  <c r="A49" i="176"/>
  <c r="Z48" i="176"/>
  <c r="V48" i="176"/>
  <c r="U48" i="176"/>
  <c r="S48" i="176"/>
  <c r="R48" i="176"/>
  <c r="P48" i="176"/>
  <c r="O48" i="176"/>
  <c r="N48" i="176"/>
  <c r="M48" i="176"/>
  <c r="L48" i="176"/>
  <c r="K48" i="176"/>
  <c r="J48" i="176"/>
  <c r="I48" i="176"/>
  <c r="H48" i="176"/>
  <c r="G48" i="176"/>
  <c r="F48" i="176"/>
  <c r="E48" i="176"/>
  <c r="D48" i="176"/>
  <c r="C48" i="176"/>
  <c r="B48" i="176"/>
  <c r="A48" i="176"/>
  <c r="AA47" i="176"/>
  <c r="Z47" i="176"/>
  <c r="V47" i="176"/>
  <c r="U47" i="176"/>
  <c r="S47" i="176"/>
  <c r="R47" i="176"/>
  <c r="P47" i="176"/>
  <c r="O47" i="176"/>
  <c r="M47" i="176"/>
  <c r="L47" i="176"/>
  <c r="J47" i="176"/>
  <c r="I47" i="176"/>
  <c r="H47" i="176"/>
  <c r="G47" i="176"/>
  <c r="F47" i="176"/>
  <c r="E47" i="176"/>
  <c r="D47" i="176"/>
  <c r="C47" i="176"/>
  <c r="B47" i="176"/>
  <c r="A47" i="176"/>
  <c r="AA46" i="176"/>
  <c r="Z46" i="176"/>
  <c r="V46" i="176"/>
  <c r="U46" i="176"/>
  <c r="S46" i="176"/>
  <c r="R46" i="176"/>
  <c r="P46" i="176"/>
  <c r="O46" i="176"/>
  <c r="M46" i="176"/>
  <c r="L46" i="176"/>
  <c r="J46" i="176"/>
  <c r="I46" i="176"/>
  <c r="H46" i="176"/>
  <c r="G46" i="176"/>
  <c r="F46" i="176"/>
  <c r="E46" i="176"/>
  <c r="D46" i="176"/>
  <c r="C46" i="176"/>
  <c r="B46" i="176"/>
  <c r="A46" i="176"/>
  <c r="AA45" i="176"/>
  <c r="Z45" i="176"/>
  <c r="V45" i="176"/>
  <c r="U45" i="176"/>
  <c r="S45" i="176"/>
  <c r="R45" i="176"/>
  <c r="P45" i="176"/>
  <c r="O45" i="176"/>
  <c r="M45" i="176"/>
  <c r="L45" i="176"/>
  <c r="J45" i="176"/>
  <c r="I45" i="176"/>
  <c r="H45" i="176"/>
  <c r="G45" i="176"/>
  <c r="F45" i="176"/>
  <c r="E45" i="176"/>
  <c r="D45" i="176"/>
  <c r="C45" i="176"/>
  <c r="B45" i="176"/>
  <c r="A45" i="176"/>
  <c r="AA44" i="176"/>
  <c r="Z44" i="176"/>
  <c r="V44" i="176"/>
  <c r="U44" i="176"/>
  <c r="S44" i="176"/>
  <c r="R44" i="176"/>
  <c r="P44" i="176"/>
  <c r="O44" i="176"/>
  <c r="M44" i="176"/>
  <c r="L44" i="176"/>
  <c r="J44" i="176"/>
  <c r="I44" i="176"/>
  <c r="H44" i="176"/>
  <c r="G44" i="176"/>
  <c r="F44" i="176"/>
  <c r="E44" i="176"/>
  <c r="D44" i="176"/>
  <c r="C44" i="176"/>
  <c r="B44" i="176"/>
  <c r="A44" i="176"/>
  <c r="AA43" i="176"/>
  <c r="V43" i="176"/>
  <c r="U43" i="176"/>
  <c r="S43" i="176"/>
  <c r="R43" i="176"/>
  <c r="P43" i="176"/>
  <c r="O43" i="176"/>
  <c r="M43" i="176"/>
  <c r="L43" i="176"/>
  <c r="J43" i="176"/>
  <c r="I43" i="176"/>
  <c r="H43" i="176"/>
  <c r="G43" i="176"/>
  <c r="F43" i="176"/>
  <c r="E43" i="176"/>
  <c r="D43" i="176"/>
  <c r="C43" i="176"/>
  <c r="B43" i="176"/>
  <c r="A43" i="176"/>
  <c r="AA41" i="176"/>
  <c r="Z41" i="176"/>
  <c r="V41" i="176"/>
  <c r="U41" i="176"/>
  <c r="R41" i="176"/>
  <c r="P41" i="176"/>
  <c r="O41" i="176"/>
  <c r="M41" i="176"/>
  <c r="L41" i="176"/>
  <c r="J41" i="176"/>
  <c r="I41" i="176"/>
  <c r="H41" i="176"/>
  <c r="G41" i="176"/>
  <c r="F41" i="176"/>
  <c r="E41" i="176"/>
  <c r="D41" i="176"/>
  <c r="C41" i="176"/>
  <c r="B41" i="176"/>
  <c r="A41" i="176"/>
  <c r="AA39" i="176"/>
  <c r="Z39" i="176"/>
  <c r="Y39" i="176"/>
  <c r="V39" i="176"/>
  <c r="U39" i="176"/>
  <c r="R39" i="176"/>
  <c r="Q39" i="176"/>
  <c r="P39" i="176"/>
  <c r="O39" i="176"/>
  <c r="M39" i="176"/>
  <c r="L39" i="176"/>
  <c r="J39" i="176"/>
  <c r="I39" i="176"/>
  <c r="H39" i="176"/>
  <c r="G39" i="176"/>
  <c r="F39" i="176"/>
  <c r="E39" i="176"/>
  <c r="D39" i="176"/>
  <c r="C39" i="176"/>
  <c r="B39" i="176"/>
  <c r="A39" i="176"/>
  <c r="AA37" i="176"/>
  <c r="Z37" i="176"/>
  <c r="Y37" i="176"/>
  <c r="V37" i="176"/>
  <c r="U37" i="176"/>
  <c r="R37" i="176"/>
  <c r="Q37" i="176"/>
  <c r="P37" i="176"/>
  <c r="O37" i="176"/>
  <c r="M37" i="176"/>
  <c r="L37" i="176"/>
  <c r="J37" i="176"/>
  <c r="I37" i="176"/>
  <c r="H37" i="176"/>
  <c r="G37" i="176"/>
  <c r="F37" i="176"/>
  <c r="E37" i="176"/>
  <c r="D37" i="176"/>
  <c r="C37" i="176"/>
  <c r="B37" i="176"/>
  <c r="A37" i="176"/>
  <c r="AA36" i="176"/>
  <c r="Y36" i="176"/>
  <c r="V36" i="176"/>
  <c r="U36" i="176"/>
  <c r="R36" i="176"/>
  <c r="Q36" i="176"/>
  <c r="P36" i="176"/>
  <c r="O36" i="176"/>
  <c r="M36" i="176"/>
  <c r="L36" i="176"/>
  <c r="J36" i="176"/>
  <c r="I36" i="176"/>
  <c r="H36" i="176"/>
  <c r="G36" i="176"/>
  <c r="F36" i="176"/>
  <c r="E36" i="176"/>
  <c r="D36" i="176"/>
  <c r="C36" i="176"/>
  <c r="B36" i="176"/>
  <c r="A36" i="176"/>
  <c r="AA35" i="176"/>
  <c r="Y35" i="176"/>
  <c r="V35" i="176"/>
  <c r="U35" i="176"/>
  <c r="R35" i="176"/>
  <c r="Q35" i="176"/>
  <c r="P35" i="176"/>
  <c r="O35" i="176"/>
  <c r="M35" i="176"/>
  <c r="L35" i="176"/>
  <c r="J35" i="176"/>
  <c r="I35" i="176"/>
  <c r="H35" i="176"/>
  <c r="G35" i="176"/>
  <c r="F35" i="176"/>
  <c r="E35" i="176"/>
  <c r="D35" i="176"/>
  <c r="C35" i="176"/>
  <c r="B35" i="176"/>
  <c r="A35" i="176"/>
  <c r="V34" i="176"/>
  <c r="R34" i="176"/>
  <c r="O34" i="176"/>
  <c r="M34" i="176"/>
  <c r="L34" i="176"/>
  <c r="K34" i="176"/>
  <c r="J34" i="176"/>
  <c r="I34" i="176"/>
  <c r="H34" i="176"/>
  <c r="G34" i="176"/>
  <c r="F34" i="176"/>
  <c r="E34" i="176"/>
  <c r="D34" i="176"/>
  <c r="C34" i="176"/>
  <c r="B34" i="176"/>
  <c r="V33" i="176"/>
  <c r="U33" i="176"/>
  <c r="S33" i="176"/>
  <c r="R33" i="176"/>
  <c r="P33" i="176"/>
  <c r="O33" i="176"/>
  <c r="M33" i="176"/>
  <c r="L33" i="176"/>
  <c r="J33" i="176"/>
  <c r="I33" i="176"/>
  <c r="H33" i="176"/>
  <c r="G33" i="176"/>
  <c r="F33" i="176"/>
  <c r="E33" i="176"/>
  <c r="D33" i="176"/>
  <c r="C33" i="176"/>
  <c r="B33" i="176"/>
  <c r="A33" i="176"/>
  <c r="AA32" i="176"/>
  <c r="V32" i="176"/>
  <c r="U32" i="176"/>
  <c r="S32" i="176"/>
  <c r="R32" i="176"/>
  <c r="P32" i="176"/>
  <c r="O32" i="176"/>
  <c r="M32" i="176"/>
  <c r="L32" i="176"/>
  <c r="J32" i="176"/>
  <c r="I32" i="176"/>
  <c r="H32" i="176"/>
  <c r="G32" i="176"/>
  <c r="F32" i="176"/>
  <c r="E32" i="176"/>
  <c r="D32" i="176"/>
  <c r="C32" i="176"/>
  <c r="B32" i="176"/>
  <c r="A32" i="176"/>
  <c r="AA31" i="176"/>
  <c r="V31" i="176"/>
  <c r="U31" i="176"/>
  <c r="S31" i="176"/>
  <c r="R31" i="176"/>
  <c r="P31" i="176"/>
  <c r="O31" i="176"/>
  <c r="M31" i="176"/>
  <c r="L31" i="176"/>
  <c r="J31" i="176"/>
  <c r="I31" i="176"/>
  <c r="H31" i="176"/>
  <c r="G31" i="176"/>
  <c r="F31" i="176"/>
  <c r="E31" i="176"/>
  <c r="D31" i="176"/>
  <c r="C31" i="176"/>
  <c r="B31" i="176"/>
  <c r="A31" i="176"/>
  <c r="AA30" i="176"/>
  <c r="V30" i="176"/>
  <c r="U30" i="176"/>
  <c r="S30" i="176"/>
  <c r="R30" i="176"/>
  <c r="P30" i="176"/>
  <c r="O30" i="176"/>
  <c r="M30" i="176"/>
  <c r="L30" i="176"/>
  <c r="J30" i="176"/>
  <c r="I30" i="176"/>
  <c r="H30" i="176"/>
  <c r="G30" i="176"/>
  <c r="F30" i="176"/>
  <c r="E30" i="176"/>
  <c r="D30" i="176"/>
  <c r="C30" i="176"/>
  <c r="B30" i="176"/>
  <c r="A30" i="176"/>
  <c r="AA28" i="176"/>
  <c r="V28" i="176"/>
  <c r="U28" i="176"/>
  <c r="R28" i="176"/>
  <c r="P28" i="176"/>
  <c r="O28" i="176"/>
  <c r="M28" i="176"/>
  <c r="L28" i="176"/>
  <c r="J28" i="176"/>
  <c r="I28" i="176"/>
  <c r="H28" i="176"/>
  <c r="G28" i="176"/>
  <c r="F28" i="176"/>
  <c r="E28" i="176"/>
  <c r="D28" i="176"/>
  <c r="C28" i="176"/>
  <c r="B28" i="176"/>
  <c r="A28" i="176"/>
  <c r="AA26" i="176"/>
  <c r="V26" i="176"/>
  <c r="U26" i="176"/>
  <c r="R26" i="176"/>
  <c r="P26" i="176"/>
  <c r="O26" i="176"/>
  <c r="M26" i="176"/>
  <c r="L26" i="176"/>
  <c r="J26" i="176"/>
  <c r="I26" i="176"/>
  <c r="H26" i="176"/>
  <c r="G26" i="176"/>
  <c r="F26" i="176"/>
  <c r="E26" i="176"/>
  <c r="D26" i="176"/>
  <c r="C26" i="176"/>
  <c r="B26" i="176"/>
  <c r="A26" i="176"/>
  <c r="AA25" i="176"/>
  <c r="V25" i="176"/>
  <c r="U25" i="176"/>
  <c r="R25" i="176"/>
  <c r="P25" i="176"/>
  <c r="O25" i="176"/>
  <c r="M25" i="176"/>
  <c r="L25" i="176"/>
  <c r="J25" i="176"/>
  <c r="I25" i="176"/>
  <c r="H25" i="176"/>
  <c r="G25" i="176"/>
  <c r="F25" i="176"/>
  <c r="E25" i="176"/>
  <c r="D25" i="176"/>
  <c r="C25" i="176"/>
  <c r="B25" i="176"/>
  <c r="A25" i="176"/>
  <c r="AA24" i="176"/>
  <c r="V24" i="176"/>
  <c r="U24" i="176"/>
  <c r="R24" i="176"/>
  <c r="P24" i="176"/>
  <c r="O24" i="176"/>
  <c r="M24" i="176"/>
  <c r="L24" i="176"/>
  <c r="J24" i="176"/>
  <c r="I24" i="176"/>
  <c r="H24" i="176"/>
  <c r="G24" i="176"/>
  <c r="F24" i="176"/>
  <c r="E24" i="176"/>
  <c r="D24" i="176"/>
  <c r="C24" i="176"/>
  <c r="B24" i="176"/>
  <c r="A24" i="176"/>
  <c r="V23" i="176"/>
  <c r="R23" i="176"/>
  <c r="O23" i="176"/>
  <c r="M23" i="176"/>
  <c r="L23" i="176"/>
  <c r="K23" i="176"/>
  <c r="J23" i="176"/>
  <c r="I23" i="176"/>
  <c r="H23" i="176"/>
  <c r="G23" i="176"/>
  <c r="F23" i="176"/>
  <c r="E23" i="176"/>
  <c r="D23" i="176"/>
  <c r="C23" i="176"/>
  <c r="B23" i="176"/>
  <c r="Z22" i="176"/>
  <c r="V22" i="176"/>
  <c r="U22" i="176"/>
  <c r="S22" i="176"/>
  <c r="R22" i="176"/>
  <c r="P22" i="176"/>
  <c r="O22" i="176"/>
  <c r="N22" i="176"/>
  <c r="M22" i="176"/>
  <c r="L22" i="176"/>
  <c r="K22" i="176"/>
  <c r="J22" i="176"/>
  <c r="I22" i="176"/>
  <c r="H22" i="176"/>
  <c r="G22" i="176"/>
  <c r="F22" i="176"/>
  <c r="E22" i="176"/>
  <c r="D22" i="176"/>
  <c r="C22" i="176"/>
  <c r="B22" i="176"/>
  <c r="A22" i="176"/>
  <c r="Z21" i="176"/>
  <c r="V21" i="176"/>
  <c r="U21" i="176"/>
  <c r="S21" i="176"/>
  <c r="R21" i="176"/>
  <c r="P21" i="176"/>
  <c r="O21" i="176"/>
  <c r="N21" i="176"/>
  <c r="M21" i="176"/>
  <c r="L21" i="176"/>
  <c r="K21" i="176"/>
  <c r="J21" i="176"/>
  <c r="I21" i="176"/>
  <c r="H21" i="176"/>
  <c r="G21" i="176"/>
  <c r="F21" i="176"/>
  <c r="E21" i="176"/>
  <c r="D21" i="176"/>
  <c r="C21" i="176"/>
  <c r="B21" i="176"/>
  <c r="A21" i="176"/>
  <c r="AA20" i="176"/>
  <c r="V20" i="176"/>
  <c r="U20" i="176"/>
  <c r="S20" i="176"/>
  <c r="R20" i="176"/>
  <c r="P20" i="176"/>
  <c r="O20" i="176"/>
  <c r="M20" i="176"/>
  <c r="L20" i="176"/>
  <c r="J20" i="176"/>
  <c r="I20" i="176"/>
  <c r="H20" i="176"/>
  <c r="G20" i="176"/>
  <c r="F20" i="176"/>
  <c r="E20" i="176"/>
  <c r="D20" i="176"/>
  <c r="C20" i="176"/>
  <c r="B20" i="176"/>
  <c r="A20" i="176"/>
  <c r="AA19" i="176"/>
  <c r="Z19" i="176"/>
  <c r="V19" i="176"/>
  <c r="S19" i="176"/>
  <c r="R19" i="176"/>
  <c r="P19" i="176"/>
  <c r="O19" i="176"/>
  <c r="M19" i="176"/>
  <c r="L19" i="176"/>
  <c r="J19" i="176"/>
  <c r="I19" i="176"/>
  <c r="H19" i="176"/>
  <c r="G19" i="176"/>
  <c r="F19" i="176"/>
  <c r="E19" i="176"/>
  <c r="D19" i="176"/>
  <c r="C19" i="176"/>
  <c r="B19" i="176"/>
  <c r="A19" i="176"/>
  <c r="AA18" i="176"/>
  <c r="Z18" i="176"/>
  <c r="V18" i="176"/>
  <c r="U18" i="176"/>
  <c r="S18" i="176"/>
  <c r="R18" i="176"/>
  <c r="P18" i="176"/>
  <c r="O18" i="176"/>
  <c r="M18" i="176"/>
  <c r="L18" i="176"/>
  <c r="J18" i="176"/>
  <c r="I18" i="176"/>
  <c r="H18" i="176"/>
  <c r="G18" i="176"/>
  <c r="F18" i="176"/>
  <c r="E18" i="176"/>
  <c r="D18" i="176"/>
  <c r="C18" i="176"/>
  <c r="B18" i="176"/>
  <c r="A18" i="176"/>
  <c r="AA17" i="176"/>
  <c r="Z17" i="176"/>
  <c r="V17" i="176"/>
  <c r="U17" i="176"/>
  <c r="S17" i="176"/>
  <c r="R17" i="176"/>
  <c r="P17" i="176"/>
  <c r="O17" i="176"/>
  <c r="M17" i="176"/>
  <c r="L17" i="176"/>
  <c r="J17" i="176"/>
  <c r="I17" i="176"/>
  <c r="H17" i="176"/>
  <c r="G17" i="176"/>
  <c r="F17" i="176"/>
  <c r="E17" i="176"/>
  <c r="D17" i="176"/>
  <c r="C17" i="176"/>
  <c r="B17" i="176"/>
  <c r="A17" i="176"/>
  <c r="AA16" i="176"/>
  <c r="V16" i="176"/>
  <c r="U16" i="176"/>
  <c r="S16" i="176"/>
  <c r="R16" i="176"/>
  <c r="P16" i="176"/>
  <c r="O16" i="176"/>
  <c r="M16" i="176"/>
  <c r="L16" i="176"/>
  <c r="J16" i="176"/>
  <c r="I16" i="176"/>
  <c r="H16" i="176"/>
  <c r="G16" i="176"/>
  <c r="F16" i="176"/>
  <c r="E16" i="176"/>
  <c r="D16" i="176"/>
  <c r="C16" i="176"/>
  <c r="B16" i="176"/>
  <c r="A16" i="176"/>
  <c r="AA14" i="176"/>
  <c r="V14" i="176"/>
  <c r="U14" i="176"/>
  <c r="R14" i="176"/>
  <c r="P14" i="176"/>
  <c r="O14" i="176"/>
  <c r="M14" i="176"/>
  <c r="L14" i="176"/>
  <c r="J14" i="176"/>
  <c r="I14" i="176"/>
  <c r="H14" i="176"/>
  <c r="G14" i="176"/>
  <c r="F14" i="176"/>
  <c r="E14" i="176"/>
  <c r="D14" i="176"/>
  <c r="C14" i="176"/>
  <c r="B14" i="176"/>
  <c r="A14" i="176"/>
  <c r="AA12" i="176"/>
  <c r="Z12" i="176"/>
  <c r="Y12" i="176"/>
  <c r="V12" i="176"/>
  <c r="U12" i="176"/>
  <c r="R12" i="176"/>
  <c r="Q12" i="176"/>
  <c r="P12" i="176"/>
  <c r="O12" i="176"/>
  <c r="M12" i="176"/>
  <c r="L12" i="176"/>
  <c r="J12" i="176"/>
  <c r="I12" i="176"/>
  <c r="H12" i="176"/>
  <c r="G12" i="176"/>
  <c r="F12" i="176"/>
  <c r="E12" i="176"/>
  <c r="D12" i="176"/>
  <c r="C12" i="176"/>
  <c r="B12" i="176"/>
  <c r="A12" i="176"/>
  <c r="AA10" i="176"/>
  <c r="Z10" i="176"/>
  <c r="Y10" i="176"/>
  <c r="V10" i="176"/>
  <c r="U10" i="176"/>
  <c r="R10" i="176"/>
  <c r="Q10" i="176"/>
  <c r="P10" i="176"/>
  <c r="O10" i="176"/>
  <c r="M10" i="176"/>
  <c r="L10" i="176"/>
  <c r="J10" i="176"/>
  <c r="I10" i="176"/>
  <c r="H10" i="176"/>
  <c r="G10" i="176"/>
  <c r="F10" i="176"/>
  <c r="E10" i="176"/>
  <c r="D10" i="176"/>
  <c r="C10" i="176"/>
  <c r="B10" i="176"/>
  <c r="A10" i="176"/>
  <c r="AA9" i="176"/>
  <c r="Z9" i="176"/>
  <c r="Y9" i="176"/>
  <c r="V9" i="176"/>
  <c r="U9" i="176"/>
  <c r="R9" i="176"/>
  <c r="Q9" i="176"/>
  <c r="P9" i="176"/>
  <c r="O9" i="176"/>
  <c r="M9" i="176"/>
  <c r="L9" i="176"/>
  <c r="J9" i="176"/>
  <c r="I9" i="176"/>
  <c r="H9" i="176"/>
  <c r="G9" i="176"/>
  <c r="F9" i="176"/>
  <c r="E9" i="176"/>
  <c r="D9" i="176"/>
  <c r="C9" i="176"/>
  <c r="B9" i="176"/>
  <c r="A9" i="176"/>
  <c r="AA8" i="176"/>
  <c r="Z8" i="176"/>
  <c r="Y8" i="176"/>
  <c r="V8" i="176"/>
  <c r="U8" i="176"/>
  <c r="R8" i="176"/>
  <c r="Q8" i="176"/>
  <c r="P8" i="176"/>
  <c r="O8" i="176"/>
  <c r="M8" i="176"/>
  <c r="L8" i="176"/>
  <c r="J8" i="176"/>
  <c r="I8" i="176"/>
  <c r="H8" i="176"/>
  <c r="G8" i="176"/>
  <c r="F8" i="176"/>
  <c r="E8" i="176"/>
  <c r="D8" i="176"/>
  <c r="C8" i="176"/>
  <c r="B8" i="176"/>
  <c r="A8" i="176"/>
  <c r="AA7" i="176"/>
  <c r="Y7" i="176"/>
  <c r="V7" i="176"/>
  <c r="R7" i="176"/>
  <c r="Q7" i="176"/>
  <c r="P7" i="176"/>
  <c r="O7" i="176"/>
  <c r="M7" i="176"/>
  <c r="L7" i="176"/>
  <c r="K7" i="176"/>
  <c r="J7" i="176"/>
  <c r="I7" i="176"/>
  <c r="H7" i="176"/>
  <c r="G7" i="176"/>
  <c r="F7" i="176"/>
  <c r="E7" i="176"/>
  <c r="D7" i="176"/>
  <c r="C7" i="176"/>
  <c r="B7" i="176"/>
  <c r="AA6" i="176"/>
  <c r="Z6" i="176"/>
  <c r="Y6" i="176"/>
  <c r="V6" i="176"/>
  <c r="U6" i="176"/>
  <c r="R6" i="176"/>
  <c r="Q6" i="176"/>
  <c r="P6" i="176"/>
  <c r="O6" i="176"/>
  <c r="M6" i="176"/>
  <c r="L6" i="176"/>
  <c r="J6" i="176"/>
  <c r="I6" i="176"/>
  <c r="H6" i="176"/>
  <c r="G6" i="176"/>
  <c r="F6" i="176"/>
  <c r="E6" i="176"/>
  <c r="D6" i="176"/>
  <c r="C6" i="176"/>
  <c r="B6" i="176"/>
  <c r="A6" i="176"/>
  <c r="AA5" i="176"/>
  <c r="Z5" i="176"/>
  <c r="Y5" i="176"/>
  <c r="V5" i="176"/>
  <c r="U5" i="176"/>
  <c r="R5" i="176"/>
  <c r="Q5" i="176"/>
  <c r="P5" i="176"/>
  <c r="O5" i="176"/>
  <c r="M5" i="176"/>
  <c r="L5" i="176"/>
  <c r="J5" i="176"/>
  <c r="I5" i="176"/>
  <c r="H5" i="176"/>
  <c r="G5" i="176"/>
  <c r="F5" i="176"/>
  <c r="E5" i="176"/>
  <c r="D5" i="176"/>
  <c r="C5" i="176"/>
  <c r="B5" i="176"/>
  <c r="A5" i="176"/>
  <c r="AA4" i="176"/>
  <c r="Z4" i="176"/>
  <c r="Y4" i="176"/>
  <c r="V4" i="176"/>
  <c r="U4" i="176"/>
  <c r="R4" i="176"/>
  <c r="Q4" i="176"/>
  <c r="P4" i="176"/>
  <c r="O4" i="176"/>
  <c r="M4" i="176"/>
  <c r="L4" i="176"/>
  <c r="J4" i="176"/>
  <c r="I4" i="176"/>
  <c r="H4" i="176"/>
  <c r="G4" i="176"/>
  <c r="F4" i="176"/>
  <c r="E4" i="176"/>
  <c r="D4" i="176"/>
  <c r="C4" i="176"/>
  <c r="B4" i="176"/>
  <c r="A4" i="176"/>
  <c r="AA3" i="176"/>
  <c r="Z3" i="176"/>
  <c r="Y3" i="176"/>
  <c r="V3" i="176"/>
  <c r="U3" i="176"/>
  <c r="R3" i="176"/>
  <c r="Q3" i="176"/>
  <c r="P3" i="176"/>
  <c r="O3" i="176"/>
  <c r="M3" i="176"/>
  <c r="L3" i="176"/>
  <c r="J3" i="176"/>
  <c r="I3" i="176"/>
  <c r="H3" i="176"/>
  <c r="G3" i="176"/>
  <c r="F3" i="176"/>
  <c r="E3" i="176"/>
  <c r="D3" i="176"/>
  <c r="C3" i="176"/>
  <c r="B3" i="176"/>
  <c r="A3" i="176"/>
  <c r="AA2" i="176"/>
  <c r="Z2" i="176"/>
  <c r="Y2" i="176"/>
  <c r="V2" i="176"/>
  <c r="U2" i="176"/>
  <c r="R2" i="176"/>
  <c r="Q2" i="176"/>
  <c r="P2" i="176"/>
  <c r="O2" i="176"/>
  <c r="M2" i="176"/>
  <c r="L2" i="176"/>
  <c r="J2" i="176"/>
  <c r="I2" i="176"/>
  <c r="H2" i="176"/>
  <c r="G2" i="176"/>
  <c r="F2" i="176"/>
  <c r="E2" i="176"/>
  <c r="D2" i="176"/>
  <c r="C2" i="176"/>
  <c r="B2" i="176"/>
  <c r="A2" i="176"/>
  <c r="AA1" i="176"/>
  <c r="Z1" i="176"/>
  <c r="Y1" i="176"/>
  <c r="X1" i="176"/>
  <c r="W1" i="176"/>
  <c r="V1" i="176"/>
  <c r="U1" i="176"/>
  <c r="T1" i="176"/>
  <c r="S1" i="176"/>
  <c r="R1" i="176"/>
  <c r="Q1" i="176"/>
  <c r="P1" i="176"/>
  <c r="O1" i="176"/>
  <c r="N1" i="176"/>
  <c r="M1" i="176"/>
  <c r="L1" i="176"/>
  <c r="K1" i="176"/>
  <c r="J1" i="176"/>
  <c r="I1" i="176"/>
  <c r="H1" i="176"/>
  <c r="G1" i="176"/>
  <c r="F1" i="176"/>
  <c r="E1" i="176"/>
  <c r="D1" i="176"/>
  <c r="C1" i="176"/>
  <c r="B1" i="176"/>
  <c r="A1" i="176"/>
  <c r="L197" i="174"/>
  <c r="Y196" i="174"/>
  <c r="W280" i="176" s="1"/>
  <c r="N279" i="176"/>
  <c r="K279" i="176"/>
  <c r="O195" i="174"/>
  <c r="N278" i="176" s="1"/>
  <c r="L195" i="174"/>
  <c r="K278" i="176" s="1"/>
  <c r="O194" i="174"/>
  <c r="N277" i="176" s="1"/>
  <c r="L194" i="174"/>
  <c r="K277" i="176" s="1"/>
  <c r="B193" i="174"/>
  <c r="A276" i="176" s="1"/>
  <c r="AB192" i="174"/>
  <c r="Z275" i="176" s="1"/>
  <c r="L192" i="174"/>
  <c r="K275" i="176" s="1"/>
  <c r="U190" i="174"/>
  <c r="T273" i="176" s="1"/>
  <c r="L190" i="174"/>
  <c r="K273" i="176" s="1"/>
  <c r="L189" i="174"/>
  <c r="K271" i="176" s="1"/>
  <c r="U188" i="174"/>
  <c r="L188" i="174"/>
  <c r="K269" i="176" s="1"/>
  <c r="K268" i="176"/>
  <c r="A268" i="176"/>
  <c r="K267" i="176"/>
  <c r="A267" i="176"/>
  <c r="U186" i="174"/>
  <c r="T265" i="176" s="1"/>
  <c r="L186" i="174"/>
  <c r="K265" i="176" s="1"/>
  <c r="L185" i="174"/>
  <c r="K263" i="176" s="1"/>
  <c r="U184" i="174"/>
  <c r="L184" i="174"/>
  <c r="K261" i="176" s="1"/>
  <c r="K260" i="176"/>
  <c r="A260" i="176"/>
  <c r="K259" i="176"/>
  <c r="A259" i="176"/>
  <c r="U182" i="174"/>
  <c r="L182" i="174"/>
  <c r="K257" i="176" s="1"/>
  <c r="L181" i="174"/>
  <c r="K255" i="176" s="1"/>
  <c r="U180" i="174"/>
  <c r="L180" i="174"/>
  <c r="K251" i="176"/>
  <c r="A251" i="176"/>
  <c r="K250" i="176"/>
  <c r="A250" i="176"/>
  <c r="U178" i="174"/>
  <c r="L178" i="174"/>
  <c r="K248" i="176" s="1"/>
  <c r="L177" i="174"/>
  <c r="K246" i="176" s="1"/>
  <c r="U176" i="174"/>
  <c r="L176" i="174"/>
  <c r="K244" i="176" s="1"/>
  <c r="K243" i="176"/>
  <c r="A243" i="176"/>
  <c r="K242" i="176"/>
  <c r="A242" i="176"/>
  <c r="B175" i="174"/>
  <c r="A241" i="176" s="1"/>
  <c r="U174" i="174"/>
  <c r="T240" i="176" s="1"/>
  <c r="L174" i="174"/>
  <c r="K240" i="176" s="1"/>
  <c r="U173" i="174"/>
  <c r="T239" i="176" s="1"/>
  <c r="L173" i="174"/>
  <c r="K239" i="176" s="1"/>
  <c r="B173" i="174"/>
  <c r="A239" i="176" s="1"/>
  <c r="AB172" i="174"/>
  <c r="L172" i="174"/>
  <c r="K238" i="176" s="1"/>
  <c r="U170" i="174"/>
  <c r="L170" i="174"/>
  <c r="K236" i="176" s="1"/>
  <c r="T234" i="176"/>
  <c r="L169" i="174"/>
  <c r="K234" i="176" s="1"/>
  <c r="U168" i="174"/>
  <c r="L168" i="174"/>
  <c r="K232" i="176" s="1"/>
  <c r="Z231" i="176"/>
  <c r="K231" i="176"/>
  <c r="A231" i="176"/>
  <c r="Z230" i="176"/>
  <c r="K230" i="176"/>
  <c r="A230" i="176"/>
  <c r="B167" i="174"/>
  <c r="A229" i="176" s="1"/>
  <c r="U166" i="174"/>
  <c r="T228" i="176" s="1"/>
  <c r="L166" i="174"/>
  <c r="K228" i="176" s="1"/>
  <c r="U165" i="174"/>
  <c r="T227" i="176" s="1"/>
  <c r="L165" i="174"/>
  <c r="K227" i="176" s="1"/>
  <c r="B165" i="174"/>
  <c r="A227" i="176" s="1"/>
  <c r="AB164" i="174"/>
  <c r="L164" i="174"/>
  <c r="K226" i="176" s="1"/>
  <c r="U162" i="174"/>
  <c r="L162" i="174"/>
  <c r="K224" i="176" s="1"/>
  <c r="T222" i="176"/>
  <c r="L161" i="174"/>
  <c r="K222" i="176" s="1"/>
  <c r="U160" i="174"/>
  <c r="T220" i="176" s="1"/>
  <c r="L160" i="174"/>
  <c r="K220" i="176" s="1"/>
  <c r="Z219" i="176"/>
  <c r="K219" i="176"/>
  <c r="A219" i="176"/>
  <c r="Z218" i="176"/>
  <c r="K218" i="176"/>
  <c r="A218" i="176"/>
  <c r="B159" i="174"/>
  <c r="A217" i="176" s="1"/>
  <c r="U158" i="174"/>
  <c r="T216" i="176" s="1"/>
  <c r="L158" i="174"/>
  <c r="K216" i="176" s="1"/>
  <c r="U157" i="174"/>
  <c r="T215" i="176" s="1"/>
  <c r="L157" i="174"/>
  <c r="K215" i="176" s="1"/>
  <c r="B157" i="174"/>
  <c r="A215" i="176" s="1"/>
  <c r="AB156" i="174"/>
  <c r="L156" i="174"/>
  <c r="K214" i="176" s="1"/>
  <c r="U154" i="174"/>
  <c r="L154" i="174"/>
  <c r="K212" i="176" s="1"/>
  <c r="T210" i="176"/>
  <c r="L153" i="174"/>
  <c r="K210" i="176" s="1"/>
  <c r="U152" i="174"/>
  <c r="L152" i="174"/>
  <c r="K208" i="176" s="1"/>
  <c r="Z207" i="176"/>
  <c r="K207" i="176"/>
  <c r="A207" i="176"/>
  <c r="Z206" i="176"/>
  <c r="K206" i="176"/>
  <c r="A206" i="176"/>
  <c r="B151" i="174"/>
  <c r="A205" i="176" s="1"/>
  <c r="U150" i="174"/>
  <c r="T204" i="176" s="1"/>
  <c r="L150" i="174"/>
  <c r="K204" i="176" s="1"/>
  <c r="U149" i="174"/>
  <c r="T203" i="176" s="1"/>
  <c r="L149" i="174"/>
  <c r="K203" i="176" s="1"/>
  <c r="B149" i="174"/>
  <c r="A203" i="176" s="1"/>
  <c r="AB148" i="174"/>
  <c r="L148" i="174"/>
  <c r="K202" i="176" s="1"/>
  <c r="U146" i="174"/>
  <c r="L146" i="174"/>
  <c r="K200" i="176" s="1"/>
  <c r="L145" i="174"/>
  <c r="K198" i="176" s="1"/>
  <c r="U144" i="174"/>
  <c r="T196" i="176" s="1"/>
  <c r="L144" i="174"/>
  <c r="K196" i="176" s="1"/>
  <c r="Z195" i="176"/>
  <c r="K195" i="176"/>
  <c r="A195" i="176"/>
  <c r="Z194" i="176"/>
  <c r="K194" i="176"/>
  <c r="A194" i="176"/>
  <c r="B143" i="174"/>
  <c r="A193" i="176" s="1"/>
  <c r="U142" i="174"/>
  <c r="T192" i="176" s="1"/>
  <c r="L142" i="174"/>
  <c r="K192" i="176" s="1"/>
  <c r="U141" i="174"/>
  <c r="T191" i="176" s="1"/>
  <c r="L141" i="174"/>
  <c r="K191" i="176" s="1"/>
  <c r="B141" i="174"/>
  <c r="A191" i="176" s="1"/>
  <c r="AB140" i="174"/>
  <c r="L140" i="174"/>
  <c r="K190" i="176" s="1"/>
  <c r="U138" i="174"/>
  <c r="L138" i="174"/>
  <c r="K188" i="176" s="1"/>
  <c r="T186" i="176"/>
  <c r="L137" i="174"/>
  <c r="K186" i="176" s="1"/>
  <c r="U136" i="174"/>
  <c r="L136" i="174"/>
  <c r="K184" i="176" s="1"/>
  <c r="Z183" i="176"/>
  <c r="K183" i="176"/>
  <c r="A183" i="176"/>
  <c r="Z182" i="176"/>
  <c r="K182" i="176"/>
  <c r="A182" i="176"/>
  <c r="B135" i="174"/>
  <c r="A181" i="176" s="1"/>
  <c r="U134" i="174"/>
  <c r="T180" i="176" s="1"/>
  <c r="L134" i="174"/>
  <c r="K180" i="176" s="1"/>
  <c r="U133" i="174"/>
  <c r="L133" i="174"/>
  <c r="K179" i="176" s="1"/>
  <c r="B133" i="174"/>
  <c r="A179" i="176" s="1"/>
  <c r="AB132" i="174"/>
  <c r="L132" i="174"/>
  <c r="K178" i="176" s="1"/>
  <c r="U130" i="174"/>
  <c r="L130" i="174"/>
  <c r="K176" i="176" s="1"/>
  <c r="T174" i="176"/>
  <c r="L129" i="174"/>
  <c r="K174" i="176" s="1"/>
  <c r="U128" i="174"/>
  <c r="L128" i="174"/>
  <c r="K172" i="176" s="1"/>
  <c r="Z171" i="176"/>
  <c r="K171" i="176"/>
  <c r="A171" i="176"/>
  <c r="Z170" i="176"/>
  <c r="K170" i="176"/>
  <c r="A170" i="176"/>
  <c r="B127" i="174"/>
  <c r="A169" i="176" s="1"/>
  <c r="U126" i="174"/>
  <c r="T168" i="176" s="1"/>
  <c r="L126" i="174"/>
  <c r="K168" i="176" s="1"/>
  <c r="U125" i="174"/>
  <c r="L125" i="174"/>
  <c r="K167" i="176" s="1"/>
  <c r="B125" i="174"/>
  <c r="A167" i="176" s="1"/>
  <c r="AB124" i="174"/>
  <c r="L124" i="174"/>
  <c r="K166" i="176" s="1"/>
  <c r="U122" i="174"/>
  <c r="L122" i="174"/>
  <c r="K164" i="176" s="1"/>
  <c r="T162" i="176"/>
  <c r="L121" i="174"/>
  <c r="K162" i="176" s="1"/>
  <c r="U120" i="174"/>
  <c r="L120" i="174"/>
  <c r="K160" i="176" s="1"/>
  <c r="K159" i="176"/>
  <c r="A159" i="176"/>
  <c r="K158" i="176"/>
  <c r="A158" i="176"/>
  <c r="B119" i="174"/>
  <c r="A157" i="176" s="1"/>
  <c r="Y118" i="174"/>
  <c r="U118" i="174"/>
  <c r="T156" i="176" s="1"/>
  <c r="R118" i="174"/>
  <c r="Q156" i="176" s="1"/>
  <c r="W155" i="176"/>
  <c r="U116" i="174"/>
  <c r="L116" i="174"/>
  <c r="K154" i="176" s="1"/>
  <c r="K153" i="176"/>
  <c r="U114" i="174"/>
  <c r="L114" i="174"/>
  <c r="K152" i="176" s="1"/>
  <c r="U113" i="174"/>
  <c r="L113" i="174"/>
  <c r="K151" i="176" s="1"/>
  <c r="B113" i="174"/>
  <c r="A151" i="176" s="1"/>
  <c r="AB112" i="174"/>
  <c r="AB119" i="174" s="1"/>
  <c r="L112" i="174"/>
  <c r="K150" i="176" s="1"/>
  <c r="U110" i="174"/>
  <c r="T148" i="176" s="1"/>
  <c r="L110" i="174"/>
  <c r="K148" i="176" s="1"/>
  <c r="T146" i="176"/>
  <c r="L109" i="174"/>
  <c r="K146" i="176" s="1"/>
  <c r="U108" i="174"/>
  <c r="L108" i="174"/>
  <c r="K144" i="176" s="1"/>
  <c r="Z143" i="176"/>
  <c r="K143" i="176"/>
  <c r="A143" i="176"/>
  <c r="Z142" i="176"/>
  <c r="K142" i="176"/>
  <c r="A142" i="176"/>
  <c r="B107" i="174"/>
  <c r="A141" i="176" s="1"/>
  <c r="Y106" i="174"/>
  <c r="U106" i="174"/>
  <c r="T140" i="176" s="1"/>
  <c r="R106" i="174"/>
  <c r="Q140" i="176" s="1"/>
  <c r="W139" i="176"/>
  <c r="T139" i="176"/>
  <c r="Q139" i="176"/>
  <c r="U104" i="174"/>
  <c r="L104" i="174"/>
  <c r="K138" i="176" s="1"/>
  <c r="K137" i="176"/>
  <c r="U102" i="174"/>
  <c r="L102" i="174"/>
  <c r="K136" i="176" s="1"/>
  <c r="U101" i="174"/>
  <c r="L101" i="174"/>
  <c r="K135" i="176" s="1"/>
  <c r="B101" i="174"/>
  <c r="A135" i="176" s="1"/>
  <c r="AB100" i="174"/>
  <c r="L100" i="174"/>
  <c r="K134" i="176" s="1"/>
  <c r="U98" i="174"/>
  <c r="L98" i="174"/>
  <c r="K132" i="176" s="1"/>
  <c r="L97" i="174"/>
  <c r="K130" i="176" s="1"/>
  <c r="U96" i="174"/>
  <c r="L96" i="174"/>
  <c r="K128" i="176" s="1"/>
  <c r="Z127" i="176"/>
  <c r="K127" i="176"/>
  <c r="A127" i="176"/>
  <c r="K126" i="176"/>
  <c r="A126" i="176"/>
  <c r="B95" i="174"/>
  <c r="Y94" i="174"/>
  <c r="U94" i="174"/>
  <c r="R94" i="174"/>
  <c r="Q124" i="176" s="1"/>
  <c r="T123" i="176"/>
  <c r="Q123" i="176"/>
  <c r="U92" i="174"/>
  <c r="T122" i="176" s="1"/>
  <c r="L92" i="174"/>
  <c r="K122" i="176" s="1"/>
  <c r="T121" i="176"/>
  <c r="K121" i="176"/>
  <c r="U90" i="174"/>
  <c r="T120" i="176" s="1"/>
  <c r="L90" i="174"/>
  <c r="K120" i="176" s="1"/>
  <c r="U89" i="174"/>
  <c r="T119" i="176" s="1"/>
  <c r="L89" i="174"/>
  <c r="K119" i="176" s="1"/>
  <c r="B89" i="174"/>
  <c r="A119" i="176" s="1"/>
  <c r="AB88" i="174"/>
  <c r="L88" i="174"/>
  <c r="K118" i="176" s="1"/>
  <c r="U86" i="174"/>
  <c r="L86" i="174"/>
  <c r="K116" i="176" s="1"/>
  <c r="T114" i="176"/>
  <c r="L85" i="174"/>
  <c r="K114" i="176" s="1"/>
  <c r="U84" i="174"/>
  <c r="L84" i="174"/>
  <c r="K112" i="176" s="1"/>
  <c r="Z111" i="176"/>
  <c r="K111" i="176"/>
  <c r="A111" i="176"/>
  <c r="K110" i="176"/>
  <c r="A110" i="176"/>
  <c r="B83" i="174"/>
  <c r="Y82" i="174"/>
  <c r="W108" i="176" s="1"/>
  <c r="U82" i="174"/>
  <c r="T108" i="176" s="1"/>
  <c r="R82" i="174"/>
  <c r="W107" i="176"/>
  <c r="T107" i="176"/>
  <c r="Q107" i="176"/>
  <c r="U80" i="174"/>
  <c r="L80" i="174"/>
  <c r="K106" i="176" s="1"/>
  <c r="K105" i="176"/>
  <c r="U78" i="174"/>
  <c r="L78" i="174"/>
  <c r="K104" i="176" s="1"/>
  <c r="U77" i="174"/>
  <c r="L77" i="174"/>
  <c r="K103" i="176" s="1"/>
  <c r="B77" i="174"/>
  <c r="A103" i="176" s="1"/>
  <c r="AB76" i="174"/>
  <c r="L76" i="174"/>
  <c r="K102" i="176" s="1"/>
  <c r="U74" i="174"/>
  <c r="L74" i="174"/>
  <c r="K100" i="176" s="1"/>
  <c r="T98" i="176"/>
  <c r="L73" i="174"/>
  <c r="K98" i="176" s="1"/>
  <c r="U72" i="174"/>
  <c r="L72" i="174"/>
  <c r="K96" i="176" s="1"/>
  <c r="Z95" i="176"/>
  <c r="K95" i="176"/>
  <c r="A95" i="176"/>
  <c r="Z94" i="176"/>
  <c r="K94" i="176"/>
  <c r="A94" i="176"/>
  <c r="B71" i="174"/>
  <c r="Y70" i="174"/>
  <c r="W92" i="176" s="1"/>
  <c r="U70" i="174"/>
  <c r="T92" i="176" s="1"/>
  <c r="R70" i="174"/>
  <c r="Q92" i="176" s="1"/>
  <c r="W91" i="176"/>
  <c r="Q91" i="176"/>
  <c r="U68" i="174"/>
  <c r="T90" i="176" s="1"/>
  <c r="L68" i="174"/>
  <c r="K90" i="176" s="1"/>
  <c r="T89" i="176"/>
  <c r="K89" i="176"/>
  <c r="U66" i="174"/>
  <c r="T88" i="176" s="1"/>
  <c r="L66" i="174"/>
  <c r="K88" i="176" s="1"/>
  <c r="U65" i="174"/>
  <c r="T87" i="176" s="1"/>
  <c r="L65" i="174"/>
  <c r="K87" i="176" s="1"/>
  <c r="B65" i="174"/>
  <c r="AB64" i="174"/>
  <c r="L64" i="174"/>
  <c r="K86" i="176" s="1"/>
  <c r="U62" i="174"/>
  <c r="L62" i="174"/>
  <c r="K84" i="176" s="1"/>
  <c r="T82" i="176"/>
  <c r="L61" i="174"/>
  <c r="K82" i="176" s="1"/>
  <c r="U60" i="174"/>
  <c r="L60" i="174"/>
  <c r="K80" i="176" s="1"/>
  <c r="Z79" i="176"/>
  <c r="K79" i="176"/>
  <c r="A79" i="176"/>
  <c r="K78" i="176"/>
  <c r="A78" i="176"/>
  <c r="B59" i="174"/>
  <c r="Y58" i="174"/>
  <c r="W76" i="176" s="1"/>
  <c r="U58" i="174"/>
  <c r="R58" i="174"/>
  <c r="T75" i="176"/>
  <c r="Q75" i="176"/>
  <c r="U56" i="174"/>
  <c r="L56" i="174"/>
  <c r="K74" i="176" s="1"/>
  <c r="K73" i="176"/>
  <c r="U54" i="174"/>
  <c r="T72" i="176" s="1"/>
  <c r="L54" i="174"/>
  <c r="K72" i="176" s="1"/>
  <c r="U53" i="174"/>
  <c r="T71" i="176" s="1"/>
  <c r="L53" i="174"/>
  <c r="K71" i="176" s="1"/>
  <c r="AB52" i="174"/>
  <c r="Z70" i="176" s="1"/>
  <c r="L52" i="174"/>
  <c r="K70" i="176" s="1"/>
  <c r="U50" i="174"/>
  <c r="L50" i="174"/>
  <c r="K68" i="176" s="1"/>
  <c r="T66" i="176"/>
  <c r="L49" i="174"/>
  <c r="K66" i="176" s="1"/>
  <c r="U48" i="174"/>
  <c r="T64" i="176" s="1"/>
  <c r="L48" i="174"/>
  <c r="K64" i="176" s="1"/>
  <c r="K63" i="176"/>
  <c r="T62" i="176"/>
  <c r="K62" i="176"/>
  <c r="B47" i="174"/>
  <c r="AB46" i="174"/>
  <c r="Z46" i="174"/>
  <c r="X60" i="176" s="1"/>
  <c r="L46" i="174"/>
  <c r="K60" i="176" s="1"/>
  <c r="U45" i="174"/>
  <c r="T59" i="176" s="1"/>
  <c r="L45" i="174"/>
  <c r="K59" i="176" s="1"/>
  <c r="U44" i="174"/>
  <c r="L44" i="174"/>
  <c r="K58" i="176" s="1"/>
  <c r="L43" i="174"/>
  <c r="K57" i="176" s="1"/>
  <c r="K55" i="176"/>
  <c r="K53" i="176"/>
  <c r="Z52" i="176"/>
  <c r="K52" i="176"/>
  <c r="Z51" i="176"/>
  <c r="K51" i="176"/>
  <c r="B39" i="174"/>
  <c r="Y38" i="174"/>
  <c r="W49" i="176" s="1"/>
  <c r="U38" i="174"/>
  <c r="R38" i="174"/>
  <c r="Q49" i="176" s="1"/>
  <c r="Q48" i="176"/>
  <c r="U36" i="174"/>
  <c r="T47" i="176" s="1"/>
  <c r="L36" i="174"/>
  <c r="K47" i="176" s="1"/>
  <c r="K46" i="176"/>
  <c r="U34" i="174"/>
  <c r="T45" i="176" s="1"/>
  <c r="L34" i="174"/>
  <c r="K45" i="176" s="1"/>
  <c r="U33" i="174"/>
  <c r="L33" i="174"/>
  <c r="K44" i="176" s="1"/>
  <c r="AB32" i="174"/>
  <c r="Z43" i="176" s="1"/>
  <c r="L32" i="174"/>
  <c r="K43" i="176" s="1"/>
  <c r="U30" i="174"/>
  <c r="L30" i="174"/>
  <c r="K41" i="176" s="1"/>
  <c r="T39" i="176"/>
  <c r="L29" i="174"/>
  <c r="K39" i="176" s="1"/>
  <c r="U28" i="174"/>
  <c r="T37" i="176" s="1"/>
  <c r="L28" i="174"/>
  <c r="K37" i="176" s="1"/>
  <c r="Z36" i="176"/>
  <c r="K36" i="176"/>
  <c r="K35" i="176"/>
  <c r="B27" i="174"/>
  <c r="AB26" i="174"/>
  <c r="L26" i="174"/>
  <c r="K33" i="176" s="1"/>
  <c r="AB25" i="174"/>
  <c r="Z32" i="176" s="1"/>
  <c r="L25" i="174"/>
  <c r="K32" i="176" s="1"/>
  <c r="AB24" i="174"/>
  <c r="L24" i="174"/>
  <c r="K31" i="176" s="1"/>
  <c r="L23" i="174"/>
  <c r="K30" i="176" s="1"/>
  <c r="Z28" i="176"/>
  <c r="K28" i="176"/>
  <c r="Z26" i="176"/>
  <c r="K26" i="176"/>
  <c r="Z25" i="176"/>
  <c r="K25" i="176"/>
  <c r="Z24" i="176"/>
  <c r="K24" i="176"/>
  <c r="B19" i="174"/>
  <c r="W22" i="176"/>
  <c r="R18" i="174"/>
  <c r="Q22" i="176" s="1"/>
  <c r="W21" i="176"/>
  <c r="Q21" i="176"/>
  <c r="AB16" i="174"/>
  <c r="L16" i="174"/>
  <c r="K20" i="176" s="1"/>
  <c r="L15" i="174"/>
  <c r="K19" i="176" s="1"/>
  <c r="U14" i="174"/>
  <c r="L14" i="174"/>
  <c r="K18" i="176" s="1"/>
  <c r="U13" i="174"/>
  <c r="T17" i="176" s="1"/>
  <c r="L13" i="174"/>
  <c r="K17" i="176" s="1"/>
  <c r="L12" i="174"/>
  <c r="K16" i="176" s="1"/>
  <c r="Z14" i="176"/>
  <c r="L10" i="174"/>
  <c r="K14" i="176" s="1"/>
  <c r="T12" i="176"/>
  <c r="L9" i="174"/>
  <c r="K12" i="176" s="1"/>
  <c r="U8" i="174"/>
  <c r="T10" i="176" s="1"/>
  <c r="L8" i="174"/>
  <c r="K10" i="176" s="1"/>
  <c r="T9" i="176"/>
  <c r="K9" i="176"/>
  <c r="K8" i="176"/>
  <c r="Z7" i="176"/>
  <c r="A7" i="176"/>
  <c r="K6" i="176"/>
  <c r="T5" i="176"/>
  <c r="K5" i="176"/>
  <c r="K4" i="176"/>
  <c r="N3" i="176"/>
  <c r="AF3" i="176" s="1"/>
  <c r="K3" i="176"/>
  <c r="T2" i="176"/>
  <c r="K2" i="176"/>
  <c r="Z22" i="174" l="1"/>
  <c r="X29" i="176" s="1"/>
  <c r="AA22" i="174"/>
  <c r="Y29" i="176" s="1"/>
  <c r="Z60" i="176"/>
  <c r="AC46" i="174"/>
  <c r="AB47" i="174"/>
  <c r="Z33" i="176"/>
  <c r="U26" i="174"/>
  <c r="O26" i="174" s="1"/>
  <c r="Z31" i="176"/>
  <c r="AB27" i="174"/>
  <c r="AE190" i="174"/>
  <c r="Z86" i="176"/>
  <c r="AB71" i="174"/>
  <c r="Z93" i="176" s="1"/>
  <c r="Z134" i="176"/>
  <c r="AB107" i="174"/>
  <c r="Z141" i="176" s="1"/>
  <c r="T232" i="176"/>
  <c r="AB135" i="174"/>
  <c r="Z181" i="176" s="1"/>
  <c r="Z214" i="176"/>
  <c r="AB159" i="174"/>
  <c r="Z217" i="176" s="1"/>
  <c r="Z102" i="176"/>
  <c r="AB83" i="174"/>
  <c r="Z109" i="176" s="1"/>
  <c r="AE186" i="174"/>
  <c r="T128" i="176"/>
  <c r="Z166" i="176"/>
  <c r="AB127" i="174"/>
  <c r="Z169" i="176" s="1"/>
  <c r="Z202" i="176"/>
  <c r="AB151" i="174"/>
  <c r="Z205" i="176" s="1"/>
  <c r="Z238" i="176"/>
  <c r="AB175" i="174"/>
  <c r="Z241" i="176" s="1"/>
  <c r="AE182" i="174"/>
  <c r="T208" i="176"/>
  <c r="AE178" i="174"/>
  <c r="T80" i="176"/>
  <c r="U88" i="174"/>
  <c r="T118" i="176" s="1"/>
  <c r="AB95" i="174"/>
  <c r="T96" i="176"/>
  <c r="Z190" i="176"/>
  <c r="AB143" i="174"/>
  <c r="Z193" i="176" s="1"/>
  <c r="Z226" i="176"/>
  <c r="AB167" i="174"/>
  <c r="Z229" i="176" s="1"/>
  <c r="T198" i="176"/>
  <c r="T19" i="176"/>
  <c r="T271" i="176"/>
  <c r="T263" i="176"/>
  <c r="T255" i="176"/>
  <c r="T246" i="176"/>
  <c r="AF48" i="176"/>
  <c r="AF123" i="176"/>
  <c r="AF21" i="176"/>
  <c r="AD92" i="176"/>
  <c r="AF75" i="176"/>
  <c r="AF107" i="176"/>
  <c r="AF91" i="176"/>
  <c r="AD156" i="176"/>
  <c r="AD140" i="176"/>
  <c r="AF155" i="176"/>
  <c r="AD124" i="176"/>
  <c r="AF139" i="176"/>
  <c r="AD108" i="176"/>
  <c r="AD76" i="176"/>
  <c r="AD49" i="176"/>
  <c r="AD22" i="176"/>
  <c r="T155" i="176"/>
  <c r="A93" i="176"/>
  <c r="B49" i="173"/>
  <c r="B71" i="173" s="1"/>
  <c r="A125" i="176"/>
  <c r="B51" i="173"/>
  <c r="B73" i="173" s="1"/>
  <c r="A61" i="176"/>
  <c r="B47" i="173"/>
  <c r="B69" i="173" s="1"/>
  <c r="A23" i="176"/>
  <c r="B44" i="173"/>
  <c r="B66" i="173" s="1"/>
  <c r="A50" i="176"/>
  <c r="B46" i="173"/>
  <c r="B68" i="173" s="1"/>
  <c r="A34" i="176"/>
  <c r="B45" i="173"/>
  <c r="B67" i="173" s="1"/>
  <c r="A77" i="176"/>
  <c r="B48" i="173"/>
  <c r="B70" i="173" s="1"/>
  <c r="A109" i="176"/>
  <c r="B50" i="173"/>
  <c r="B72" i="173" s="1"/>
  <c r="U197" i="174"/>
  <c r="AJ281" i="176"/>
  <c r="AG281" i="176"/>
  <c r="AI281" i="176"/>
  <c r="AD281" i="176"/>
  <c r="AH281" i="176"/>
  <c r="AC281" i="176"/>
  <c r="AF281" i="176"/>
  <c r="AE281" i="176"/>
  <c r="O125" i="174"/>
  <c r="R125" i="174" s="1"/>
  <c r="Q167" i="176" s="1"/>
  <c r="Z250" i="176"/>
  <c r="Z242" i="176"/>
  <c r="T252" i="176"/>
  <c r="Z259" i="176"/>
  <c r="Z267" i="176"/>
  <c r="B61" i="173"/>
  <c r="Z11" i="174"/>
  <c r="X15" i="176" s="1"/>
  <c r="AA11" i="174"/>
  <c r="Y15" i="176" s="1"/>
  <c r="B53" i="173"/>
  <c r="B75" i="173" s="1"/>
  <c r="K253" i="176"/>
  <c r="K252" i="176"/>
  <c r="Z243" i="176"/>
  <c r="Z251" i="176"/>
  <c r="Z260" i="176"/>
  <c r="Z268" i="176"/>
  <c r="T244" i="176"/>
  <c r="T253" i="176"/>
  <c r="T261" i="176"/>
  <c r="T269" i="176"/>
  <c r="T84" i="176"/>
  <c r="T116" i="176"/>
  <c r="Z110" i="176"/>
  <c r="AI139" i="176"/>
  <c r="AI155" i="176"/>
  <c r="B60" i="173"/>
  <c r="B82" i="173" s="1"/>
  <c r="T74" i="176"/>
  <c r="R194" i="174"/>
  <c r="Q277" i="176" s="1"/>
  <c r="AE108" i="176"/>
  <c r="O68" i="174"/>
  <c r="N90" i="176" s="1"/>
  <c r="AI90" i="176" s="1"/>
  <c r="AE21" i="176"/>
  <c r="B52" i="173"/>
  <c r="B74" i="173" s="1"/>
  <c r="T267" i="176"/>
  <c r="U192" i="174"/>
  <c r="T275" i="176" s="1"/>
  <c r="U76" i="174"/>
  <c r="T102" i="176" s="1"/>
  <c r="U10" i="174"/>
  <c r="U64" i="174"/>
  <c r="T86" i="176" s="1"/>
  <c r="AI75" i="176"/>
  <c r="N186" i="176"/>
  <c r="N89" i="176"/>
  <c r="T121" i="174"/>
  <c r="S162" i="176" s="1"/>
  <c r="U195" i="174"/>
  <c r="AI123" i="176"/>
  <c r="B57" i="173"/>
  <c r="B79" i="173" s="1"/>
  <c r="B78" i="174"/>
  <c r="A104" i="176" s="1"/>
  <c r="O92" i="174"/>
  <c r="N122" i="176" s="1"/>
  <c r="AI122" i="176" s="1"/>
  <c r="O110" i="174"/>
  <c r="R110" i="174" s="1"/>
  <c r="X21" i="176"/>
  <c r="Z194" i="174"/>
  <c r="X277" i="176" s="1"/>
  <c r="O141" i="174"/>
  <c r="N191" i="176" s="1"/>
  <c r="AJ92" i="176"/>
  <c r="Y75" i="176"/>
  <c r="T73" i="174"/>
  <c r="S98" i="176" s="1"/>
  <c r="O126" i="174"/>
  <c r="Z85" i="174"/>
  <c r="X114" i="176" s="1"/>
  <c r="R195" i="174"/>
  <c r="Q278" i="176" s="1"/>
  <c r="U100" i="174"/>
  <c r="T134" i="176" s="1"/>
  <c r="AC118" i="174"/>
  <c r="O149" i="174"/>
  <c r="N203" i="176" s="1"/>
  <c r="X279" i="176"/>
  <c r="N210" i="176"/>
  <c r="O173" i="174"/>
  <c r="N239" i="176" s="1"/>
  <c r="Y48" i="176"/>
  <c r="B58" i="173"/>
  <c r="B80" i="173" s="1"/>
  <c r="B59" i="173"/>
  <c r="B81" i="173" s="1"/>
  <c r="X139" i="176"/>
  <c r="T142" i="176"/>
  <c r="O186" i="174"/>
  <c r="N265" i="176" s="1"/>
  <c r="AJ108" i="176"/>
  <c r="O158" i="174"/>
  <c r="N216" i="176" s="1"/>
  <c r="U24" i="174"/>
  <c r="T31" i="176" s="1"/>
  <c r="R46" i="174"/>
  <c r="Q60" i="176" s="1"/>
  <c r="O56" i="174"/>
  <c r="R56" i="174" s="1"/>
  <c r="T259" i="176"/>
  <c r="Y107" i="176"/>
  <c r="T143" i="176"/>
  <c r="T218" i="176"/>
  <c r="N39" i="176"/>
  <c r="AB39" i="174"/>
  <c r="Z50" i="176" s="1"/>
  <c r="N62" i="176"/>
  <c r="AC62" i="176" s="1"/>
  <c r="U52" i="174"/>
  <c r="T70" i="176" s="1"/>
  <c r="O89" i="174"/>
  <c r="N119" i="176" s="1"/>
  <c r="O96" i="174"/>
  <c r="N128" i="176" s="1"/>
  <c r="O190" i="174"/>
  <c r="N273" i="176" s="1"/>
  <c r="AI91" i="176"/>
  <c r="O36" i="174"/>
  <c r="N47" i="176" s="1"/>
  <c r="T51" i="176"/>
  <c r="O90" i="174"/>
  <c r="AC106" i="174"/>
  <c r="T207" i="176"/>
  <c r="T219" i="176"/>
  <c r="O165" i="174"/>
  <c r="R165" i="174" s="1"/>
  <c r="Q227" i="176" s="1"/>
  <c r="Z195" i="174"/>
  <c r="X278" i="176" s="1"/>
  <c r="U32" i="174"/>
  <c r="T43" i="176" s="1"/>
  <c r="T52" i="176"/>
  <c r="O48" i="174"/>
  <c r="T48" i="174" s="1"/>
  <c r="S64" i="176" s="1"/>
  <c r="O86" i="174"/>
  <c r="T86" i="174" s="1"/>
  <c r="S116" i="176" s="1"/>
  <c r="T21" i="176"/>
  <c r="Y21" i="176"/>
  <c r="AA38" i="174"/>
  <c r="Y49" i="176" s="1"/>
  <c r="AB59" i="174"/>
  <c r="Z77" i="176" s="1"/>
  <c r="X91" i="176"/>
  <c r="U140" i="174"/>
  <c r="T190" i="176" s="1"/>
  <c r="T206" i="176"/>
  <c r="O180" i="174"/>
  <c r="AI21" i="176"/>
  <c r="AI48" i="176"/>
  <c r="AI92" i="176"/>
  <c r="B54" i="173"/>
  <c r="B76" i="173" s="1"/>
  <c r="T3" i="176"/>
  <c r="Z18" i="174"/>
  <c r="X22" i="176" s="1"/>
  <c r="AE139" i="176"/>
  <c r="AE155" i="176"/>
  <c r="Z38" i="174"/>
  <c r="X49" i="176" s="1"/>
  <c r="Z58" i="174"/>
  <c r="X76" i="176" s="1"/>
  <c r="X155" i="176"/>
  <c r="B55" i="173"/>
  <c r="B77" i="173" s="1"/>
  <c r="Z70" i="174"/>
  <c r="X92" i="176" s="1"/>
  <c r="B114" i="174"/>
  <c r="A152" i="176" s="1"/>
  <c r="Z197" i="174"/>
  <c r="B56" i="173"/>
  <c r="B78" i="173" s="1"/>
  <c r="U25" i="174"/>
  <c r="O45" i="174"/>
  <c r="AC70" i="174"/>
  <c r="X107" i="176"/>
  <c r="AE91" i="176"/>
  <c r="N121" i="176"/>
  <c r="O157" i="174"/>
  <c r="Y157" i="174" s="1"/>
  <c r="AI107" i="176"/>
  <c r="AF156" i="176"/>
  <c r="O8" i="174"/>
  <c r="O13" i="174"/>
  <c r="O60" i="174"/>
  <c r="Y60" i="174" s="1"/>
  <c r="O184" i="174"/>
  <c r="T279" i="176"/>
  <c r="T6" i="176"/>
  <c r="T179" i="176"/>
  <c r="O133" i="174"/>
  <c r="N4" i="176"/>
  <c r="AG4" i="176" s="1"/>
  <c r="T4" i="176"/>
  <c r="T8" i="176"/>
  <c r="T100" i="176"/>
  <c r="S4" i="176"/>
  <c r="T48" i="176"/>
  <c r="W124" i="176"/>
  <c r="Z94" i="174"/>
  <c r="X124" i="176" s="1"/>
  <c r="Q155" i="176"/>
  <c r="Y155" i="176"/>
  <c r="T91" i="176"/>
  <c r="AA94" i="174"/>
  <c r="Y124" i="176" s="1"/>
  <c r="N2" i="176"/>
  <c r="AD2" i="176" s="1"/>
  <c r="S2" i="176"/>
  <c r="N6" i="176"/>
  <c r="AJ6" i="176" s="1"/>
  <c r="S6" i="176"/>
  <c r="A87" i="176"/>
  <c r="B66" i="174"/>
  <c r="Q108" i="176"/>
  <c r="AA82" i="174"/>
  <c r="Y108" i="176" s="1"/>
  <c r="T132" i="176"/>
  <c r="O98" i="174"/>
  <c r="T144" i="176"/>
  <c r="O108" i="174"/>
  <c r="N5" i="176"/>
  <c r="AH5" i="176" s="1"/>
  <c r="S5" i="176"/>
  <c r="T44" i="176"/>
  <c r="O33" i="174"/>
  <c r="T138" i="176"/>
  <c r="O104" i="174"/>
  <c r="T18" i="176"/>
  <c r="O14" i="174"/>
  <c r="Y14" i="174" s="1"/>
  <c r="T41" i="176"/>
  <c r="O30" i="174"/>
  <c r="T68" i="176"/>
  <c r="O50" i="174"/>
  <c r="Z20" i="176"/>
  <c r="U16" i="174"/>
  <c r="T22" i="176"/>
  <c r="AC18" i="174"/>
  <c r="Q76" i="176"/>
  <c r="AA58" i="174"/>
  <c r="Y76" i="176" s="1"/>
  <c r="Z35" i="176"/>
  <c r="Z57" i="176"/>
  <c r="U43" i="174"/>
  <c r="U47" i="174" s="1"/>
  <c r="Z78" i="176"/>
  <c r="O74" i="174"/>
  <c r="T103" i="176"/>
  <c r="O77" i="174"/>
  <c r="T136" i="176"/>
  <c r="O102" i="174"/>
  <c r="Y102" i="174" s="1"/>
  <c r="U124" i="174"/>
  <c r="U127" i="174" s="1"/>
  <c r="T55" i="176"/>
  <c r="N60" i="176"/>
  <c r="T63" i="176"/>
  <c r="T105" i="176"/>
  <c r="Z150" i="176"/>
  <c r="U112" i="174"/>
  <c r="U119" i="174" s="1"/>
  <c r="Z157" i="176"/>
  <c r="T184" i="176"/>
  <c r="O136" i="174"/>
  <c r="T188" i="176"/>
  <c r="O138" i="174"/>
  <c r="T257" i="176"/>
  <c r="O182" i="174"/>
  <c r="S3" i="176"/>
  <c r="T53" i="176"/>
  <c r="W75" i="176"/>
  <c r="X75" i="176"/>
  <c r="T104" i="176"/>
  <c r="O78" i="174"/>
  <c r="Y78" i="174" s="1"/>
  <c r="T124" i="176"/>
  <c r="AC94" i="174"/>
  <c r="Z126" i="176"/>
  <c r="Y139" i="176"/>
  <c r="W156" i="176"/>
  <c r="AA118" i="174"/>
  <c r="Y156" i="176" s="1"/>
  <c r="Z118" i="174"/>
  <c r="X156" i="176" s="1"/>
  <c r="T167" i="176"/>
  <c r="T172" i="176"/>
  <c r="O128" i="174"/>
  <c r="T176" i="176"/>
  <c r="O130" i="174"/>
  <c r="T200" i="176"/>
  <c r="O146" i="174"/>
  <c r="W48" i="176"/>
  <c r="X48" i="176"/>
  <c r="AA70" i="174"/>
  <c r="Y92" i="176" s="1"/>
  <c r="T112" i="176"/>
  <c r="O84" i="174"/>
  <c r="T151" i="176"/>
  <c r="O113" i="174"/>
  <c r="T153" i="176"/>
  <c r="Z159" i="176"/>
  <c r="O142" i="174"/>
  <c r="Y142" i="174" s="1"/>
  <c r="O150" i="174"/>
  <c r="Y150" i="174" s="1"/>
  <c r="T212" i="176"/>
  <c r="O154" i="174"/>
  <c r="O28" i="174"/>
  <c r="T58" i="176"/>
  <c r="O44" i="174"/>
  <c r="O54" i="174"/>
  <c r="Y54" i="174" s="1"/>
  <c r="T73" i="176"/>
  <c r="T76" i="176"/>
  <c r="AC58" i="174"/>
  <c r="O66" i="174"/>
  <c r="Y66" i="174" s="1"/>
  <c r="Y91" i="176"/>
  <c r="W140" i="176"/>
  <c r="AA106" i="174"/>
  <c r="Y140" i="176" s="1"/>
  <c r="Z106" i="174"/>
  <c r="X140" i="176" s="1"/>
  <c r="T160" i="176"/>
  <c r="O120" i="174"/>
  <c r="O134" i="174"/>
  <c r="Y134" i="174" s="1"/>
  <c r="T224" i="176"/>
  <c r="O162" i="174"/>
  <c r="T236" i="176"/>
  <c r="O170" i="174"/>
  <c r="T248" i="176"/>
  <c r="O178" i="174"/>
  <c r="AA197" i="174"/>
  <c r="O53" i="174"/>
  <c r="O62" i="174"/>
  <c r="O65" i="174"/>
  <c r="O72" i="174"/>
  <c r="AC82" i="174"/>
  <c r="W123" i="176"/>
  <c r="Y123" i="176"/>
  <c r="X123" i="176"/>
  <c r="T130" i="176"/>
  <c r="T135" i="176"/>
  <c r="O101" i="174"/>
  <c r="T137" i="176"/>
  <c r="Z158" i="176"/>
  <c r="T164" i="176"/>
  <c r="O122" i="174"/>
  <c r="Z178" i="176"/>
  <c r="U132" i="174"/>
  <c r="U135" i="174" s="1"/>
  <c r="AB12" i="174"/>
  <c r="AB19" i="174" s="1"/>
  <c r="AA18" i="174"/>
  <c r="Y22" i="176" s="1"/>
  <c r="O34" i="174"/>
  <c r="Y34" i="174" s="1"/>
  <c r="T46" i="176"/>
  <c r="T49" i="176"/>
  <c r="AC38" i="174"/>
  <c r="T106" i="176"/>
  <c r="O80" i="174"/>
  <c r="Z118" i="176"/>
  <c r="B90" i="174"/>
  <c r="T152" i="176"/>
  <c r="O114" i="174"/>
  <c r="Y114" i="174" s="1"/>
  <c r="T154" i="176"/>
  <c r="O116" i="174"/>
  <c r="O166" i="174"/>
  <c r="O174" i="174"/>
  <c r="U148" i="174"/>
  <c r="U151" i="174" s="1"/>
  <c r="U156" i="174"/>
  <c r="U159" i="174" s="1"/>
  <c r="U164" i="174"/>
  <c r="U167" i="174" s="1"/>
  <c r="U172" i="174"/>
  <c r="U175" i="174" s="1"/>
  <c r="U194" i="174"/>
  <c r="O196" i="174"/>
  <c r="N280" i="176" s="1"/>
  <c r="O144" i="174"/>
  <c r="O152" i="174"/>
  <c r="O160" i="174"/>
  <c r="O168" i="174"/>
  <c r="O176" i="174"/>
  <c r="AJ22" i="176"/>
  <c r="AI22" i="176"/>
  <c r="AE22" i="176"/>
  <c r="Z82" i="174"/>
  <c r="X108" i="176" s="1"/>
  <c r="B102" i="174"/>
  <c r="AH279" i="176"/>
  <c r="AE279" i="176"/>
  <c r="AD279" i="176"/>
  <c r="AC279" i="176"/>
  <c r="AJ279" i="176"/>
  <c r="AI279" i="176"/>
  <c r="AG279" i="176"/>
  <c r="AF279" i="176"/>
  <c r="AF22" i="176"/>
  <c r="O188" i="174"/>
  <c r="B126" i="174"/>
  <c r="A168" i="176" s="1"/>
  <c r="B134" i="174"/>
  <c r="A180" i="176" s="1"/>
  <c r="B142" i="174"/>
  <c r="A192" i="176" s="1"/>
  <c r="B150" i="174"/>
  <c r="A204" i="176" s="1"/>
  <c r="B158" i="174"/>
  <c r="A216" i="176" s="1"/>
  <c r="B166" i="174"/>
  <c r="A228" i="176" s="1"/>
  <c r="B174" i="174"/>
  <c r="A240" i="176" s="1"/>
  <c r="AC278" i="176"/>
  <c r="AH278" i="176"/>
  <c r="AG278" i="176"/>
  <c r="AF278" i="176"/>
  <c r="AJ278" i="176"/>
  <c r="AI278" i="176"/>
  <c r="AE278" i="176"/>
  <c r="AD278" i="176"/>
  <c r="AF277" i="176"/>
  <c r="AC277" i="176"/>
  <c r="AJ277" i="176"/>
  <c r="AI277" i="176"/>
  <c r="AG277" i="176"/>
  <c r="AE277" i="176"/>
  <c r="AD277" i="176"/>
  <c r="AH277" i="176"/>
  <c r="AE49" i="176"/>
  <c r="AJ49" i="176"/>
  <c r="AI49" i="176"/>
  <c r="AF49" i="176"/>
  <c r="AE76" i="176"/>
  <c r="AJ76" i="176"/>
  <c r="AI76" i="176"/>
  <c r="AJ124" i="176"/>
  <c r="AF76" i="176"/>
  <c r="AE48" i="176"/>
  <c r="AE75" i="176"/>
  <c r="AI124" i="176"/>
  <c r="AE140" i="176"/>
  <c r="AI140" i="176"/>
  <c r="AF140" i="176"/>
  <c r="AJ140" i="176"/>
  <c r="AE107" i="176"/>
  <c r="AE92" i="176"/>
  <c r="AF92" i="176"/>
  <c r="AF108" i="176"/>
  <c r="AI108" i="176"/>
  <c r="AE124" i="176"/>
  <c r="AF124" i="176"/>
  <c r="AE123" i="176"/>
  <c r="AJ156" i="176"/>
  <c r="AI156" i="176"/>
  <c r="AE156" i="176"/>
  <c r="U107" i="174" l="1"/>
  <c r="U83" i="174"/>
  <c r="T109" i="176" s="1"/>
  <c r="N10" i="176"/>
  <c r="AG10" i="176" s="1"/>
  <c r="Y8" i="174"/>
  <c r="N168" i="176"/>
  <c r="AE168" i="176" s="1"/>
  <c r="Y126" i="174"/>
  <c r="W168" i="176" s="1"/>
  <c r="R90" i="174"/>
  <c r="Q120" i="176" s="1"/>
  <c r="Y90" i="174"/>
  <c r="W120" i="176" s="1"/>
  <c r="N59" i="176"/>
  <c r="AD59" i="176" s="1"/>
  <c r="Y45" i="174"/>
  <c r="Z45" i="174" s="1"/>
  <c r="X59" i="176" s="1"/>
  <c r="T278" i="176"/>
  <c r="U196" i="174"/>
  <c r="T280" i="176" s="1"/>
  <c r="O88" i="174"/>
  <c r="R88" i="174" s="1"/>
  <c r="Q118" i="176" s="1"/>
  <c r="U71" i="174"/>
  <c r="T93" i="176" s="1"/>
  <c r="U59" i="174"/>
  <c r="T77" i="176" s="1"/>
  <c r="U39" i="174"/>
  <c r="AC107" i="174"/>
  <c r="U95" i="174"/>
  <c r="T125" i="176" s="1"/>
  <c r="U143" i="174"/>
  <c r="T193" i="176" s="1"/>
  <c r="U19" i="176"/>
  <c r="U193" i="174"/>
  <c r="T157" i="176"/>
  <c r="AA139" i="176"/>
  <c r="AA91" i="176"/>
  <c r="AA156" i="176"/>
  <c r="AA22" i="176"/>
  <c r="AA107" i="176"/>
  <c r="AA123" i="176"/>
  <c r="AA75" i="176"/>
  <c r="AA92" i="176"/>
  <c r="AA49" i="176"/>
  <c r="AA155" i="176"/>
  <c r="AA21" i="176"/>
  <c r="AA140" i="176"/>
  <c r="AA76" i="176"/>
  <c r="AA124" i="176"/>
  <c r="AA48" i="176"/>
  <c r="AA108" i="176"/>
  <c r="Y125" i="174"/>
  <c r="AA125" i="174" s="1"/>
  <c r="Y167" i="176" s="1"/>
  <c r="N167" i="176"/>
  <c r="AC167" i="176" s="1"/>
  <c r="T205" i="176"/>
  <c r="T217" i="176"/>
  <c r="O46" i="173"/>
  <c r="AA194" i="174"/>
  <c r="Y277" i="176" s="1"/>
  <c r="T268" i="176"/>
  <c r="T110" i="174"/>
  <c r="S148" i="176" s="1"/>
  <c r="O192" i="174"/>
  <c r="N275" i="176" s="1"/>
  <c r="T7" i="176"/>
  <c r="AG128" i="176"/>
  <c r="AF128" i="176"/>
  <c r="AE128" i="176"/>
  <c r="AE39" i="176"/>
  <c r="AG39" i="176"/>
  <c r="AF39" i="176"/>
  <c r="AF186" i="176"/>
  <c r="AE186" i="176"/>
  <c r="AG186" i="176"/>
  <c r="Y180" i="174"/>
  <c r="W252" i="176" s="1"/>
  <c r="N252" i="176"/>
  <c r="AF210" i="176"/>
  <c r="AE210" i="176"/>
  <c r="AG210" i="176"/>
  <c r="AG273" i="176"/>
  <c r="AF273" i="176"/>
  <c r="AE273" i="176"/>
  <c r="AF265" i="176"/>
  <c r="AE265" i="176"/>
  <c r="AG265" i="176"/>
  <c r="AF122" i="176"/>
  <c r="AC122" i="176"/>
  <c r="AE122" i="176"/>
  <c r="AH90" i="176"/>
  <c r="AE90" i="176"/>
  <c r="AJ122" i="176"/>
  <c r="AD122" i="176"/>
  <c r="AG122" i="176"/>
  <c r="AH122" i="176"/>
  <c r="R126" i="174"/>
  <c r="Q168" i="176" s="1"/>
  <c r="AD90" i="176"/>
  <c r="T25" i="176"/>
  <c r="R92" i="174"/>
  <c r="Q122" i="176" s="1"/>
  <c r="W39" i="176"/>
  <c r="W98" i="176"/>
  <c r="N206" i="176"/>
  <c r="AF90" i="176"/>
  <c r="AG90" i="176"/>
  <c r="AJ90" i="176"/>
  <c r="AC90" i="176"/>
  <c r="Y149" i="174"/>
  <c r="W203" i="176" s="1"/>
  <c r="R141" i="174"/>
  <c r="Q191" i="176" s="1"/>
  <c r="Q89" i="176"/>
  <c r="Y141" i="174"/>
  <c r="W191" i="176" s="1"/>
  <c r="Z153" i="174"/>
  <c r="X210" i="176" s="1"/>
  <c r="N207" i="176"/>
  <c r="W162" i="176"/>
  <c r="N120" i="176"/>
  <c r="AE120" i="176" s="1"/>
  <c r="N162" i="176"/>
  <c r="Y186" i="174"/>
  <c r="W265" i="176" s="1"/>
  <c r="T95" i="176"/>
  <c r="N74" i="176"/>
  <c r="AJ74" i="176" s="1"/>
  <c r="N148" i="176"/>
  <c r="O52" i="174"/>
  <c r="O59" i="174" s="1"/>
  <c r="C48" i="173" s="1"/>
  <c r="R157" i="174"/>
  <c r="Q215" i="176" s="1"/>
  <c r="R196" i="174"/>
  <c r="Q280" i="176" s="1"/>
  <c r="N114" i="176"/>
  <c r="T85" i="174"/>
  <c r="S114" i="176" s="1"/>
  <c r="O76" i="174"/>
  <c r="R76" i="174" s="1"/>
  <c r="Q102" i="176" s="1"/>
  <c r="N98" i="176"/>
  <c r="S62" i="176"/>
  <c r="B115" i="174"/>
  <c r="A153" i="176" s="1"/>
  <c r="AA195" i="174"/>
  <c r="Y278" i="176" s="1"/>
  <c r="N267" i="176"/>
  <c r="R89" i="174"/>
  <c r="Q119" i="176" s="1"/>
  <c r="Y89" i="174"/>
  <c r="Z89" i="174" s="1"/>
  <c r="X119" i="176" s="1"/>
  <c r="T14" i="176"/>
  <c r="T190" i="174"/>
  <c r="S273" i="176" s="1"/>
  <c r="Y173" i="174"/>
  <c r="W239" i="176" s="1"/>
  <c r="Y110" i="174"/>
  <c r="W148" i="176" s="1"/>
  <c r="O64" i="174"/>
  <c r="N86" i="176" s="1"/>
  <c r="B79" i="174"/>
  <c r="A107" i="176" s="1"/>
  <c r="W114" i="176"/>
  <c r="O10" i="174"/>
  <c r="N14" i="176" s="1"/>
  <c r="O100" i="174"/>
  <c r="R68" i="174"/>
  <c r="N51" i="176"/>
  <c r="R36" i="174"/>
  <c r="Q47" i="176" s="1"/>
  <c r="Q52" i="176"/>
  <c r="T137" i="174"/>
  <c r="S186" i="176" s="1"/>
  <c r="N218" i="176"/>
  <c r="AA46" i="174"/>
  <c r="Y60" i="176" s="1"/>
  <c r="W186" i="176"/>
  <c r="T260" i="176"/>
  <c r="N64" i="176"/>
  <c r="R158" i="174"/>
  <c r="Q216" i="176" s="1"/>
  <c r="R190" i="174"/>
  <c r="Q273" i="176" s="1"/>
  <c r="R149" i="174"/>
  <c r="Q203" i="176" s="1"/>
  <c r="R186" i="174"/>
  <c r="Q265" i="176" s="1"/>
  <c r="AD62" i="176"/>
  <c r="T153" i="174"/>
  <c r="S210" i="176" s="1"/>
  <c r="T186" i="174"/>
  <c r="S265" i="176" s="1"/>
  <c r="T28" i="176"/>
  <c r="O32" i="174"/>
  <c r="Y32" i="174" s="1"/>
  <c r="W62" i="176"/>
  <c r="R86" i="174"/>
  <c r="Q116" i="176" s="1"/>
  <c r="Y86" i="174"/>
  <c r="W116" i="176" s="1"/>
  <c r="N116" i="176"/>
  <c r="O24" i="174"/>
  <c r="Y24" i="174" s="1"/>
  <c r="T33" i="176"/>
  <c r="Y158" i="174"/>
  <c r="Z158" i="174" s="1"/>
  <c r="X216" i="176" s="1"/>
  <c r="T8" i="174"/>
  <c r="S10" i="176" s="1"/>
  <c r="Q121" i="176"/>
  <c r="R173" i="174"/>
  <c r="Q239" i="176" s="1"/>
  <c r="T229" i="176"/>
  <c r="N215" i="176"/>
  <c r="AH215" i="176" s="1"/>
  <c r="Y48" i="174"/>
  <c r="W121" i="176"/>
  <c r="Y165" i="174"/>
  <c r="AA165" i="174" s="1"/>
  <c r="Y227" i="176" s="1"/>
  <c r="N227" i="176"/>
  <c r="AF227" i="176" s="1"/>
  <c r="O140" i="174"/>
  <c r="R140" i="174" s="1"/>
  <c r="Q190" i="176" s="1"/>
  <c r="T96" i="174"/>
  <c r="S128" i="176" s="1"/>
  <c r="Y96" i="174"/>
  <c r="W128" i="176" s="1"/>
  <c r="T241" i="176"/>
  <c r="T36" i="176"/>
  <c r="Q279" i="176"/>
  <c r="Y279" i="176"/>
  <c r="T29" i="174"/>
  <c r="S39" i="176" s="1"/>
  <c r="Y190" i="174"/>
  <c r="N255" i="176"/>
  <c r="T181" i="174"/>
  <c r="S255" i="176" s="1"/>
  <c r="N17" i="176"/>
  <c r="Y13" i="174"/>
  <c r="R13" i="174"/>
  <c r="Q17" i="176" s="1"/>
  <c r="N253" i="176"/>
  <c r="T180" i="174"/>
  <c r="N198" i="176"/>
  <c r="T145" i="174"/>
  <c r="S198" i="176" s="1"/>
  <c r="T26" i="176"/>
  <c r="N246" i="176"/>
  <c r="T177" i="174"/>
  <c r="S246" i="176" s="1"/>
  <c r="N174" i="176"/>
  <c r="T129" i="174"/>
  <c r="S174" i="176" s="1"/>
  <c r="N234" i="176"/>
  <c r="T169" i="174"/>
  <c r="S234" i="176" s="1"/>
  <c r="T94" i="176"/>
  <c r="T24" i="176"/>
  <c r="N9" i="176"/>
  <c r="N222" i="176"/>
  <c r="T161" i="174"/>
  <c r="S222" i="176" s="1"/>
  <c r="T32" i="176"/>
  <c r="O25" i="174"/>
  <c r="Y25" i="174" s="1"/>
  <c r="N261" i="176"/>
  <c r="Y184" i="174"/>
  <c r="T184" i="174"/>
  <c r="S261" i="176" s="1"/>
  <c r="AB193" i="174"/>
  <c r="Z276" i="176" s="1"/>
  <c r="R45" i="174"/>
  <c r="Q59" i="176" s="1"/>
  <c r="N80" i="176"/>
  <c r="T60" i="174"/>
  <c r="S80" i="176" s="1"/>
  <c r="N82" i="176"/>
  <c r="T61" i="174"/>
  <c r="S82" i="176" s="1"/>
  <c r="W222" i="176"/>
  <c r="N106" i="176"/>
  <c r="R80" i="174"/>
  <c r="W80" i="176"/>
  <c r="Z60" i="174"/>
  <c r="X80" i="176" s="1"/>
  <c r="AC216" i="176"/>
  <c r="AJ216" i="176"/>
  <c r="AI216" i="176"/>
  <c r="AH216" i="176"/>
  <c r="AG216" i="176"/>
  <c r="AF216" i="176"/>
  <c r="AE216" i="176"/>
  <c r="AD216" i="176"/>
  <c r="T110" i="176"/>
  <c r="N103" i="176"/>
  <c r="Y77" i="174"/>
  <c r="R77" i="174"/>
  <c r="Q103" i="176" s="1"/>
  <c r="Z61" i="176"/>
  <c r="N68" i="176"/>
  <c r="Y50" i="174"/>
  <c r="T50" i="174"/>
  <c r="S68" i="176" s="1"/>
  <c r="R50" i="174"/>
  <c r="W5" i="176"/>
  <c r="X5" i="176"/>
  <c r="Q148" i="176"/>
  <c r="T171" i="176"/>
  <c r="A136" i="176"/>
  <c r="B103" i="174"/>
  <c r="T178" i="176"/>
  <c r="O132" i="174"/>
  <c r="N137" i="176"/>
  <c r="Q137" i="176"/>
  <c r="T79" i="176"/>
  <c r="N236" i="176"/>
  <c r="Y170" i="174"/>
  <c r="T170" i="174"/>
  <c r="S236" i="176" s="1"/>
  <c r="R170" i="174"/>
  <c r="N180" i="176"/>
  <c r="R134" i="174"/>
  <c r="Q180" i="176" s="1"/>
  <c r="N72" i="176"/>
  <c r="R54" i="174"/>
  <c r="Q72" i="176" s="1"/>
  <c r="N153" i="176"/>
  <c r="Q153" i="176"/>
  <c r="N184" i="176"/>
  <c r="Y136" i="174"/>
  <c r="T136" i="174"/>
  <c r="S184" i="176" s="1"/>
  <c r="N63" i="176"/>
  <c r="N44" i="176"/>
  <c r="Y33" i="174"/>
  <c r="R33" i="174"/>
  <c r="Q44" i="176" s="1"/>
  <c r="AC89" i="176"/>
  <c r="AI89" i="176"/>
  <c r="AH89" i="176"/>
  <c r="AG89" i="176"/>
  <c r="AF89" i="176"/>
  <c r="AE89" i="176"/>
  <c r="AJ89" i="176"/>
  <c r="AD89" i="176"/>
  <c r="W2" i="176"/>
  <c r="X2" i="176"/>
  <c r="N146" i="176"/>
  <c r="T109" i="174"/>
  <c r="S146" i="176" s="1"/>
  <c r="N45" i="176"/>
  <c r="R34" i="174"/>
  <c r="Q45" i="176" s="1"/>
  <c r="T170" i="176"/>
  <c r="T127" i="176"/>
  <c r="N244" i="176"/>
  <c r="Y176" i="174"/>
  <c r="T176" i="174"/>
  <c r="S244" i="176" s="1"/>
  <c r="T277" i="176"/>
  <c r="AC194" i="174"/>
  <c r="A120" i="176"/>
  <c r="B91" i="174"/>
  <c r="B93" i="174" s="1"/>
  <c r="N160" i="176"/>
  <c r="Y120" i="174"/>
  <c r="T120" i="174"/>
  <c r="S160" i="176" s="1"/>
  <c r="N58" i="176"/>
  <c r="Y44" i="174"/>
  <c r="R44" i="174"/>
  <c r="Q58" i="176" s="1"/>
  <c r="N176" i="176"/>
  <c r="Y130" i="174"/>
  <c r="T130" i="174"/>
  <c r="S176" i="176" s="1"/>
  <c r="R130" i="174"/>
  <c r="AG203" i="176"/>
  <c r="AF203" i="176"/>
  <c r="AE203" i="176"/>
  <c r="AD203" i="176"/>
  <c r="AC203" i="176"/>
  <c r="AJ203" i="176"/>
  <c r="AI203" i="176"/>
  <c r="AH203" i="176"/>
  <c r="N100" i="176"/>
  <c r="R74" i="174"/>
  <c r="Y74" i="174"/>
  <c r="T74" i="174"/>
  <c r="S100" i="176" s="1"/>
  <c r="T35" i="176"/>
  <c r="W215" i="176"/>
  <c r="Z157" i="174"/>
  <c r="X215" i="176" s="1"/>
  <c r="N18" i="176"/>
  <c r="R14" i="174"/>
  <c r="Q18" i="176" s="1"/>
  <c r="N7" i="176"/>
  <c r="A88" i="176"/>
  <c r="B67" i="174"/>
  <c r="W4" i="176"/>
  <c r="X4" i="176"/>
  <c r="W3" i="176"/>
  <c r="X3" i="176"/>
  <c r="T60" i="176"/>
  <c r="AA60" i="176"/>
  <c r="AH119" i="176"/>
  <c r="AG119" i="176"/>
  <c r="AF119" i="176"/>
  <c r="AE119" i="176"/>
  <c r="AC119" i="176"/>
  <c r="AJ119" i="176"/>
  <c r="AI119" i="176"/>
  <c r="AD119" i="176"/>
  <c r="N25" i="176"/>
  <c r="Q25" i="176"/>
  <c r="AH4" i="176"/>
  <c r="T150" i="176"/>
  <c r="O112" i="174"/>
  <c r="AD60" i="176"/>
  <c r="AI60" i="176"/>
  <c r="AH60" i="176"/>
  <c r="AG60" i="176"/>
  <c r="AF60" i="176"/>
  <c r="AJ60" i="176"/>
  <c r="AE60" i="176"/>
  <c r="AC60" i="176"/>
  <c r="T166" i="176"/>
  <c r="O124" i="174"/>
  <c r="N95" i="176"/>
  <c r="AE47" i="176"/>
  <c r="AJ47" i="176"/>
  <c r="AI47" i="176"/>
  <c r="AH47" i="176"/>
  <c r="AG47" i="176"/>
  <c r="AF47" i="176"/>
  <c r="AD47" i="176"/>
  <c r="AC47" i="176"/>
  <c r="N144" i="176"/>
  <c r="T108" i="174"/>
  <c r="S144" i="176" s="1"/>
  <c r="Y108" i="174"/>
  <c r="N179" i="176"/>
  <c r="Y133" i="174"/>
  <c r="R133" i="174"/>
  <c r="Q179" i="176" s="1"/>
  <c r="N271" i="176"/>
  <c r="T189" i="174"/>
  <c r="S271" i="176" s="1"/>
  <c r="T202" i="176"/>
  <c r="O148" i="174"/>
  <c r="N135" i="176"/>
  <c r="R101" i="174"/>
  <c r="Q135" i="176" s="1"/>
  <c r="Y101" i="174"/>
  <c r="N212" i="176"/>
  <c r="Y154" i="174"/>
  <c r="T154" i="174"/>
  <c r="S212" i="176" s="1"/>
  <c r="R154" i="174"/>
  <c r="N151" i="176"/>
  <c r="Y113" i="174"/>
  <c r="R113" i="174"/>
  <c r="Q151" i="176" s="1"/>
  <c r="N37" i="176"/>
  <c r="T28" i="174"/>
  <c r="S37" i="176" s="1"/>
  <c r="Y28" i="174"/>
  <c r="N269" i="176"/>
  <c r="T188" i="174"/>
  <c r="S269" i="176" s="1"/>
  <c r="Y188" i="174"/>
  <c r="W246" i="176"/>
  <c r="Z177" i="174"/>
  <c r="X246" i="176" s="1"/>
  <c r="W198" i="176"/>
  <c r="Z145" i="174"/>
  <c r="X198" i="176" s="1"/>
  <c r="N208" i="176"/>
  <c r="Y152" i="174"/>
  <c r="T152" i="174"/>
  <c r="S208" i="176" s="1"/>
  <c r="T226" i="176"/>
  <c r="O164" i="174"/>
  <c r="N19" i="176"/>
  <c r="R15" i="174"/>
  <c r="Q19" i="176" s="1"/>
  <c r="T158" i="176"/>
  <c r="N96" i="176"/>
  <c r="T72" i="174"/>
  <c r="S96" i="176" s="1"/>
  <c r="Y72" i="174"/>
  <c r="AF239" i="176"/>
  <c r="AE239" i="176"/>
  <c r="AD239" i="176"/>
  <c r="AC239" i="176"/>
  <c r="AJ239" i="176"/>
  <c r="AI239" i="176"/>
  <c r="AH239" i="176"/>
  <c r="AG239" i="176"/>
  <c r="N204" i="176"/>
  <c r="R150" i="174"/>
  <c r="Q204" i="176" s="1"/>
  <c r="N53" i="176"/>
  <c r="Q53" i="176"/>
  <c r="S53" i="176"/>
  <c r="AC191" i="176"/>
  <c r="AJ191" i="176"/>
  <c r="AI191" i="176"/>
  <c r="AH191" i="176"/>
  <c r="AG191" i="176"/>
  <c r="AF191" i="176"/>
  <c r="AE191" i="176"/>
  <c r="AD191" i="176"/>
  <c r="AC121" i="176"/>
  <c r="AJ121" i="176"/>
  <c r="AI121" i="176"/>
  <c r="AH121" i="176"/>
  <c r="AG121" i="176"/>
  <c r="AE121" i="176"/>
  <c r="AD121" i="176"/>
  <c r="AF121" i="176"/>
  <c r="N55" i="176"/>
  <c r="S55" i="176"/>
  <c r="Q55" i="176"/>
  <c r="T78" i="176"/>
  <c r="N12" i="176"/>
  <c r="T9" i="174"/>
  <c r="S12" i="176" s="1"/>
  <c r="N224" i="176"/>
  <c r="Y162" i="174"/>
  <c r="T162" i="174"/>
  <c r="S224" i="176" s="1"/>
  <c r="R162" i="174"/>
  <c r="T231" i="176"/>
  <c r="T183" i="176"/>
  <c r="N263" i="176"/>
  <c r="T185" i="174"/>
  <c r="S263" i="176" s="1"/>
  <c r="W234" i="176"/>
  <c r="Z169" i="174"/>
  <c r="X234" i="176" s="1"/>
  <c r="N196" i="176"/>
  <c r="Y144" i="174"/>
  <c r="T144" i="174"/>
  <c r="S196" i="176" s="1"/>
  <c r="T238" i="176"/>
  <c r="O172" i="174"/>
  <c r="N240" i="176"/>
  <c r="Y174" i="174"/>
  <c r="R174" i="174"/>
  <c r="Q240" i="176" s="1"/>
  <c r="N46" i="176"/>
  <c r="Q46" i="176"/>
  <c r="Z16" i="176"/>
  <c r="U12" i="174"/>
  <c r="U19" i="174" s="1"/>
  <c r="N87" i="176"/>
  <c r="R65" i="174"/>
  <c r="Q87" i="176" s="1"/>
  <c r="Y65" i="174"/>
  <c r="N248" i="176"/>
  <c r="Y178" i="174"/>
  <c r="T178" i="174"/>
  <c r="S248" i="176" s="1"/>
  <c r="R178" i="174"/>
  <c r="N192" i="176"/>
  <c r="R142" i="174"/>
  <c r="Q192" i="176" s="1"/>
  <c r="N104" i="176"/>
  <c r="R78" i="174"/>
  <c r="Q104" i="176" s="1"/>
  <c r="N257" i="176"/>
  <c r="T182" i="174"/>
  <c r="S257" i="176" s="1"/>
  <c r="R182" i="174"/>
  <c r="Q257" i="176" s="1"/>
  <c r="Y182" i="174"/>
  <c r="N136" i="176"/>
  <c r="R102" i="174"/>
  <c r="Q136" i="176" s="1"/>
  <c r="T20" i="176"/>
  <c r="O16" i="174"/>
  <c r="Q74" i="176"/>
  <c r="Y56" i="174"/>
  <c r="N41" i="176"/>
  <c r="Y30" i="174"/>
  <c r="T30" i="174"/>
  <c r="S41" i="176" s="1"/>
  <c r="R30" i="174"/>
  <c r="N132" i="176"/>
  <c r="T98" i="174"/>
  <c r="S132" i="176" s="1"/>
  <c r="R98" i="174"/>
  <c r="Y98" i="174"/>
  <c r="N66" i="176"/>
  <c r="T49" i="174"/>
  <c r="S66" i="176" s="1"/>
  <c r="W6" i="176"/>
  <c r="X6" i="176"/>
  <c r="S7" i="176"/>
  <c r="N8" i="176"/>
  <c r="T243" i="176"/>
  <c r="T195" i="176"/>
  <c r="T251" i="176"/>
  <c r="N232" i="176"/>
  <c r="Y168" i="174"/>
  <c r="T168" i="174"/>
  <c r="S232" i="176" s="1"/>
  <c r="Z125" i="176"/>
  <c r="N164" i="176"/>
  <c r="Y122" i="174"/>
  <c r="T122" i="174"/>
  <c r="S164" i="176" s="1"/>
  <c r="R122" i="174"/>
  <c r="N71" i="176"/>
  <c r="R53" i="174"/>
  <c r="Q71" i="176" s="1"/>
  <c r="Y53" i="174"/>
  <c r="N88" i="176"/>
  <c r="R66" i="174"/>
  <c r="Q88" i="176" s="1"/>
  <c r="T242" i="176"/>
  <c r="T194" i="176"/>
  <c r="T250" i="176"/>
  <c r="N220" i="176"/>
  <c r="Y160" i="174"/>
  <c r="T160" i="174"/>
  <c r="S220" i="176" s="1"/>
  <c r="T214" i="176"/>
  <c r="O156" i="174"/>
  <c r="N154" i="176"/>
  <c r="R116" i="174"/>
  <c r="N172" i="176"/>
  <c r="Y128" i="174"/>
  <c r="T128" i="174"/>
  <c r="S172" i="176" s="1"/>
  <c r="T230" i="176"/>
  <c r="T182" i="176"/>
  <c r="W174" i="176"/>
  <c r="Z129" i="174"/>
  <c r="X174" i="176" s="1"/>
  <c r="N228" i="176"/>
  <c r="Y166" i="174"/>
  <c r="R166" i="174"/>
  <c r="Q228" i="176" s="1"/>
  <c r="N152" i="176"/>
  <c r="R114" i="174"/>
  <c r="Q152" i="176" s="1"/>
  <c r="N130" i="176"/>
  <c r="T97" i="174"/>
  <c r="S130" i="176" s="1"/>
  <c r="N84" i="176"/>
  <c r="R62" i="174"/>
  <c r="T62" i="174"/>
  <c r="S84" i="176" s="1"/>
  <c r="Y62" i="174"/>
  <c r="T111" i="176"/>
  <c r="N73" i="176"/>
  <c r="Q73" i="176"/>
  <c r="T159" i="176"/>
  <c r="N112" i="176"/>
  <c r="Y84" i="174"/>
  <c r="T84" i="174"/>
  <c r="S112" i="176" s="1"/>
  <c r="N200" i="176"/>
  <c r="Y146" i="174"/>
  <c r="T146" i="174"/>
  <c r="S200" i="176" s="1"/>
  <c r="R146" i="174"/>
  <c r="T126" i="176"/>
  <c r="N188" i="176"/>
  <c r="Y138" i="174"/>
  <c r="T138" i="174"/>
  <c r="S188" i="176" s="1"/>
  <c r="R138" i="174"/>
  <c r="N105" i="176"/>
  <c r="Q105" i="176"/>
  <c r="Z30" i="176"/>
  <c r="U23" i="174"/>
  <c r="T57" i="176"/>
  <c r="O43" i="174"/>
  <c r="Z23" i="176"/>
  <c r="N138" i="176"/>
  <c r="R104" i="174"/>
  <c r="AF10" i="176" l="1"/>
  <c r="AE10" i="176"/>
  <c r="AD168" i="176"/>
  <c r="AF168" i="176"/>
  <c r="AG168" i="176"/>
  <c r="AH168" i="176"/>
  <c r="AF59" i="176"/>
  <c r="AH59" i="176"/>
  <c r="AJ168" i="176"/>
  <c r="AE59" i="176"/>
  <c r="AI59" i="176"/>
  <c r="AG59" i="176"/>
  <c r="AI168" i="176"/>
  <c r="AC168" i="176"/>
  <c r="Y88" i="174"/>
  <c r="W118" i="176" s="1"/>
  <c r="N118" i="176"/>
  <c r="AJ118" i="176" s="1"/>
  <c r="AJ59" i="176"/>
  <c r="AC59" i="176"/>
  <c r="U27" i="174"/>
  <c r="O45" i="173" s="1"/>
  <c r="S9" i="173"/>
  <c r="Z34" i="176"/>
  <c r="Z125" i="174"/>
  <c r="X167" i="176" s="1"/>
  <c r="AE167" i="176"/>
  <c r="AF167" i="176"/>
  <c r="AH167" i="176"/>
  <c r="T141" i="176"/>
  <c r="AG167" i="176"/>
  <c r="AJ167" i="176"/>
  <c r="AC193" i="174"/>
  <c r="M46" i="173"/>
  <c r="I67" i="173" s="1"/>
  <c r="W167" i="176"/>
  <c r="AI167" i="176"/>
  <c r="AD167" i="176"/>
  <c r="AC83" i="174"/>
  <c r="AA109" i="176" s="1"/>
  <c r="AA277" i="176"/>
  <c r="U7" i="176"/>
  <c r="N260" i="176"/>
  <c r="AC260" i="176" s="1"/>
  <c r="AC59" i="174"/>
  <c r="AA77" i="176" s="1"/>
  <c r="N70" i="176"/>
  <c r="AI70" i="176" s="1"/>
  <c r="AC167" i="174"/>
  <c r="E59" i="173" s="1"/>
  <c r="C81" i="173" s="1"/>
  <c r="D81" i="173" s="1"/>
  <c r="R192" i="174"/>
  <c r="Q275" i="176" s="1"/>
  <c r="AC159" i="174"/>
  <c r="Y192" i="174"/>
  <c r="W275" i="176" s="1"/>
  <c r="Y52" i="174"/>
  <c r="W70" i="176" s="1"/>
  <c r="N268" i="176"/>
  <c r="AC268" i="176" s="1"/>
  <c r="Z126" i="174"/>
  <c r="X168" i="176" s="1"/>
  <c r="A155" i="176"/>
  <c r="AA126" i="174"/>
  <c r="Y168" i="176" s="1"/>
  <c r="W119" i="176"/>
  <c r="Y64" i="174"/>
  <c r="W86" i="176" s="1"/>
  <c r="W216" i="176"/>
  <c r="Z137" i="174"/>
  <c r="X186" i="176" s="1"/>
  <c r="R52" i="174"/>
  <c r="Q70" i="176" s="1"/>
  <c r="N43" i="176"/>
  <c r="AF43" i="176" s="1"/>
  <c r="AC95" i="174"/>
  <c r="Z180" i="174"/>
  <c r="X252" i="176" s="1"/>
  <c r="Z173" i="174"/>
  <c r="X239" i="176" s="1"/>
  <c r="Y92" i="174"/>
  <c r="AA92" i="174" s="1"/>
  <c r="Y122" i="176" s="1"/>
  <c r="W253" i="176"/>
  <c r="S207" i="176"/>
  <c r="Z165" i="174"/>
  <c r="X227" i="176" s="1"/>
  <c r="N143" i="176"/>
  <c r="AD143" i="176" s="1"/>
  <c r="AF84" i="176"/>
  <c r="AE84" i="176"/>
  <c r="AG84" i="176"/>
  <c r="AF37" i="176"/>
  <c r="AE37" i="176"/>
  <c r="AG37" i="176"/>
  <c r="AG114" i="176"/>
  <c r="AF114" i="176"/>
  <c r="AE114" i="176"/>
  <c r="AE232" i="176"/>
  <c r="AG232" i="176"/>
  <c r="AF232" i="176"/>
  <c r="AE263" i="176"/>
  <c r="AG263" i="176"/>
  <c r="AF263" i="176"/>
  <c r="AF224" i="176"/>
  <c r="AE224" i="176"/>
  <c r="AG224" i="176"/>
  <c r="AG68" i="176"/>
  <c r="AF68" i="176"/>
  <c r="AE68" i="176"/>
  <c r="AE174" i="176"/>
  <c r="AG174" i="176"/>
  <c r="AF174" i="176"/>
  <c r="Z29" i="174"/>
  <c r="X39" i="176" s="1"/>
  <c r="AF116" i="176"/>
  <c r="AE116" i="176"/>
  <c r="AG116" i="176"/>
  <c r="AE96" i="176"/>
  <c r="AG96" i="176"/>
  <c r="AF96" i="176"/>
  <c r="AF271" i="176"/>
  <c r="AE271" i="176"/>
  <c r="AG271" i="176"/>
  <c r="AF80" i="176"/>
  <c r="AE80" i="176"/>
  <c r="AG80" i="176"/>
  <c r="AF255" i="176"/>
  <c r="AE255" i="176"/>
  <c r="AG255" i="176"/>
  <c r="AF148" i="176"/>
  <c r="AE148" i="176"/>
  <c r="AG148" i="176"/>
  <c r="AF53" i="176"/>
  <c r="AE53" i="176"/>
  <c r="AG53" i="176"/>
  <c r="AE208" i="176"/>
  <c r="AG208" i="176"/>
  <c r="AF208" i="176"/>
  <c r="AF130" i="176"/>
  <c r="AE130" i="176"/>
  <c r="AG130" i="176"/>
  <c r="AF220" i="176"/>
  <c r="AE220" i="176"/>
  <c r="AG220" i="176"/>
  <c r="AF64" i="176"/>
  <c r="AE64" i="176"/>
  <c r="AG64" i="176"/>
  <c r="AF14" i="176"/>
  <c r="AE14" i="176"/>
  <c r="AG14" i="176"/>
  <c r="AG222" i="176"/>
  <c r="AF222" i="176"/>
  <c r="AE222" i="176"/>
  <c r="AF196" i="176"/>
  <c r="AE196" i="176"/>
  <c r="AG196" i="176"/>
  <c r="AG55" i="176"/>
  <c r="AF55" i="176"/>
  <c r="AE55" i="176"/>
  <c r="W210" i="176"/>
  <c r="AF248" i="176"/>
  <c r="AE248" i="176"/>
  <c r="AG248" i="176"/>
  <c r="AF244" i="176"/>
  <c r="AE244" i="176"/>
  <c r="AG244" i="176"/>
  <c r="AF246" i="176"/>
  <c r="AE246" i="176"/>
  <c r="AG246" i="176"/>
  <c r="AG160" i="176"/>
  <c r="AF160" i="176"/>
  <c r="AE160" i="176"/>
  <c r="AF66" i="176"/>
  <c r="AE66" i="176"/>
  <c r="AG66" i="176"/>
  <c r="AG198" i="176"/>
  <c r="AF198" i="176"/>
  <c r="AE198" i="176"/>
  <c r="AF98" i="176"/>
  <c r="AE98" i="176"/>
  <c r="AG98" i="176"/>
  <c r="AG188" i="176"/>
  <c r="AF188" i="176"/>
  <c r="AE188" i="176"/>
  <c r="AE236" i="176"/>
  <c r="AF236" i="176"/>
  <c r="AG236" i="176"/>
  <c r="AG82" i="176"/>
  <c r="AF82" i="176"/>
  <c r="AE82" i="176"/>
  <c r="AF41" i="176"/>
  <c r="AE41" i="176"/>
  <c r="AG41" i="176"/>
  <c r="AE257" i="176"/>
  <c r="AG257" i="176"/>
  <c r="AF257" i="176"/>
  <c r="AF200" i="176"/>
  <c r="AE200" i="176"/>
  <c r="AG200" i="176"/>
  <c r="AF172" i="176"/>
  <c r="AE172" i="176"/>
  <c r="AG172" i="176"/>
  <c r="AE164" i="176"/>
  <c r="AG164" i="176"/>
  <c r="AF164" i="176"/>
  <c r="AF212" i="176"/>
  <c r="AE212" i="176"/>
  <c r="AG212" i="176"/>
  <c r="AD252" i="176"/>
  <c r="AC252" i="176"/>
  <c r="S253" i="176"/>
  <c r="S252" i="176"/>
  <c r="AF162" i="176"/>
  <c r="AE162" i="176"/>
  <c r="AG162" i="176"/>
  <c r="AF12" i="176"/>
  <c r="AE12" i="176"/>
  <c r="AG12" i="176"/>
  <c r="AF269" i="176"/>
  <c r="AE269" i="176"/>
  <c r="AG269" i="176"/>
  <c r="Z73" i="174"/>
  <c r="X98" i="176" s="1"/>
  <c r="AF144" i="176"/>
  <c r="AE144" i="176"/>
  <c r="AG144" i="176"/>
  <c r="Y36" i="174"/>
  <c r="Z36" i="174" s="1"/>
  <c r="X47" i="176" s="1"/>
  <c r="AG253" i="176"/>
  <c r="AF253" i="176"/>
  <c r="AE253" i="176"/>
  <c r="AF112" i="176"/>
  <c r="AE112" i="176"/>
  <c r="AG112" i="176"/>
  <c r="AE132" i="176"/>
  <c r="AG132" i="176"/>
  <c r="AF132" i="176"/>
  <c r="N142" i="176"/>
  <c r="AD142" i="176" s="1"/>
  <c r="AF100" i="176"/>
  <c r="AE100" i="176"/>
  <c r="AG100" i="176"/>
  <c r="AF176" i="176"/>
  <c r="AE176" i="176"/>
  <c r="AG176" i="176"/>
  <c r="AF146" i="176"/>
  <c r="AE146" i="176"/>
  <c r="AG146" i="176"/>
  <c r="AF184" i="176"/>
  <c r="AE184" i="176"/>
  <c r="AG184" i="176"/>
  <c r="AF261" i="176"/>
  <c r="AE261" i="176"/>
  <c r="AG261" i="176"/>
  <c r="AF234" i="176"/>
  <c r="AE234" i="176"/>
  <c r="AG234" i="176"/>
  <c r="AJ120" i="176"/>
  <c r="AI120" i="176"/>
  <c r="AG120" i="176"/>
  <c r="AH120" i="176"/>
  <c r="AF120" i="176"/>
  <c r="AE74" i="176"/>
  <c r="AD74" i="176"/>
  <c r="AH74" i="176"/>
  <c r="AI74" i="176"/>
  <c r="AC120" i="176"/>
  <c r="AD120" i="176"/>
  <c r="AC74" i="176"/>
  <c r="X206" i="176"/>
  <c r="AD215" i="176"/>
  <c r="A105" i="176"/>
  <c r="X142" i="176"/>
  <c r="Z186" i="174"/>
  <c r="X265" i="176" s="1"/>
  <c r="R32" i="174"/>
  <c r="Q43" i="176" s="1"/>
  <c r="AJ215" i="176"/>
  <c r="AC215" i="176"/>
  <c r="AF215" i="176"/>
  <c r="AI215" i="176"/>
  <c r="AE215" i="176"/>
  <c r="AG215" i="176"/>
  <c r="AA149" i="174"/>
  <c r="Y203" i="176" s="1"/>
  <c r="W227" i="176"/>
  <c r="X51" i="176"/>
  <c r="Z149" i="174"/>
  <c r="X203" i="176" s="1"/>
  <c r="O83" i="174"/>
  <c r="N102" i="176"/>
  <c r="AG102" i="176" s="1"/>
  <c r="Y76" i="174"/>
  <c r="AA76" i="174" s="1"/>
  <c r="Y102" i="176" s="1"/>
  <c r="Q51" i="176"/>
  <c r="Z90" i="174"/>
  <c r="X120" i="176" s="1"/>
  <c r="N52" i="176"/>
  <c r="AC52" i="176" s="1"/>
  <c r="S51" i="176"/>
  <c r="AA90" i="174"/>
  <c r="Y120" i="176" s="1"/>
  <c r="AA158" i="174"/>
  <c r="Y216" i="176" s="1"/>
  <c r="Y89" i="176"/>
  <c r="S52" i="176"/>
  <c r="X121" i="176"/>
  <c r="AF74" i="176"/>
  <c r="Z141" i="174"/>
  <c r="X191" i="176" s="1"/>
  <c r="AG74" i="176"/>
  <c r="AA141" i="174"/>
  <c r="Y191" i="176" s="1"/>
  <c r="W89" i="176"/>
  <c r="R64" i="174"/>
  <c r="Q86" i="176" s="1"/>
  <c r="X89" i="176"/>
  <c r="Z121" i="174"/>
  <c r="X162" i="176" s="1"/>
  <c r="S267" i="176"/>
  <c r="AA110" i="174"/>
  <c r="Y148" i="176" s="1"/>
  <c r="Z110" i="174"/>
  <c r="X148" i="176" s="1"/>
  <c r="W64" i="176"/>
  <c r="AA157" i="174"/>
  <c r="Y215" i="176" s="1"/>
  <c r="W59" i="176"/>
  <c r="O167" i="174"/>
  <c r="V167" i="174" s="1"/>
  <c r="B80" i="174"/>
  <c r="A106" i="176" s="1"/>
  <c r="AC119" i="174"/>
  <c r="W259" i="176"/>
  <c r="X259" i="176"/>
  <c r="N219" i="176"/>
  <c r="AD219" i="176" s="1"/>
  <c r="AA173" i="174"/>
  <c r="Y239" i="176" s="1"/>
  <c r="B116" i="174"/>
  <c r="A154" i="176" s="1"/>
  <c r="S218" i="176"/>
  <c r="W218" i="176"/>
  <c r="Z96" i="174"/>
  <c r="X128" i="176" s="1"/>
  <c r="AC175" i="174"/>
  <c r="T10" i="174"/>
  <c r="S14" i="176" s="1"/>
  <c r="Z8" i="174"/>
  <c r="X10" i="176" s="1"/>
  <c r="AA89" i="174"/>
  <c r="Y119" i="176" s="1"/>
  <c r="R10" i="174"/>
  <c r="Q14" i="176" s="1"/>
  <c r="Y10" i="174"/>
  <c r="Z10" i="174" s="1"/>
  <c r="X14" i="176" s="1"/>
  <c r="W10" i="176"/>
  <c r="W267" i="176"/>
  <c r="N259" i="176"/>
  <c r="S259" i="176"/>
  <c r="X62" i="176"/>
  <c r="Q90" i="176"/>
  <c r="Y68" i="174"/>
  <c r="Y100" i="174"/>
  <c r="N134" i="176"/>
  <c r="R100" i="174"/>
  <c r="Q134" i="176" s="1"/>
  <c r="Z48" i="174"/>
  <c r="X64" i="176" s="1"/>
  <c r="Q28" i="176"/>
  <c r="S28" i="176"/>
  <c r="N28" i="176"/>
  <c r="AH227" i="176"/>
  <c r="W31" i="176"/>
  <c r="Z24" i="174"/>
  <c r="X31" i="176" s="1"/>
  <c r="AC227" i="176"/>
  <c r="AE227" i="176"/>
  <c r="AC71" i="174"/>
  <c r="AA186" i="174"/>
  <c r="Y265" i="176" s="1"/>
  <c r="AG227" i="176"/>
  <c r="R95" i="174"/>
  <c r="Z86" i="174"/>
  <c r="X116" i="176" s="1"/>
  <c r="AA86" i="174"/>
  <c r="Y116" i="176" s="1"/>
  <c r="Y140" i="174"/>
  <c r="W190" i="176" s="1"/>
  <c r="AJ227" i="176"/>
  <c r="N190" i="176"/>
  <c r="AJ190" i="176" s="1"/>
  <c r="R24" i="174"/>
  <c r="N31" i="176"/>
  <c r="Y121" i="176"/>
  <c r="AD227" i="176"/>
  <c r="AI227" i="176"/>
  <c r="AC143" i="174"/>
  <c r="AC151" i="174"/>
  <c r="AA45" i="174"/>
  <c r="Y59" i="176" s="1"/>
  <c r="N36" i="176"/>
  <c r="W273" i="176"/>
  <c r="AA190" i="174"/>
  <c r="Y273" i="176" s="1"/>
  <c r="Z190" i="174"/>
  <c r="X273" i="176" s="1"/>
  <c r="N24" i="176"/>
  <c r="Q24" i="176"/>
  <c r="S24" i="176"/>
  <c r="Z161" i="174"/>
  <c r="X222" i="176" s="1"/>
  <c r="N94" i="176"/>
  <c r="S94" i="176"/>
  <c r="W261" i="176"/>
  <c r="Z184" i="174"/>
  <c r="X261" i="176" s="1"/>
  <c r="N32" i="176"/>
  <c r="R25" i="174"/>
  <c r="Q32" i="176" s="1"/>
  <c r="W17" i="176"/>
  <c r="AA13" i="174"/>
  <c r="Y17" i="176" s="1"/>
  <c r="Z13" i="174"/>
  <c r="X17" i="176" s="1"/>
  <c r="W82" i="176"/>
  <c r="Z61" i="174"/>
  <c r="X82" i="176" s="1"/>
  <c r="AF17" i="176"/>
  <c r="AG17" i="176"/>
  <c r="AE17" i="176"/>
  <c r="AD17" i="176"/>
  <c r="AC17" i="176"/>
  <c r="AJ17" i="176"/>
  <c r="AI17" i="176"/>
  <c r="AH17" i="176"/>
  <c r="S9" i="176"/>
  <c r="N26" i="176"/>
  <c r="S26" i="176"/>
  <c r="Q26" i="176"/>
  <c r="W255" i="176"/>
  <c r="Z181" i="174"/>
  <c r="X255" i="176" s="1"/>
  <c r="AC9" i="176"/>
  <c r="AD9" i="176"/>
  <c r="W180" i="176"/>
  <c r="Z134" i="174"/>
  <c r="X180" i="176" s="1"/>
  <c r="AA134" i="174"/>
  <c r="Y180" i="176" s="1"/>
  <c r="W137" i="176"/>
  <c r="Y137" i="176"/>
  <c r="X137" i="176"/>
  <c r="AD275" i="176"/>
  <c r="AI275" i="176"/>
  <c r="AH275" i="176"/>
  <c r="AG275" i="176"/>
  <c r="AJ275" i="176"/>
  <c r="AF275" i="176"/>
  <c r="AE275" i="176"/>
  <c r="AC275" i="176"/>
  <c r="N126" i="176"/>
  <c r="O107" i="174"/>
  <c r="AH73" i="176"/>
  <c r="AF73" i="176"/>
  <c r="AE73" i="176"/>
  <c r="AD73" i="176"/>
  <c r="AC73" i="176"/>
  <c r="AJ73" i="176"/>
  <c r="AG73" i="176"/>
  <c r="AI73" i="176"/>
  <c r="Q84" i="176"/>
  <c r="W152" i="176"/>
  <c r="Z114" i="174"/>
  <c r="X152" i="176" s="1"/>
  <c r="AA114" i="174"/>
  <c r="Y152" i="176" s="1"/>
  <c r="N214" i="176"/>
  <c r="Y156" i="174"/>
  <c r="R156" i="174"/>
  <c r="Q214" i="176" s="1"/>
  <c r="W71" i="176"/>
  <c r="AA53" i="174"/>
  <c r="Y71" i="176" s="1"/>
  <c r="Z53" i="174"/>
  <c r="X71" i="176" s="1"/>
  <c r="W8" i="176"/>
  <c r="X8" i="176"/>
  <c r="W132" i="176"/>
  <c r="AA98" i="174"/>
  <c r="Y132" i="176" s="1"/>
  <c r="Z98" i="174"/>
  <c r="X132" i="176" s="1"/>
  <c r="T169" i="176"/>
  <c r="AC127" i="174"/>
  <c r="W87" i="176"/>
  <c r="AA65" i="174"/>
  <c r="Y87" i="176" s="1"/>
  <c r="Z65" i="174"/>
  <c r="X87" i="176" s="1"/>
  <c r="AC240" i="176"/>
  <c r="AJ240" i="176"/>
  <c r="AI240" i="176"/>
  <c r="AF240" i="176"/>
  <c r="AE240" i="176"/>
  <c r="AD240" i="176"/>
  <c r="AH240" i="176"/>
  <c r="AG240" i="176"/>
  <c r="S268" i="176"/>
  <c r="N158" i="176"/>
  <c r="O127" i="174"/>
  <c r="W269" i="176"/>
  <c r="Z188" i="174"/>
  <c r="X269" i="176" s="1"/>
  <c r="W37" i="176"/>
  <c r="Z28" i="174"/>
  <c r="X37" i="176" s="1"/>
  <c r="W151" i="176"/>
  <c r="Z113" i="174"/>
  <c r="X151" i="176" s="1"/>
  <c r="AA113" i="174"/>
  <c r="Y151" i="176" s="1"/>
  <c r="AD135" i="176"/>
  <c r="AC135" i="176"/>
  <c r="AJ135" i="176"/>
  <c r="AI135" i="176"/>
  <c r="AH135" i="176"/>
  <c r="AF135" i="176"/>
  <c r="AE135" i="176"/>
  <c r="AG135" i="176"/>
  <c r="N166" i="176"/>
  <c r="Y124" i="174"/>
  <c r="R124" i="174"/>
  <c r="Q166" i="176" s="1"/>
  <c r="AH18" i="176"/>
  <c r="AG18" i="176"/>
  <c r="AF18" i="176"/>
  <c r="AE18" i="176"/>
  <c r="AC18" i="176"/>
  <c r="AJ18" i="176"/>
  <c r="AI18" i="176"/>
  <c r="AD18" i="176"/>
  <c r="A121" i="176"/>
  <c r="B92" i="174"/>
  <c r="A122" i="176" s="1"/>
  <c r="A123" i="176"/>
  <c r="W244" i="176"/>
  <c r="Z176" i="174"/>
  <c r="X244" i="176" s="1"/>
  <c r="N170" i="176"/>
  <c r="O135" i="174"/>
  <c r="T61" i="176"/>
  <c r="AC47" i="174"/>
  <c r="AG105" i="176"/>
  <c r="AF105" i="176"/>
  <c r="AE105" i="176"/>
  <c r="AD105" i="176"/>
  <c r="AJ105" i="176"/>
  <c r="AI105" i="176"/>
  <c r="AH105" i="176"/>
  <c r="AC105" i="176"/>
  <c r="N159" i="176"/>
  <c r="N111" i="176"/>
  <c r="AF152" i="176"/>
  <c r="AE152" i="176"/>
  <c r="AC152" i="176"/>
  <c r="AJ152" i="176"/>
  <c r="AI152" i="176"/>
  <c r="AH152" i="176"/>
  <c r="AG152" i="176"/>
  <c r="AD152" i="176"/>
  <c r="N182" i="176"/>
  <c r="O143" i="174"/>
  <c r="N242" i="176"/>
  <c r="O193" i="174"/>
  <c r="N195" i="176"/>
  <c r="AC8" i="176"/>
  <c r="AD8" i="176"/>
  <c r="Q132" i="176"/>
  <c r="W74" i="176"/>
  <c r="AA56" i="174"/>
  <c r="Y74" i="176" s="1"/>
  <c r="Z56" i="174"/>
  <c r="X74" i="176" s="1"/>
  <c r="AI136" i="176"/>
  <c r="AH136" i="176"/>
  <c r="AG136" i="176"/>
  <c r="AF136" i="176"/>
  <c r="AE136" i="176"/>
  <c r="AC136" i="176"/>
  <c r="AJ136" i="176"/>
  <c r="AD136" i="176"/>
  <c r="W257" i="176"/>
  <c r="AA182" i="174"/>
  <c r="Y257" i="176" s="1"/>
  <c r="Z182" i="174"/>
  <c r="X257" i="176" s="1"/>
  <c r="N238" i="176"/>
  <c r="R172" i="174"/>
  <c r="Q238" i="176" s="1"/>
  <c r="Y172" i="174"/>
  <c r="W53" i="176"/>
  <c r="X53" i="176"/>
  <c r="Y53" i="176"/>
  <c r="W204" i="176"/>
  <c r="AA150" i="174"/>
  <c r="Y204" i="176" s="1"/>
  <c r="Z150" i="174"/>
  <c r="X204" i="176" s="1"/>
  <c r="AI151" i="176"/>
  <c r="AH151" i="176"/>
  <c r="AF151" i="176"/>
  <c r="AD151" i="176"/>
  <c r="AC151" i="176"/>
  <c r="AG151" i="176"/>
  <c r="AE151" i="176"/>
  <c r="AJ151" i="176"/>
  <c r="W271" i="176"/>
  <c r="Z189" i="174"/>
  <c r="X271" i="176" s="1"/>
  <c r="AH45" i="176"/>
  <c r="AI45" i="176"/>
  <c r="AG45" i="176"/>
  <c r="AF45" i="176"/>
  <c r="AE45" i="176"/>
  <c r="AD45" i="176"/>
  <c r="AC45" i="176"/>
  <c r="AJ45" i="176"/>
  <c r="W72" i="176"/>
  <c r="Z54" i="174"/>
  <c r="X72" i="176" s="1"/>
  <c r="AA54" i="174"/>
  <c r="Y72" i="176" s="1"/>
  <c r="AI180" i="176"/>
  <c r="AH180" i="176"/>
  <c r="AG180" i="176"/>
  <c r="AF180" i="176"/>
  <c r="AE180" i="176"/>
  <c r="AD180" i="176"/>
  <c r="AC180" i="176"/>
  <c r="AJ180" i="176"/>
  <c r="A137" i="176"/>
  <c r="A139" i="176"/>
  <c r="B104" i="174"/>
  <c r="A138" i="176" s="1"/>
  <c r="W43" i="176"/>
  <c r="Z32" i="174"/>
  <c r="X43" i="176" s="1"/>
  <c r="W103" i="176"/>
  <c r="AA77" i="174"/>
  <c r="Y103" i="176" s="1"/>
  <c r="Z77" i="174"/>
  <c r="X103" i="176" s="1"/>
  <c r="Q106" i="176"/>
  <c r="Y80" i="174"/>
  <c r="AA141" i="176"/>
  <c r="E52" i="173"/>
  <c r="C74" i="173" s="1"/>
  <c r="D74" i="173" s="1"/>
  <c r="I72" i="173" s="1"/>
  <c r="K72" i="173" s="1"/>
  <c r="N57" i="176"/>
  <c r="Y43" i="174"/>
  <c r="R43" i="174"/>
  <c r="Q57" i="176" s="1"/>
  <c r="Q188" i="176"/>
  <c r="R143" i="174"/>
  <c r="Q200" i="176"/>
  <c r="AF71" i="176"/>
  <c r="AD71" i="176"/>
  <c r="AC71" i="176"/>
  <c r="AJ71" i="176"/>
  <c r="AI71" i="176"/>
  <c r="AH71" i="176"/>
  <c r="AG71" i="176"/>
  <c r="AE71" i="176"/>
  <c r="W232" i="176"/>
  <c r="Z168" i="174"/>
  <c r="X232" i="176" s="1"/>
  <c r="T50" i="176"/>
  <c r="AC39" i="174"/>
  <c r="AD204" i="176"/>
  <c r="AC204" i="176"/>
  <c r="AJ204" i="176"/>
  <c r="AI204" i="176"/>
  <c r="AH204" i="176"/>
  <c r="AG204" i="176"/>
  <c r="AF204" i="176"/>
  <c r="AE204" i="176"/>
  <c r="W19" i="176"/>
  <c r="Z15" i="174"/>
  <c r="X19" i="176" s="1"/>
  <c r="AA15" i="174"/>
  <c r="Y19" i="176" s="1"/>
  <c r="W208" i="176"/>
  <c r="Z152" i="174"/>
  <c r="X208" i="176" s="1"/>
  <c r="S95" i="176"/>
  <c r="S25" i="176"/>
  <c r="S260" i="176"/>
  <c r="AF137" i="176"/>
  <c r="AE137" i="176"/>
  <c r="AD137" i="176"/>
  <c r="AC137" i="176"/>
  <c r="AJ137" i="176"/>
  <c r="AH137" i="176"/>
  <c r="AG137" i="176"/>
  <c r="AI137" i="176"/>
  <c r="Q68" i="176"/>
  <c r="AE103" i="176"/>
  <c r="AD103" i="176"/>
  <c r="AC103" i="176"/>
  <c r="AJ103" i="176"/>
  <c r="AH103" i="176"/>
  <c r="AI103" i="176"/>
  <c r="AG103" i="176"/>
  <c r="AF103" i="176"/>
  <c r="AD106" i="176"/>
  <c r="AC106" i="176"/>
  <c r="AJ106" i="176"/>
  <c r="AI106" i="176"/>
  <c r="AG106" i="176"/>
  <c r="AF106" i="176"/>
  <c r="AE106" i="176"/>
  <c r="AH106" i="176"/>
  <c r="W130" i="176"/>
  <c r="Z97" i="174"/>
  <c r="X130" i="176" s="1"/>
  <c r="W228" i="176"/>
  <c r="AA166" i="174"/>
  <c r="Y228" i="176" s="1"/>
  <c r="Z166" i="174"/>
  <c r="X228" i="176" s="1"/>
  <c r="N230" i="176"/>
  <c r="O175" i="174"/>
  <c r="W220" i="176"/>
  <c r="Z160" i="174"/>
  <c r="X220" i="176" s="1"/>
  <c r="W88" i="176"/>
  <c r="AA66" i="174"/>
  <c r="Y88" i="176" s="1"/>
  <c r="Z66" i="174"/>
  <c r="X88" i="176" s="1"/>
  <c r="Q164" i="176"/>
  <c r="N243" i="176"/>
  <c r="N20" i="176"/>
  <c r="R16" i="174"/>
  <c r="AE192" i="176"/>
  <c r="AI192" i="176"/>
  <c r="AJ192" i="176"/>
  <c r="AH192" i="176"/>
  <c r="AG192" i="176"/>
  <c r="AF192" i="176"/>
  <c r="AD192" i="176"/>
  <c r="AC192" i="176"/>
  <c r="T16" i="176"/>
  <c r="O12" i="174"/>
  <c r="AD267" i="176"/>
  <c r="AC267" i="176"/>
  <c r="N78" i="176"/>
  <c r="O71" i="174"/>
  <c r="C49" i="173" s="1"/>
  <c r="W96" i="176"/>
  <c r="Z72" i="174"/>
  <c r="X96" i="176" s="1"/>
  <c r="AD95" i="176"/>
  <c r="AC95" i="176"/>
  <c r="AD25" i="176"/>
  <c r="AC25" i="176"/>
  <c r="T181" i="176"/>
  <c r="AC135" i="174"/>
  <c r="AC72" i="176"/>
  <c r="AI72" i="176"/>
  <c r="AH72" i="176"/>
  <c r="AG72" i="176"/>
  <c r="AF72" i="176"/>
  <c r="AE72" i="176"/>
  <c r="AJ72" i="176"/>
  <c r="AD72" i="176"/>
  <c r="N178" i="176"/>
  <c r="Y132" i="174"/>
  <c r="R132" i="174"/>
  <c r="Q178" i="176" s="1"/>
  <c r="S219" i="176"/>
  <c r="W192" i="176"/>
  <c r="AA142" i="174"/>
  <c r="Y192" i="176" s="1"/>
  <c r="Z142" i="174"/>
  <c r="X192" i="176" s="1"/>
  <c r="AI87" i="176"/>
  <c r="AG87" i="176"/>
  <c r="AF87" i="176"/>
  <c r="AE87" i="176"/>
  <c r="AD87" i="176"/>
  <c r="AC87" i="176"/>
  <c r="AJ87" i="176"/>
  <c r="AH87" i="176"/>
  <c r="W263" i="176"/>
  <c r="Z185" i="174"/>
  <c r="X263" i="176" s="1"/>
  <c r="Q212" i="176"/>
  <c r="N35" i="176"/>
  <c r="O39" i="174"/>
  <c r="C46" i="173" s="1"/>
  <c r="N127" i="176"/>
  <c r="Q236" i="176"/>
  <c r="Q138" i="176"/>
  <c r="Y104" i="174"/>
  <c r="T30" i="176"/>
  <c r="O23" i="174"/>
  <c r="W188" i="176"/>
  <c r="AA138" i="174"/>
  <c r="Y188" i="176" s="1"/>
  <c r="Z138" i="174"/>
  <c r="X188" i="176" s="1"/>
  <c r="W200" i="176"/>
  <c r="AA146" i="174"/>
  <c r="Y200" i="176" s="1"/>
  <c r="Z146" i="174"/>
  <c r="X200" i="176" s="1"/>
  <c r="AD228" i="176"/>
  <c r="AC228" i="176"/>
  <c r="AJ228" i="176"/>
  <c r="AI228" i="176"/>
  <c r="AH228" i="176"/>
  <c r="AG228" i="176"/>
  <c r="AF228" i="176"/>
  <c r="AE228" i="176"/>
  <c r="W172" i="176"/>
  <c r="Z128" i="174"/>
  <c r="X172" i="176" s="1"/>
  <c r="Q248" i="176"/>
  <c r="W196" i="176"/>
  <c r="Z144" i="174"/>
  <c r="X196" i="176" s="1"/>
  <c r="AD86" i="176"/>
  <c r="AJ86" i="176"/>
  <c r="AI86" i="176"/>
  <c r="AH86" i="176"/>
  <c r="AG86" i="176"/>
  <c r="AF86" i="176"/>
  <c r="AE86" i="176"/>
  <c r="AC86" i="176"/>
  <c r="W12" i="176"/>
  <c r="Z9" i="174"/>
  <c r="X12" i="176" s="1"/>
  <c r="AE19" i="176"/>
  <c r="AD19" i="176"/>
  <c r="AC19" i="176"/>
  <c r="AJ19" i="176"/>
  <c r="AH19" i="176"/>
  <c r="AG19" i="176"/>
  <c r="AI19" i="176"/>
  <c r="AF19" i="176"/>
  <c r="W212" i="176"/>
  <c r="AA154" i="174"/>
  <c r="Y212" i="176" s="1"/>
  <c r="Z154" i="174"/>
  <c r="X212" i="176" s="1"/>
  <c r="W179" i="176"/>
  <c r="Z133" i="174"/>
  <c r="X179" i="176" s="1"/>
  <c r="AA133" i="174"/>
  <c r="Y179" i="176" s="1"/>
  <c r="A89" i="176"/>
  <c r="B68" i="174"/>
  <c r="A90" i="176" s="1"/>
  <c r="A91" i="176"/>
  <c r="W58" i="176"/>
  <c r="Z44" i="174"/>
  <c r="X58" i="176" s="1"/>
  <c r="AA44" i="174"/>
  <c r="Y58" i="176" s="1"/>
  <c r="N77" i="176"/>
  <c r="V59" i="174"/>
  <c r="S66" i="173"/>
  <c r="W236" i="176"/>
  <c r="AA170" i="174"/>
  <c r="Y236" i="176" s="1"/>
  <c r="Z170" i="174"/>
  <c r="X236" i="176" s="1"/>
  <c r="W68" i="176"/>
  <c r="AA50" i="174"/>
  <c r="Y68" i="176" s="1"/>
  <c r="Z50" i="174"/>
  <c r="X68" i="176" s="1"/>
  <c r="AC138" i="176"/>
  <c r="AJ138" i="176"/>
  <c r="AI138" i="176"/>
  <c r="AH138" i="176"/>
  <c r="AG138" i="176"/>
  <c r="AE138" i="176"/>
  <c r="AD138" i="176"/>
  <c r="AF138" i="176"/>
  <c r="S143" i="176"/>
  <c r="N250" i="176"/>
  <c r="S250" i="176"/>
  <c r="AF88" i="176"/>
  <c r="AD88" i="176"/>
  <c r="AC88" i="176"/>
  <c r="AJ88" i="176"/>
  <c r="AI88" i="176"/>
  <c r="AH88" i="176"/>
  <c r="AG88" i="176"/>
  <c r="AE88" i="176"/>
  <c r="W164" i="176"/>
  <c r="Z122" i="174"/>
  <c r="X164" i="176" s="1"/>
  <c r="AA122" i="174"/>
  <c r="Y164" i="176" s="1"/>
  <c r="AD207" i="176"/>
  <c r="AC207" i="176"/>
  <c r="Q224" i="176"/>
  <c r="W55" i="176"/>
  <c r="Y55" i="176"/>
  <c r="X55" i="176"/>
  <c r="O159" i="174"/>
  <c r="O47" i="174"/>
  <c r="C47" i="173" s="1"/>
  <c r="AD179" i="176"/>
  <c r="AC179" i="176"/>
  <c r="AJ179" i="176"/>
  <c r="AI179" i="176"/>
  <c r="AH179" i="176"/>
  <c r="AG179" i="176"/>
  <c r="AF179" i="176"/>
  <c r="AE179" i="176"/>
  <c r="W144" i="176"/>
  <c r="Z108" i="174"/>
  <c r="X144" i="176" s="1"/>
  <c r="N150" i="176"/>
  <c r="R112" i="174"/>
  <c r="Y112" i="174"/>
  <c r="W100" i="176"/>
  <c r="AA74" i="174"/>
  <c r="Y100" i="176" s="1"/>
  <c r="Z74" i="174"/>
  <c r="X100" i="176" s="1"/>
  <c r="S63" i="176"/>
  <c r="T59" i="174"/>
  <c r="S77" i="176" s="1"/>
  <c r="W84" i="176"/>
  <c r="AA62" i="174"/>
  <c r="Y84" i="176" s="1"/>
  <c r="Z62" i="174"/>
  <c r="X84" i="176" s="1"/>
  <c r="Q154" i="176"/>
  <c r="Y116" i="174"/>
  <c r="N251" i="176"/>
  <c r="W66" i="176"/>
  <c r="Z49" i="174"/>
  <c r="X66" i="176" s="1"/>
  <c r="S142" i="176"/>
  <c r="T119" i="174"/>
  <c r="S157" i="176" s="1"/>
  <c r="W248" i="176"/>
  <c r="AA178" i="174"/>
  <c r="Y248" i="176" s="1"/>
  <c r="Z178" i="174"/>
  <c r="X248" i="176" s="1"/>
  <c r="AD206" i="176"/>
  <c r="AC206" i="176"/>
  <c r="W135" i="176"/>
  <c r="AA101" i="174"/>
  <c r="Y135" i="176" s="1"/>
  <c r="Z101" i="174"/>
  <c r="X135" i="176" s="1"/>
  <c r="N202" i="176"/>
  <c r="Y148" i="174"/>
  <c r="R148" i="174"/>
  <c r="Q202" i="176" s="1"/>
  <c r="W28" i="176"/>
  <c r="X28" i="176"/>
  <c r="Q100" i="176"/>
  <c r="R83" i="174"/>
  <c r="D50" i="173" s="1"/>
  <c r="W146" i="176"/>
  <c r="Z109" i="174"/>
  <c r="X146" i="176" s="1"/>
  <c r="AC44" i="176"/>
  <c r="AJ44" i="176"/>
  <c r="AI44" i="176"/>
  <c r="AH44" i="176"/>
  <c r="AG44" i="176"/>
  <c r="AF44" i="176"/>
  <c r="AE44" i="176"/>
  <c r="AD44" i="176"/>
  <c r="AD63" i="176"/>
  <c r="AC63" i="176"/>
  <c r="W184" i="176"/>
  <c r="Z136" i="174"/>
  <c r="X184" i="176" s="1"/>
  <c r="AC153" i="176"/>
  <c r="AJ153" i="176"/>
  <c r="AH153" i="176"/>
  <c r="AE153" i="176"/>
  <c r="AD153" i="176"/>
  <c r="AG153" i="176"/>
  <c r="AF153" i="176"/>
  <c r="AI153" i="176"/>
  <c r="N79" i="176"/>
  <c r="AD218" i="176"/>
  <c r="AC218" i="176"/>
  <c r="Q41" i="176"/>
  <c r="W104" i="176"/>
  <c r="Z78" i="174"/>
  <c r="X104" i="176" s="1"/>
  <c r="AA78" i="174"/>
  <c r="Y104" i="176" s="1"/>
  <c r="W46" i="176"/>
  <c r="X46" i="176"/>
  <c r="Y46" i="176"/>
  <c r="N183" i="176"/>
  <c r="Q176" i="176"/>
  <c r="AJ58" i="176"/>
  <c r="AG58" i="176"/>
  <c r="AF58" i="176"/>
  <c r="AE58" i="176"/>
  <c r="AD58" i="176"/>
  <c r="AC58" i="176"/>
  <c r="AI58" i="176"/>
  <c r="AH58" i="176"/>
  <c r="W44" i="176"/>
  <c r="AA33" i="174"/>
  <c r="Y44" i="176" s="1"/>
  <c r="Z33" i="174"/>
  <c r="X44" i="176" s="1"/>
  <c r="W153" i="176"/>
  <c r="X153" i="176"/>
  <c r="Y153" i="176"/>
  <c r="N110" i="176"/>
  <c r="O95" i="174"/>
  <c r="C51" i="173" s="1"/>
  <c r="W105" i="176"/>
  <c r="Y105" i="176"/>
  <c r="X105" i="176"/>
  <c r="W112" i="176"/>
  <c r="Z84" i="174"/>
  <c r="X112" i="176" s="1"/>
  <c r="W73" i="176"/>
  <c r="X73" i="176"/>
  <c r="Y73" i="176"/>
  <c r="AH154" i="176"/>
  <c r="AG154" i="176"/>
  <c r="AE154" i="176"/>
  <c r="AJ154" i="176"/>
  <c r="AI154" i="176"/>
  <c r="AF154" i="176"/>
  <c r="AC154" i="176"/>
  <c r="AD154" i="176"/>
  <c r="N194" i="176"/>
  <c r="O151" i="174"/>
  <c r="S8" i="176"/>
  <c r="W41" i="176"/>
  <c r="AA30" i="174"/>
  <c r="Y41" i="176" s="1"/>
  <c r="Z30" i="174"/>
  <c r="X41" i="176" s="1"/>
  <c r="W136" i="176"/>
  <c r="AA102" i="174"/>
  <c r="Y136" i="176" s="1"/>
  <c r="Z102" i="174"/>
  <c r="X136" i="176" s="1"/>
  <c r="O119" i="174"/>
  <c r="AJ104" i="176"/>
  <c r="AI104" i="176"/>
  <c r="AH104" i="176"/>
  <c r="AG104" i="176"/>
  <c r="AE104" i="176"/>
  <c r="AD104" i="176"/>
  <c r="AF104" i="176"/>
  <c r="AC104" i="176"/>
  <c r="AH46" i="176"/>
  <c r="AE46" i="176"/>
  <c r="AD46" i="176"/>
  <c r="AC46" i="176"/>
  <c r="AJ46" i="176"/>
  <c r="AF46" i="176"/>
  <c r="AI46" i="176"/>
  <c r="AG46" i="176"/>
  <c r="W240" i="176"/>
  <c r="AA174" i="174"/>
  <c r="Y240" i="176" s="1"/>
  <c r="Z174" i="174"/>
  <c r="X240" i="176" s="1"/>
  <c r="N231" i="176"/>
  <c r="W224" i="176"/>
  <c r="AA162" i="174"/>
  <c r="Y224" i="176" s="1"/>
  <c r="Z162" i="174"/>
  <c r="X224" i="176" s="1"/>
  <c r="N226" i="176"/>
  <c r="R164" i="174"/>
  <c r="Q226" i="176" s="1"/>
  <c r="Y164" i="174"/>
  <c r="AD51" i="176"/>
  <c r="AC51" i="176"/>
  <c r="W18" i="176"/>
  <c r="AA14" i="174"/>
  <c r="Y18" i="176" s="1"/>
  <c r="Z14" i="174"/>
  <c r="X18" i="176" s="1"/>
  <c r="W176" i="176"/>
  <c r="Z130" i="174"/>
  <c r="X176" i="176" s="1"/>
  <c r="AA130" i="174"/>
  <c r="Y176" i="176" s="1"/>
  <c r="W160" i="176"/>
  <c r="Z120" i="174"/>
  <c r="X160" i="176" s="1"/>
  <c r="W45" i="176"/>
  <c r="Z34" i="174"/>
  <c r="X45" i="176" s="1"/>
  <c r="AA34" i="174"/>
  <c r="Y45" i="176" s="1"/>
  <c r="W7" i="176"/>
  <c r="X7" i="176"/>
  <c r="N171" i="176"/>
  <c r="AC118" i="176" l="1"/>
  <c r="AE118" i="176"/>
  <c r="AG118" i="176"/>
  <c r="AA88" i="174"/>
  <c r="Y118" i="176" s="1"/>
  <c r="AF118" i="176"/>
  <c r="AD118" i="176"/>
  <c r="AI118" i="176"/>
  <c r="AH118" i="176"/>
  <c r="Z88" i="174"/>
  <c r="X118" i="176" s="1"/>
  <c r="U198" i="174"/>
  <c r="F48" i="173"/>
  <c r="AH70" i="176"/>
  <c r="AJ70" i="176"/>
  <c r="AC70" i="176"/>
  <c r="AD70" i="176"/>
  <c r="AE70" i="176"/>
  <c r="AF70" i="176"/>
  <c r="AA229" i="176"/>
  <c r="AG70" i="176"/>
  <c r="E50" i="173"/>
  <c r="C72" i="173" s="1"/>
  <c r="D72" i="173" s="1"/>
  <c r="I70" i="173" s="1"/>
  <c r="K70" i="173" s="1"/>
  <c r="AD260" i="176"/>
  <c r="AD268" i="176"/>
  <c r="M45" i="173"/>
  <c r="I66" i="173" s="1"/>
  <c r="Z192" i="174"/>
  <c r="X275" i="176" s="1"/>
  <c r="AA192" i="174"/>
  <c r="Y275" i="176" s="1"/>
  <c r="E58" i="173"/>
  <c r="C80" i="173" s="1"/>
  <c r="D80" i="173" s="1"/>
  <c r="AA217" i="176"/>
  <c r="E51" i="173"/>
  <c r="C73" i="173" s="1"/>
  <c r="D73" i="173" s="1"/>
  <c r="I71" i="173" s="1"/>
  <c r="K71" i="173" s="1"/>
  <c r="Q125" i="176"/>
  <c r="D51" i="173"/>
  <c r="N109" i="176"/>
  <c r="C50" i="173"/>
  <c r="S68" i="173" s="1"/>
  <c r="M70" i="173" s="1"/>
  <c r="E49" i="173"/>
  <c r="C71" i="173" s="1"/>
  <c r="D71" i="173" s="1"/>
  <c r="I75" i="173" s="1"/>
  <c r="K75" i="173" s="1"/>
  <c r="Z52" i="174"/>
  <c r="X70" i="176" s="1"/>
  <c r="E48" i="173"/>
  <c r="C70" i="173" s="1"/>
  <c r="D70" i="173" s="1"/>
  <c r="E47" i="173"/>
  <c r="C69" i="173" s="1"/>
  <c r="D69" i="173" s="1"/>
  <c r="E46" i="173"/>
  <c r="C68" i="173" s="1"/>
  <c r="D68" i="173" s="1"/>
  <c r="I74" i="173" s="1"/>
  <c r="K74" i="173" s="1"/>
  <c r="R193" i="174"/>
  <c r="AA241" i="176"/>
  <c r="E57" i="173"/>
  <c r="C79" i="173" s="1"/>
  <c r="D79" i="173" s="1"/>
  <c r="AA193" i="176"/>
  <c r="E53" i="173"/>
  <c r="C75" i="173" s="1"/>
  <c r="D75" i="173" s="1"/>
  <c r="AA125" i="176"/>
  <c r="AA93" i="176"/>
  <c r="Z64" i="174"/>
  <c r="X86" i="176" s="1"/>
  <c r="K67" i="173"/>
  <c r="W102" i="176"/>
  <c r="Z140" i="174"/>
  <c r="X190" i="176" s="1"/>
  <c r="W142" i="176"/>
  <c r="R39" i="174"/>
  <c r="AC142" i="176"/>
  <c r="AG43" i="176"/>
  <c r="AH43" i="176"/>
  <c r="W47" i="176"/>
  <c r="AA52" i="174"/>
  <c r="Y70" i="176" s="1"/>
  <c r="R59" i="174"/>
  <c r="AJ43" i="176"/>
  <c r="AA32" i="174"/>
  <c r="Y43" i="176" s="1"/>
  <c r="W51" i="176"/>
  <c r="AC43" i="176"/>
  <c r="AD43" i="176"/>
  <c r="AI43" i="176"/>
  <c r="AE43" i="176"/>
  <c r="W52" i="176"/>
  <c r="Y28" i="176"/>
  <c r="Z76" i="174"/>
  <c r="X102" i="176" s="1"/>
  <c r="Z92" i="174"/>
  <c r="X122" i="176" s="1"/>
  <c r="W122" i="176"/>
  <c r="X253" i="176"/>
  <c r="AA36" i="174"/>
  <c r="Y47" i="176" s="1"/>
  <c r="T159" i="174"/>
  <c r="S217" i="176" s="1"/>
  <c r="S206" i="176"/>
  <c r="AC143" i="176"/>
  <c r="W207" i="176"/>
  <c r="T167" i="174"/>
  <c r="S229" i="176" s="1"/>
  <c r="W206" i="176"/>
  <c r="T19" i="174"/>
  <c r="S23" i="176" s="1"/>
  <c r="Y51" i="176"/>
  <c r="AG28" i="176"/>
  <c r="AF28" i="176"/>
  <c r="AE28" i="176"/>
  <c r="AF26" i="176"/>
  <c r="AE26" i="176"/>
  <c r="AG26" i="176"/>
  <c r="T47" i="174"/>
  <c r="S61" i="176" s="1"/>
  <c r="AF102" i="176"/>
  <c r="AJ102" i="176"/>
  <c r="AD102" i="176"/>
  <c r="AC102" i="176"/>
  <c r="AH102" i="176"/>
  <c r="AI102" i="176"/>
  <c r="AD52" i="176"/>
  <c r="AE102" i="176"/>
  <c r="C59" i="173"/>
  <c r="N229" i="176"/>
  <c r="X218" i="176"/>
  <c r="AA64" i="174"/>
  <c r="Y86" i="176" s="1"/>
  <c r="AA140" i="174"/>
  <c r="Y190" i="176" s="1"/>
  <c r="AC219" i="176"/>
  <c r="AH190" i="176"/>
  <c r="AI190" i="176"/>
  <c r="AC190" i="176"/>
  <c r="AE190" i="176"/>
  <c r="V83" i="174"/>
  <c r="AG190" i="176"/>
  <c r="AD190" i="176"/>
  <c r="AF190" i="176"/>
  <c r="E56" i="173"/>
  <c r="C78" i="173" s="1"/>
  <c r="D78" i="173" s="1"/>
  <c r="X267" i="176"/>
  <c r="E60" i="173"/>
  <c r="C82" i="173" s="1"/>
  <c r="D82" i="173" s="1"/>
  <c r="T83" i="174"/>
  <c r="S109" i="176" s="1"/>
  <c r="AA205" i="176"/>
  <c r="AA157" i="176"/>
  <c r="R71" i="174"/>
  <c r="W14" i="176"/>
  <c r="Q95" i="174"/>
  <c r="P125" i="176" s="1"/>
  <c r="AA10" i="174"/>
  <c r="Y14" i="176" s="1"/>
  <c r="AC259" i="176"/>
  <c r="AD259" i="176"/>
  <c r="R107" i="174"/>
  <c r="Q107" i="174" s="1"/>
  <c r="P141" i="176" s="1"/>
  <c r="AE134" i="176"/>
  <c r="AD134" i="176"/>
  <c r="AG134" i="176"/>
  <c r="AC134" i="176"/>
  <c r="AI134" i="176"/>
  <c r="AH134" i="176"/>
  <c r="AJ134" i="176"/>
  <c r="AF134" i="176"/>
  <c r="W134" i="176"/>
  <c r="Z100" i="174"/>
  <c r="X134" i="176" s="1"/>
  <c r="AA100" i="174"/>
  <c r="Y134" i="176" s="1"/>
  <c r="Z68" i="174"/>
  <c r="X90" i="176" s="1"/>
  <c r="AA68" i="174"/>
  <c r="Y90" i="176" s="1"/>
  <c r="W90" i="176"/>
  <c r="R127" i="174"/>
  <c r="Q169" i="176" s="1"/>
  <c r="AG31" i="176"/>
  <c r="AF31" i="176"/>
  <c r="AE31" i="176"/>
  <c r="AD31" i="176"/>
  <c r="AJ31" i="176"/>
  <c r="AI31" i="176"/>
  <c r="AH31" i="176"/>
  <c r="AC31" i="176"/>
  <c r="Q31" i="176"/>
  <c r="AA24" i="174"/>
  <c r="Y31" i="176" s="1"/>
  <c r="R175" i="174"/>
  <c r="D60" i="173" s="1"/>
  <c r="T27" i="174"/>
  <c r="S34" i="176" s="1"/>
  <c r="Y119" i="174"/>
  <c r="S36" i="176"/>
  <c r="Y39" i="174"/>
  <c r="AD36" i="176"/>
  <c r="AC36" i="176"/>
  <c r="W26" i="176"/>
  <c r="Y26" i="176"/>
  <c r="X26" i="176"/>
  <c r="AH32" i="176"/>
  <c r="AE32" i="176"/>
  <c r="AD32" i="176"/>
  <c r="AF32" i="176"/>
  <c r="AC32" i="176"/>
  <c r="AG32" i="176"/>
  <c r="AJ32" i="176"/>
  <c r="AI32" i="176"/>
  <c r="AD94" i="176"/>
  <c r="AC94" i="176"/>
  <c r="W32" i="176"/>
  <c r="AA25" i="174"/>
  <c r="Y32" i="176" s="1"/>
  <c r="Z25" i="174"/>
  <c r="X32" i="176" s="1"/>
  <c r="R135" i="174"/>
  <c r="Q181" i="176" s="1"/>
  <c r="W9" i="176"/>
  <c r="X9" i="176"/>
  <c r="R151" i="174"/>
  <c r="Q205" i="176" s="1"/>
  <c r="R47" i="174"/>
  <c r="D47" i="173" s="1"/>
  <c r="X24" i="176"/>
  <c r="W24" i="176"/>
  <c r="Y24" i="176"/>
  <c r="W94" i="176"/>
  <c r="X94" i="176"/>
  <c r="AD24" i="176"/>
  <c r="AC24" i="176"/>
  <c r="S231" i="176"/>
  <c r="T34" i="176"/>
  <c r="AC27" i="174"/>
  <c r="AD127" i="176"/>
  <c r="AC127" i="176"/>
  <c r="AG178" i="176"/>
  <c r="AF178" i="176"/>
  <c r="AE178" i="176"/>
  <c r="AD178" i="176"/>
  <c r="AC178" i="176"/>
  <c r="AJ178" i="176"/>
  <c r="AI178" i="176"/>
  <c r="AH178" i="176"/>
  <c r="T23" i="176"/>
  <c r="AC19" i="174"/>
  <c r="W238" i="176"/>
  <c r="AA172" i="174"/>
  <c r="Y238" i="176" s="1"/>
  <c r="Z172" i="174"/>
  <c r="X238" i="176" s="1"/>
  <c r="S242" i="176"/>
  <c r="T193" i="174"/>
  <c r="AD159" i="176"/>
  <c r="AC159" i="176"/>
  <c r="AD158" i="176"/>
  <c r="AC158" i="176"/>
  <c r="AD231" i="176"/>
  <c r="AC231" i="176"/>
  <c r="W110" i="176"/>
  <c r="X110" i="176"/>
  <c r="N217" i="176"/>
  <c r="V159" i="174"/>
  <c r="C58" i="173"/>
  <c r="U77" i="176"/>
  <c r="T276" i="176"/>
  <c r="N30" i="176"/>
  <c r="Y23" i="174"/>
  <c r="R23" i="174"/>
  <c r="N50" i="176"/>
  <c r="V39" i="174"/>
  <c r="M74" i="173"/>
  <c r="W219" i="176"/>
  <c r="X219" i="176"/>
  <c r="AA181" i="176"/>
  <c r="E55" i="173"/>
  <c r="C77" i="173" s="1"/>
  <c r="D77" i="173" s="1"/>
  <c r="N16" i="176"/>
  <c r="R12" i="174"/>
  <c r="Y12" i="174"/>
  <c r="O19" i="174"/>
  <c r="C44" i="173" s="1"/>
  <c r="AA50" i="176"/>
  <c r="W106" i="176"/>
  <c r="Z80" i="174"/>
  <c r="X106" i="176" s="1"/>
  <c r="AA80" i="174"/>
  <c r="Y106" i="176" s="1"/>
  <c r="W242" i="176"/>
  <c r="X242" i="176"/>
  <c r="AD194" i="176"/>
  <c r="AC194" i="176"/>
  <c r="AD183" i="176"/>
  <c r="AC183" i="176"/>
  <c r="W63" i="176"/>
  <c r="X63" i="176"/>
  <c r="Y59" i="174"/>
  <c r="W178" i="176"/>
  <c r="AA132" i="174"/>
  <c r="Y178" i="176" s="1"/>
  <c r="Z132" i="174"/>
  <c r="X178" i="176" s="1"/>
  <c r="W226" i="176"/>
  <c r="AA164" i="174"/>
  <c r="Y226" i="176" s="1"/>
  <c r="Z164" i="174"/>
  <c r="X226" i="176" s="1"/>
  <c r="S79" i="176"/>
  <c r="Y71" i="174"/>
  <c r="N61" i="176"/>
  <c r="V47" i="174"/>
  <c r="S230" i="176"/>
  <c r="T175" i="174"/>
  <c r="S241" i="176" s="1"/>
  <c r="S171" i="176"/>
  <c r="N157" i="176"/>
  <c r="V119" i="174"/>
  <c r="C53" i="173"/>
  <c r="S71" i="173" s="1"/>
  <c r="AC110" i="176"/>
  <c r="AD110" i="176"/>
  <c r="AD79" i="176"/>
  <c r="AC79" i="176"/>
  <c r="R167" i="174"/>
  <c r="W250" i="176"/>
  <c r="X250" i="176"/>
  <c r="Y167" i="174"/>
  <c r="W138" i="176"/>
  <c r="AA104" i="174"/>
  <c r="Y138" i="176" s="1"/>
  <c r="Z104" i="174"/>
  <c r="X138" i="176" s="1"/>
  <c r="S35" i="176"/>
  <c r="T39" i="174"/>
  <c r="S50" i="176" s="1"/>
  <c r="R159" i="174"/>
  <c r="N93" i="176"/>
  <c r="V71" i="174"/>
  <c r="Q20" i="176"/>
  <c r="Y16" i="174"/>
  <c r="S243" i="176"/>
  <c r="W230" i="176"/>
  <c r="X230" i="176"/>
  <c r="S182" i="176"/>
  <c r="T143" i="174"/>
  <c r="S193" i="176" s="1"/>
  <c r="AG166" i="176"/>
  <c r="AF166" i="176"/>
  <c r="AE166" i="176"/>
  <c r="AD166" i="176"/>
  <c r="AJ166" i="176"/>
  <c r="AH166" i="176"/>
  <c r="AC166" i="176"/>
  <c r="AI166" i="176"/>
  <c r="W126" i="176"/>
  <c r="X126" i="176"/>
  <c r="W25" i="176"/>
  <c r="Y25" i="176"/>
  <c r="X25" i="176"/>
  <c r="S110" i="176"/>
  <c r="T95" i="174"/>
  <c r="S125" i="176" s="1"/>
  <c r="AJ226" i="176"/>
  <c r="AI226" i="176"/>
  <c r="AG226" i="176"/>
  <c r="AF226" i="176"/>
  <c r="AE226" i="176"/>
  <c r="AD226" i="176"/>
  <c r="AC226" i="176"/>
  <c r="AH226" i="176"/>
  <c r="W35" i="176"/>
  <c r="X35" i="176"/>
  <c r="W78" i="176"/>
  <c r="X78" i="176"/>
  <c r="W95" i="176"/>
  <c r="X95" i="176"/>
  <c r="Y83" i="174"/>
  <c r="Q193" i="176"/>
  <c r="Q143" i="174"/>
  <c r="P193" i="176" s="1"/>
  <c r="D56" i="173"/>
  <c r="AI238" i="176"/>
  <c r="AH238" i="176"/>
  <c r="AC238" i="176"/>
  <c r="AJ238" i="176"/>
  <c r="AG238" i="176"/>
  <c r="AF238" i="176"/>
  <c r="AE238" i="176"/>
  <c r="AD238" i="176"/>
  <c r="AD242" i="176"/>
  <c r="AC242" i="176"/>
  <c r="AA61" i="176"/>
  <c r="W166" i="176"/>
  <c r="AA124" i="174"/>
  <c r="Y166" i="176" s="1"/>
  <c r="Z124" i="174"/>
  <c r="X166" i="176" s="1"/>
  <c r="AA169" i="176"/>
  <c r="E54" i="173"/>
  <c r="C76" i="173" s="1"/>
  <c r="D76" i="173" s="1"/>
  <c r="AD171" i="176"/>
  <c r="AC171" i="176"/>
  <c r="S194" i="176"/>
  <c r="T151" i="174"/>
  <c r="S205" i="176" s="1"/>
  <c r="W202" i="176"/>
  <c r="AA148" i="174"/>
  <c r="Y202" i="176" s="1"/>
  <c r="Z148" i="174"/>
  <c r="X202" i="176" s="1"/>
  <c r="S251" i="176"/>
  <c r="AC250" i="176"/>
  <c r="AD250" i="176"/>
  <c r="AC35" i="176"/>
  <c r="AD35" i="176"/>
  <c r="S78" i="176"/>
  <c r="T71" i="174"/>
  <c r="S93" i="176" s="1"/>
  <c r="AJ20" i="176"/>
  <c r="AI20" i="176"/>
  <c r="AH20" i="176"/>
  <c r="AG20" i="176"/>
  <c r="AE20" i="176"/>
  <c r="AD20" i="176"/>
  <c r="AF20" i="176"/>
  <c r="AC20" i="176"/>
  <c r="AC243" i="176"/>
  <c r="AD243" i="176"/>
  <c r="N241" i="176"/>
  <c r="V175" i="174"/>
  <c r="C60" i="173"/>
  <c r="W182" i="176"/>
  <c r="X182" i="176"/>
  <c r="S170" i="176"/>
  <c r="T135" i="174"/>
  <c r="S181" i="176" s="1"/>
  <c r="N141" i="176"/>
  <c r="V107" i="174"/>
  <c r="C52" i="173"/>
  <c r="S70" i="173" s="1"/>
  <c r="M72" i="173" s="1"/>
  <c r="AD150" i="176"/>
  <c r="AC150" i="176"/>
  <c r="AI150" i="176"/>
  <c r="AJ150" i="176"/>
  <c r="AH150" i="176"/>
  <c r="AG150" i="176"/>
  <c r="AF150" i="176"/>
  <c r="AE150" i="176"/>
  <c r="S127" i="176"/>
  <c r="AJ202" i="176"/>
  <c r="AI202" i="176"/>
  <c r="AH202" i="176"/>
  <c r="AG202" i="176"/>
  <c r="AF202" i="176"/>
  <c r="AE202" i="176"/>
  <c r="AD202" i="176"/>
  <c r="AC202" i="176"/>
  <c r="AC251" i="176"/>
  <c r="AD251" i="176"/>
  <c r="AD78" i="176"/>
  <c r="AC78" i="176"/>
  <c r="AD230" i="176"/>
  <c r="AC230" i="176"/>
  <c r="W260" i="176"/>
  <c r="X260" i="176"/>
  <c r="W57" i="176"/>
  <c r="AA43" i="174"/>
  <c r="Y57" i="176" s="1"/>
  <c r="Z43" i="174"/>
  <c r="X57" i="176" s="1"/>
  <c r="S195" i="176"/>
  <c r="Y151" i="174"/>
  <c r="N193" i="176"/>
  <c r="V143" i="174"/>
  <c r="C56" i="173"/>
  <c r="S111" i="176"/>
  <c r="W170" i="176"/>
  <c r="X170" i="176"/>
  <c r="S158" i="176"/>
  <c r="T127" i="174"/>
  <c r="S169" i="176" s="1"/>
  <c r="S126" i="176"/>
  <c r="T107" i="174"/>
  <c r="S141" i="176" s="1"/>
  <c r="N125" i="176"/>
  <c r="V95" i="174"/>
  <c r="S69" i="173"/>
  <c r="M71" i="173" s="1"/>
  <c r="W194" i="176"/>
  <c r="X194" i="176"/>
  <c r="W150" i="176"/>
  <c r="AA112" i="174"/>
  <c r="Y150" i="176" s="1"/>
  <c r="Z112" i="174"/>
  <c r="X150" i="176" s="1"/>
  <c r="W143" i="176"/>
  <c r="X143" i="176"/>
  <c r="N205" i="176"/>
  <c r="V151" i="174"/>
  <c r="C57" i="173"/>
  <c r="S183" i="176"/>
  <c r="Y143" i="174"/>
  <c r="Z282" i="176"/>
  <c r="M9" i="173"/>
  <c r="Q109" i="176"/>
  <c r="Q83" i="174"/>
  <c r="P109" i="176" s="1"/>
  <c r="W154" i="176"/>
  <c r="Z116" i="174"/>
  <c r="X154" i="176" s="1"/>
  <c r="AA116" i="174"/>
  <c r="Y154" i="176" s="1"/>
  <c r="U229" i="176"/>
  <c r="F59" i="173"/>
  <c r="Q150" i="176"/>
  <c r="R119" i="174"/>
  <c r="AE57" i="176"/>
  <c r="AJ57" i="176"/>
  <c r="AI57" i="176"/>
  <c r="AH57" i="176"/>
  <c r="AG57" i="176"/>
  <c r="AF57" i="176"/>
  <c r="AD57" i="176"/>
  <c r="AC57" i="176"/>
  <c r="AD195" i="176"/>
  <c r="AC195" i="176"/>
  <c r="AC182" i="176"/>
  <c r="AD182" i="176"/>
  <c r="AC111" i="176"/>
  <c r="AD111" i="176"/>
  <c r="N181" i="176"/>
  <c r="V135" i="174"/>
  <c r="C55" i="173"/>
  <c r="W158" i="176"/>
  <c r="X158" i="176"/>
  <c r="W214" i="176"/>
  <c r="AA156" i="174"/>
  <c r="Y214" i="176" s="1"/>
  <c r="Z156" i="174"/>
  <c r="X214" i="176" s="1"/>
  <c r="AD126" i="176"/>
  <c r="AC126" i="176"/>
  <c r="N276" i="176"/>
  <c r="V193" i="174"/>
  <c r="C61" i="173"/>
  <c r="S159" i="176"/>
  <c r="Y127" i="174"/>
  <c r="AD170" i="176"/>
  <c r="AC170" i="176"/>
  <c r="N169" i="176"/>
  <c r="V127" i="174"/>
  <c r="C54" i="173"/>
  <c r="W268" i="176"/>
  <c r="X268" i="176"/>
  <c r="AI214" i="176"/>
  <c r="AH214" i="176"/>
  <c r="AG214" i="176"/>
  <c r="AF214" i="176"/>
  <c r="AE214" i="176"/>
  <c r="AD214" i="176"/>
  <c r="AC214" i="176"/>
  <c r="AJ214" i="176"/>
  <c r="T198" i="174" l="1"/>
  <c r="Y19" i="174"/>
  <c r="F51" i="173"/>
  <c r="N71" i="173" s="1"/>
  <c r="F49" i="173"/>
  <c r="N75" i="173" s="1"/>
  <c r="F47" i="173"/>
  <c r="F46" i="173"/>
  <c r="N74" i="173" s="1"/>
  <c r="Q193" i="174"/>
  <c r="P276" i="176" s="1"/>
  <c r="I68" i="173"/>
  <c r="K68" i="173" s="1"/>
  <c r="K66" i="173"/>
  <c r="D61" i="173"/>
  <c r="Q276" i="176"/>
  <c r="U109" i="176"/>
  <c r="F50" i="173"/>
  <c r="N70" i="173" s="1"/>
  <c r="Q93" i="176"/>
  <c r="D49" i="173"/>
  <c r="Q77" i="176"/>
  <c r="D48" i="173"/>
  <c r="Q50" i="176"/>
  <c r="D46" i="173"/>
  <c r="E45" i="173"/>
  <c r="C67" i="173" s="1"/>
  <c r="D67" i="173" s="1"/>
  <c r="E44" i="173"/>
  <c r="C66" i="173" s="1"/>
  <c r="D66" i="173" s="1"/>
  <c r="I73" i="173" s="1"/>
  <c r="K73" i="173" s="1"/>
  <c r="Q39" i="174"/>
  <c r="P50" i="176" s="1"/>
  <c r="S67" i="173"/>
  <c r="M75" i="173"/>
  <c r="Q59" i="174"/>
  <c r="P77" i="176" s="1"/>
  <c r="Y52" i="176"/>
  <c r="Y47" i="174"/>
  <c r="W61" i="176" s="1"/>
  <c r="X52" i="176"/>
  <c r="X207" i="176"/>
  <c r="Y159" i="174"/>
  <c r="Z159" i="174" s="1"/>
  <c r="X217" i="176" s="1"/>
  <c r="Q71" i="174"/>
  <c r="P93" i="176" s="1"/>
  <c r="D54" i="173"/>
  <c r="Q127" i="174"/>
  <c r="P169" i="176" s="1"/>
  <c r="Q241" i="176"/>
  <c r="Q141" i="176"/>
  <c r="D52" i="173"/>
  <c r="W157" i="176"/>
  <c r="Z119" i="174"/>
  <c r="X157" i="176" s="1"/>
  <c r="D57" i="173"/>
  <c r="Q61" i="176"/>
  <c r="D55" i="173"/>
  <c r="Q135" i="174"/>
  <c r="P181" i="176" s="1"/>
  <c r="Q47" i="174"/>
  <c r="P61" i="176" s="1"/>
  <c r="Q175" i="174"/>
  <c r="P241" i="176" s="1"/>
  <c r="Q151" i="174"/>
  <c r="P205" i="176" s="1"/>
  <c r="W36" i="176"/>
  <c r="X36" i="176"/>
  <c r="W205" i="176"/>
  <c r="AA151" i="174"/>
  <c r="Y205" i="176" s="1"/>
  <c r="Z151" i="174"/>
  <c r="X205" i="176" s="1"/>
  <c r="U181" i="176"/>
  <c r="F55" i="173"/>
  <c r="W111" i="176"/>
  <c r="X111" i="176"/>
  <c r="W127" i="176"/>
  <c r="X127" i="176"/>
  <c r="W193" i="176"/>
  <c r="AA143" i="174"/>
  <c r="Y193" i="176" s="1"/>
  <c r="Z143" i="174"/>
  <c r="X193" i="176" s="1"/>
  <c r="W20" i="176"/>
  <c r="AA16" i="174"/>
  <c r="Y20" i="176" s="1"/>
  <c r="Z16" i="174"/>
  <c r="X20" i="176" s="1"/>
  <c r="W229" i="176"/>
  <c r="AA167" i="174"/>
  <c r="Y229" i="176" s="1"/>
  <c r="Z167" i="174"/>
  <c r="X229" i="176" s="1"/>
  <c r="N23" i="176"/>
  <c r="V19" i="174"/>
  <c r="F44" i="173" s="1"/>
  <c r="M73" i="173"/>
  <c r="T282" i="176"/>
  <c r="AC198" i="174"/>
  <c r="G9" i="173"/>
  <c r="G12" i="173" s="1"/>
  <c r="Y95" i="174"/>
  <c r="S276" i="176"/>
  <c r="AA23" i="176"/>
  <c r="W231" i="176"/>
  <c r="X231" i="176"/>
  <c r="W159" i="176"/>
  <c r="X159" i="176"/>
  <c r="U205" i="176"/>
  <c r="F57" i="173"/>
  <c r="Y175" i="174"/>
  <c r="U157" i="176"/>
  <c r="F53" i="173"/>
  <c r="U61" i="176"/>
  <c r="W16" i="176"/>
  <c r="AA12" i="174"/>
  <c r="Y16" i="176" s="1"/>
  <c r="Z12" i="174"/>
  <c r="X16" i="176" s="1"/>
  <c r="U50" i="176"/>
  <c r="Q157" i="176"/>
  <c r="D53" i="173"/>
  <c r="Q119" i="174"/>
  <c r="P157" i="176" s="1"/>
  <c r="W93" i="176"/>
  <c r="AA71" i="174"/>
  <c r="Y93" i="176" s="1"/>
  <c r="Z71" i="174"/>
  <c r="X93" i="176" s="1"/>
  <c r="AF16" i="176"/>
  <c r="AE16" i="176"/>
  <c r="AD16" i="176"/>
  <c r="AC16" i="176"/>
  <c r="AI16" i="176"/>
  <c r="AH16" i="176"/>
  <c r="AJ16" i="176"/>
  <c r="AG16" i="176"/>
  <c r="U276" i="176"/>
  <c r="F61" i="173"/>
  <c r="W169" i="176"/>
  <c r="AA127" i="174"/>
  <c r="Y169" i="176" s="1"/>
  <c r="Z127" i="174"/>
  <c r="X169" i="176" s="1"/>
  <c r="M12" i="173"/>
  <c r="Q30" i="176"/>
  <c r="Q217" i="176"/>
  <c r="D58" i="173"/>
  <c r="Q159" i="174"/>
  <c r="P217" i="176" s="1"/>
  <c r="Q16" i="176"/>
  <c r="R19" i="174"/>
  <c r="D44" i="173" s="1"/>
  <c r="U141" i="176"/>
  <c r="F52" i="173"/>
  <c r="N72" i="173" s="1"/>
  <c r="U241" i="176"/>
  <c r="F60" i="173"/>
  <c r="Q229" i="176"/>
  <c r="Q167" i="174"/>
  <c r="P229" i="176" s="1"/>
  <c r="D59" i="173"/>
  <c r="W171" i="176"/>
  <c r="X171" i="176"/>
  <c r="U169" i="176"/>
  <c r="F54" i="173"/>
  <c r="W195" i="176"/>
  <c r="X195" i="176"/>
  <c r="W251" i="176"/>
  <c r="X251" i="176"/>
  <c r="W50" i="176"/>
  <c r="AA39" i="174"/>
  <c r="Y50" i="176" s="1"/>
  <c r="Z39" i="174"/>
  <c r="X50" i="176" s="1"/>
  <c r="Y107" i="174"/>
  <c r="W30" i="176"/>
  <c r="AA23" i="174"/>
  <c r="Y30" i="176" s="1"/>
  <c r="Z23" i="174"/>
  <c r="X30" i="176" s="1"/>
  <c r="U217" i="176"/>
  <c r="F58" i="173"/>
  <c r="U193" i="176"/>
  <c r="F56" i="173"/>
  <c r="W79" i="176"/>
  <c r="X79" i="176"/>
  <c r="W183" i="176"/>
  <c r="X183" i="176"/>
  <c r="Y135" i="174"/>
  <c r="W109" i="176"/>
  <c r="AA83" i="174"/>
  <c r="Y109" i="176" s="1"/>
  <c r="Z83" i="174"/>
  <c r="X109" i="176" s="1"/>
  <c r="W243" i="176"/>
  <c r="X243" i="176"/>
  <c r="W77" i="176"/>
  <c r="AA59" i="174"/>
  <c r="Y77" i="176" s="1"/>
  <c r="Z59" i="174"/>
  <c r="X77" i="176" s="1"/>
  <c r="Y193" i="174"/>
  <c r="AJ30" i="176"/>
  <c r="AI30" i="176"/>
  <c r="AH30" i="176"/>
  <c r="AG30" i="176"/>
  <c r="AE30" i="176"/>
  <c r="AD30" i="176"/>
  <c r="AF30" i="176"/>
  <c r="AC30" i="176"/>
  <c r="AA34" i="176"/>
  <c r="AA119" i="174"/>
  <c r="Y157" i="176" s="1"/>
  <c r="U93" i="176"/>
  <c r="U125" i="176"/>
  <c r="AA276" i="176"/>
  <c r="E61" i="173"/>
  <c r="AA282" i="176" l="1"/>
  <c r="AA47" i="174"/>
  <c r="Y61" i="176" s="1"/>
  <c r="Z47" i="174"/>
  <c r="X61" i="176" s="1"/>
  <c r="AA159" i="174"/>
  <c r="Y217" i="176" s="1"/>
  <c r="W217" i="176"/>
  <c r="AG282" i="176"/>
  <c r="AE282" i="176"/>
  <c r="AC282" i="176"/>
  <c r="W276" i="176"/>
  <c r="AA193" i="174"/>
  <c r="Y276" i="176" s="1"/>
  <c r="Z193" i="174"/>
  <c r="X276" i="176" s="1"/>
  <c r="AF282" i="176"/>
  <c r="W141" i="176"/>
  <c r="Z107" i="174"/>
  <c r="X141" i="176" s="1"/>
  <c r="AA107" i="174"/>
  <c r="Y141" i="176" s="1"/>
  <c r="W23" i="176"/>
  <c r="Z19" i="174"/>
  <c r="X23" i="176" s="1"/>
  <c r="AA19" i="174"/>
  <c r="Y23" i="176" s="1"/>
  <c r="W241" i="176"/>
  <c r="AA175" i="174"/>
  <c r="Y241" i="176" s="1"/>
  <c r="Z175" i="174"/>
  <c r="X241" i="176" s="1"/>
  <c r="U23" i="176"/>
  <c r="N73" i="173"/>
  <c r="AD282" i="176"/>
  <c r="Q23" i="176"/>
  <c r="Q19" i="174"/>
  <c r="P23" i="176" s="1"/>
  <c r="AJ282" i="176"/>
  <c r="S282" i="176"/>
  <c r="F9" i="173"/>
  <c r="AH282" i="176"/>
  <c r="AI282" i="176"/>
  <c r="W125" i="176"/>
  <c r="Z95" i="174"/>
  <c r="X125" i="176" s="1"/>
  <c r="AA95" i="174"/>
  <c r="Y125" i="176" s="1"/>
  <c r="W181" i="176"/>
  <c r="AA135" i="174"/>
  <c r="Y181" i="176" s="1"/>
  <c r="Z135" i="174"/>
  <c r="X181" i="176" s="1"/>
  <c r="N12" i="173"/>
  <c r="N9" i="173"/>
  <c r="P9" i="173" l="1"/>
  <c r="O9" i="173"/>
  <c r="F12" i="173"/>
  <c r="O12" i="173"/>
  <c r="P12" i="173"/>
  <c r="I76" i="173" s="1"/>
  <c r="I24" i="148" l="1"/>
  <c r="I23" i="148"/>
  <c r="I22" i="148"/>
  <c r="I21" i="148"/>
  <c r="I20" i="148"/>
  <c r="I19" i="148"/>
  <c r="I18" i="147"/>
  <c r="I17" i="147"/>
  <c r="I16" i="147"/>
  <c r="I24" i="146"/>
  <c r="I21" i="146"/>
  <c r="I26" i="146"/>
  <c r="I20" i="146"/>
  <c r="I23" i="146"/>
  <c r="I22" i="146"/>
  <c r="I25" i="146"/>
  <c r="I20" i="150"/>
  <c r="C20" i="150"/>
  <c r="C27" i="150" s="1"/>
  <c r="I19" i="150"/>
  <c r="C19" i="150"/>
  <c r="C24" i="150" s="1"/>
  <c r="I18" i="150"/>
  <c r="C18" i="150"/>
  <c r="C26" i="150" s="1"/>
  <c r="I17" i="150"/>
  <c r="C17" i="150"/>
  <c r="C25" i="150" s="1"/>
  <c r="I13" i="150"/>
  <c r="C13" i="150"/>
  <c r="B27" i="150" s="1"/>
  <c r="I12" i="150"/>
  <c r="C12" i="150"/>
  <c r="B24" i="150" s="1"/>
  <c r="I11" i="150"/>
  <c r="C11" i="150"/>
  <c r="B26" i="150" s="1"/>
  <c r="I10" i="150"/>
  <c r="C10" i="150"/>
  <c r="B25" i="150" s="1"/>
  <c r="C24" i="148"/>
  <c r="C33" i="148" s="1"/>
  <c r="C23" i="148"/>
  <c r="C32" i="148" s="1"/>
  <c r="C22" i="148"/>
  <c r="C31" i="148" s="1"/>
  <c r="C21" i="148"/>
  <c r="C29" i="148" s="1"/>
  <c r="C20" i="148"/>
  <c r="C30" i="148" s="1"/>
  <c r="C19" i="148"/>
  <c r="C28" i="148" s="1"/>
  <c r="I15" i="148"/>
  <c r="C15" i="148"/>
  <c r="B33" i="148" s="1"/>
  <c r="I14" i="148"/>
  <c r="C14" i="148"/>
  <c r="B32" i="148" s="1"/>
  <c r="I13" i="148"/>
  <c r="C13" i="148"/>
  <c r="B31" i="148" s="1"/>
  <c r="I12" i="148"/>
  <c r="C12" i="148"/>
  <c r="B29" i="148" s="1"/>
  <c r="I11" i="148"/>
  <c r="C11" i="148"/>
  <c r="B30" i="148" s="1"/>
  <c r="I10" i="148"/>
  <c r="C10" i="148"/>
  <c r="B28" i="148" s="1"/>
  <c r="C18" i="147"/>
  <c r="C24" i="147" s="1"/>
  <c r="C17" i="147"/>
  <c r="C22" i="147" s="1"/>
  <c r="C16" i="147"/>
  <c r="C23" i="147" s="1"/>
  <c r="I12" i="147"/>
  <c r="C12" i="147"/>
  <c r="B24" i="147" s="1"/>
  <c r="I11" i="147"/>
  <c r="C11" i="147"/>
  <c r="B22" i="147" s="1"/>
  <c r="I10" i="147"/>
  <c r="C10" i="147"/>
  <c r="B23" i="147" s="1"/>
  <c r="C26" i="146"/>
  <c r="C36" i="146" s="1"/>
  <c r="C25" i="146"/>
  <c r="C30" i="146" s="1"/>
  <c r="C24" i="146"/>
  <c r="C35" i="146" s="1"/>
  <c r="C23" i="146"/>
  <c r="C32" i="146" s="1"/>
  <c r="C22" i="146"/>
  <c r="C31" i="146" s="1"/>
  <c r="C21" i="146"/>
  <c r="C34" i="146" s="1"/>
  <c r="C20" i="146"/>
  <c r="C33" i="146" s="1"/>
  <c r="I16" i="146"/>
  <c r="C16" i="146"/>
  <c r="B36" i="146" s="1"/>
  <c r="I15" i="146"/>
  <c r="C15" i="146"/>
  <c r="B30" i="146" s="1"/>
  <c r="I14" i="146"/>
  <c r="C14" i="146"/>
  <c r="B35" i="146" s="1"/>
  <c r="I13" i="146"/>
  <c r="C13" i="146"/>
  <c r="B32" i="146" s="1"/>
  <c r="I12" i="146"/>
  <c r="C12" i="146"/>
  <c r="B31" i="146" s="1"/>
  <c r="I11" i="146"/>
  <c r="C11" i="146"/>
  <c r="B34" i="146" s="1"/>
  <c r="I10" i="146"/>
  <c r="C10" i="146"/>
  <c r="B33" i="146" s="1"/>
  <c r="J17" i="150" l="1"/>
  <c r="E25" i="150" s="1"/>
  <c r="J15" i="148"/>
  <c r="D33" i="148" s="1"/>
  <c r="J10" i="150"/>
  <c r="D25" i="150" s="1"/>
  <c r="J19" i="148"/>
  <c r="E28" i="148" s="1"/>
  <c r="J25" i="146"/>
  <c r="E33" i="146" s="1"/>
  <c r="J11" i="146"/>
  <c r="D34" i="146" s="1"/>
  <c r="J12" i="150"/>
  <c r="D24" i="150" s="1"/>
  <c r="J19" i="150"/>
  <c r="E24" i="150" s="1"/>
  <c r="J13" i="150"/>
  <c r="D27" i="150" s="1"/>
  <c r="J20" i="150"/>
  <c r="E27" i="150" s="1"/>
  <c r="J13" i="148"/>
  <c r="D31" i="148" s="1"/>
  <c r="J20" i="148"/>
  <c r="E30" i="148" s="1"/>
  <c r="J24" i="148"/>
  <c r="E33" i="148" s="1"/>
  <c r="J12" i="148"/>
  <c r="D29" i="148" s="1"/>
  <c r="J14" i="148"/>
  <c r="D32" i="148" s="1"/>
  <c r="J21" i="148"/>
  <c r="E29" i="148" s="1"/>
  <c r="J23" i="148"/>
  <c r="E32" i="148" s="1"/>
  <c r="J10" i="147"/>
  <c r="D24" i="147" s="1"/>
  <c r="J12" i="147"/>
  <c r="D22" i="147" s="1"/>
  <c r="J11" i="147"/>
  <c r="D23" i="147" s="1"/>
  <c r="J16" i="147"/>
  <c r="E23" i="147" s="1"/>
  <c r="J18" i="147"/>
  <c r="E24" i="147" s="1"/>
  <c r="J26" i="146"/>
  <c r="E35" i="146" s="1"/>
  <c r="J23" i="146"/>
  <c r="E31" i="146" s="1"/>
  <c r="J21" i="146"/>
  <c r="E30" i="146" s="1"/>
  <c r="J14" i="146"/>
  <c r="D35" i="146" s="1"/>
  <c r="J12" i="146"/>
  <c r="D31" i="146" s="1"/>
  <c r="J16" i="146"/>
  <c r="D36" i="146" s="1"/>
  <c r="J24" i="146"/>
  <c r="E36" i="146" s="1"/>
  <c r="J15" i="146"/>
  <c r="D30" i="146" s="1"/>
  <c r="J22" i="146"/>
  <c r="E34" i="146" s="1"/>
  <c r="J20" i="146"/>
  <c r="E32" i="146" s="1"/>
  <c r="J13" i="146"/>
  <c r="D32" i="146" s="1"/>
  <c r="J17" i="147"/>
  <c r="E22" i="147" s="1"/>
  <c r="J11" i="148"/>
  <c r="D30" i="148" s="1"/>
  <c r="J22" i="148"/>
  <c r="E31" i="148" s="1"/>
  <c r="J11" i="150"/>
  <c r="D26" i="150" s="1"/>
  <c r="J10" i="148"/>
  <c r="D28" i="148" s="1"/>
  <c r="J10" i="146"/>
  <c r="D33" i="146" s="1"/>
  <c r="J18" i="150"/>
  <c r="E26" i="150" s="1"/>
  <c r="F34" i="146" l="1"/>
  <c r="F25" i="150"/>
  <c r="F33" i="148"/>
  <c r="F28" i="148"/>
  <c r="F31" i="146"/>
  <c r="F36" i="146"/>
  <c r="F33" i="146"/>
  <c r="F24" i="150"/>
  <c r="F22" i="147"/>
  <c r="F32" i="146"/>
  <c r="F30" i="146"/>
  <c r="F35" i="146"/>
  <c r="F27" i="150"/>
  <c r="F24" i="147"/>
  <c r="F26" i="150"/>
  <c r="F31" i="148"/>
  <c r="F30" i="148"/>
  <c r="F32" i="148"/>
  <c r="F29" i="148"/>
  <c r="F23" i="147"/>
  <c r="E31" i="133" l="1"/>
  <c r="C31" i="133"/>
  <c r="I10" i="139" l="1"/>
  <c r="I16" i="138"/>
  <c r="I11" i="138"/>
  <c r="I9" i="138"/>
  <c r="C11" i="138"/>
  <c r="B22" i="138" s="1"/>
  <c r="I19" i="137"/>
  <c r="C18" i="137"/>
  <c r="I12" i="137"/>
  <c r="I11" i="137"/>
  <c r="I10" i="137"/>
  <c r="I11" i="136"/>
  <c r="I10" i="136"/>
  <c r="I17" i="135"/>
  <c r="I11" i="135"/>
  <c r="I10" i="135"/>
  <c r="I9" i="135"/>
  <c r="I19" i="127"/>
  <c r="I14" i="127"/>
  <c r="I12" i="127"/>
  <c r="C19" i="134"/>
  <c r="C27" i="134" s="1"/>
  <c r="I13" i="134"/>
  <c r="I12" i="134"/>
  <c r="I11" i="134"/>
  <c r="I12" i="139"/>
  <c r="I11" i="139"/>
  <c r="I10" i="138"/>
  <c r="I18" i="135"/>
  <c r="I20" i="135"/>
  <c r="I13" i="135"/>
  <c r="I12" i="135"/>
  <c r="I13" i="127"/>
  <c r="I21" i="127"/>
  <c r="I19" i="134"/>
  <c r="I18" i="134"/>
  <c r="I17" i="138" l="1"/>
  <c r="I15" i="138"/>
  <c r="C16" i="138"/>
  <c r="C15" i="138"/>
  <c r="C17" i="138"/>
  <c r="C22" i="138" s="1"/>
  <c r="C9" i="138"/>
  <c r="C10" i="138"/>
  <c r="I18" i="137"/>
  <c r="I17" i="137"/>
  <c r="C17" i="137"/>
  <c r="C25" i="137" s="1"/>
  <c r="C19" i="137"/>
  <c r="C26" i="137" s="1"/>
  <c r="C11" i="137"/>
  <c r="C10" i="137"/>
  <c r="C12" i="137"/>
  <c r="I17" i="136"/>
  <c r="I16" i="136"/>
  <c r="C16" i="136"/>
  <c r="C24" i="136" s="1"/>
  <c r="C17" i="136"/>
  <c r="C25" i="136" s="1"/>
  <c r="C11" i="136"/>
  <c r="B25" i="136" s="1"/>
  <c r="C10" i="136"/>
  <c r="B24" i="136" s="1"/>
  <c r="I21" i="135"/>
  <c r="I19" i="135"/>
  <c r="C20" i="135"/>
  <c r="C19" i="135"/>
  <c r="C26" i="135" s="1"/>
  <c r="C18" i="135"/>
  <c r="C17" i="135"/>
  <c r="C21" i="135"/>
  <c r="C10" i="135"/>
  <c r="C13" i="135"/>
  <c r="C9" i="135"/>
  <c r="C12" i="135"/>
  <c r="C11" i="135"/>
  <c r="B26" i="135" s="1"/>
  <c r="I22" i="127"/>
  <c r="C22" i="127"/>
  <c r="C30" i="127" s="1"/>
  <c r="C23" i="127"/>
  <c r="C29" i="127" s="1"/>
  <c r="C21" i="127"/>
  <c r="C33" i="127" s="1"/>
  <c r="C12" i="127"/>
  <c r="B33" i="127" s="1"/>
  <c r="C13" i="127"/>
  <c r="B30" i="127" s="1"/>
  <c r="C14" i="127"/>
  <c r="B29" i="127" s="1"/>
  <c r="I17" i="134"/>
  <c r="J18" i="134" s="1"/>
  <c r="E25" i="134" s="1"/>
  <c r="C18" i="134"/>
  <c r="C25" i="134" s="1"/>
  <c r="C17" i="134"/>
  <c r="C26" i="134" s="1"/>
  <c r="C13" i="134"/>
  <c r="B27" i="134" s="1"/>
  <c r="C12" i="134"/>
  <c r="B25" i="134" s="1"/>
  <c r="C11" i="134"/>
  <c r="B26" i="134" s="1"/>
  <c r="I18" i="139"/>
  <c r="C11" i="139"/>
  <c r="B25" i="139" s="1"/>
  <c r="J11" i="139"/>
  <c r="D25" i="139" s="1"/>
  <c r="C17" i="139"/>
  <c r="C26" i="139" s="1"/>
  <c r="C18" i="139"/>
  <c r="C25" i="139" s="1"/>
  <c r="C16" i="139"/>
  <c r="C27" i="139" s="1"/>
  <c r="I19" i="139"/>
  <c r="I16" i="139"/>
  <c r="I17" i="139"/>
  <c r="C10" i="139"/>
  <c r="B26" i="139" s="1"/>
  <c r="C19" i="139"/>
  <c r="C24" i="139" s="1"/>
  <c r="D27" i="139"/>
  <c r="J10" i="139"/>
  <c r="J12" i="139"/>
  <c r="D24" i="139" s="1"/>
  <c r="C9" i="139"/>
  <c r="B27" i="139" s="1"/>
  <c r="C12" i="139"/>
  <c r="B24" i="139" s="1"/>
  <c r="J9" i="138"/>
  <c r="J11" i="138"/>
  <c r="D22" i="138" s="1"/>
  <c r="J10" i="138"/>
  <c r="J11" i="137"/>
  <c r="J10" i="137"/>
  <c r="D25" i="137" s="1"/>
  <c r="J12" i="137"/>
  <c r="J11" i="136"/>
  <c r="D25" i="136" s="1"/>
  <c r="J10" i="136"/>
  <c r="D24" i="136" s="1"/>
  <c r="J13" i="135"/>
  <c r="J9" i="135"/>
  <c r="J11" i="135"/>
  <c r="D26" i="135" s="1"/>
  <c r="J12" i="135"/>
  <c r="J10" i="135"/>
  <c r="J11" i="134"/>
  <c r="D26" i="134" s="1"/>
  <c r="J12" i="134"/>
  <c r="D25" i="134" s="1"/>
  <c r="J13" i="134"/>
  <c r="D27" i="134" s="1"/>
  <c r="J17" i="137" l="1"/>
  <c r="E25" i="137" s="1"/>
  <c r="C27" i="135"/>
  <c r="B25" i="137"/>
  <c r="J17" i="135"/>
  <c r="E26" i="135" s="1"/>
  <c r="F26" i="135" s="1"/>
  <c r="J18" i="137"/>
  <c r="E26" i="137" s="1"/>
  <c r="J17" i="138"/>
  <c r="E22" i="138" s="1"/>
  <c r="F22" i="138" s="1"/>
  <c r="J19" i="137"/>
  <c r="E27" i="137" s="1"/>
  <c r="B26" i="137"/>
  <c r="J16" i="138"/>
  <c r="J21" i="135"/>
  <c r="E27" i="135" s="1"/>
  <c r="D28" i="135"/>
  <c r="J19" i="135"/>
  <c r="E29" i="135" s="1"/>
  <c r="J17" i="136"/>
  <c r="E25" i="136" s="1"/>
  <c r="F25" i="136" s="1"/>
  <c r="J18" i="135"/>
  <c r="E28" i="135" s="1"/>
  <c r="J19" i="134"/>
  <c r="E27" i="134" s="1"/>
  <c r="F27" i="134" s="1"/>
  <c r="J16" i="136"/>
  <c r="E24" i="136" s="1"/>
  <c r="F24" i="136" s="1"/>
  <c r="J17" i="134"/>
  <c r="E26" i="134" s="1"/>
  <c r="F26" i="134" s="1"/>
  <c r="B28" i="135"/>
  <c r="B23" i="138"/>
  <c r="J20" i="135"/>
  <c r="E30" i="135" s="1"/>
  <c r="D23" i="138"/>
  <c r="J15" i="138"/>
  <c r="E23" i="138" s="1"/>
  <c r="C23" i="138"/>
  <c r="C27" i="137"/>
  <c r="D26" i="137"/>
  <c r="B27" i="137"/>
  <c r="C30" i="135"/>
  <c r="D29" i="135"/>
  <c r="B27" i="135"/>
  <c r="C29" i="135"/>
  <c r="C28" i="135"/>
  <c r="D30" i="135"/>
  <c r="B29" i="135"/>
  <c r="B30" i="135"/>
  <c r="J16" i="139"/>
  <c r="E27" i="139" s="1"/>
  <c r="F27" i="139" s="1"/>
  <c r="J19" i="139"/>
  <c r="E24" i="139" s="1"/>
  <c r="F24" i="139" s="1"/>
  <c r="J18" i="139"/>
  <c r="E25" i="139" s="1"/>
  <c r="F25" i="139" s="1"/>
  <c r="J17" i="139"/>
  <c r="D26" i="139"/>
  <c r="D27" i="137"/>
  <c r="D27" i="135"/>
  <c r="F25" i="134"/>
  <c r="F25" i="137" l="1"/>
  <c r="F26" i="137"/>
  <c r="F28" i="135"/>
  <c r="F27" i="137"/>
  <c r="F23" i="138"/>
  <c r="F27" i="135"/>
  <c r="F29" i="135"/>
  <c r="F30" i="135"/>
  <c r="E26" i="139"/>
  <c r="F26" i="139" s="1"/>
  <c r="C51" i="113" l="1"/>
  <c r="C50" i="113"/>
  <c r="C49" i="113"/>
  <c r="C48" i="113"/>
  <c r="C47" i="113"/>
  <c r="C46" i="113"/>
  <c r="C45" i="113"/>
  <c r="C44" i="113"/>
  <c r="C43" i="113"/>
  <c r="C42" i="113"/>
  <c r="C41" i="113"/>
  <c r="C40" i="113"/>
  <c r="C39" i="113"/>
  <c r="C38" i="113"/>
  <c r="C37" i="113"/>
  <c r="C36" i="113"/>
  <c r="C35" i="113"/>
  <c r="C34" i="113"/>
  <c r="C33" i="113"/>
  <c r="C28" i="113"/>
  <c r="C27" i="113"/>
  <c r="C26" i="113"/>
  <c r="C25" i="113"/>
  <c r="C24" i="113"/>
  <c r="C23" i="113"/>
  <c r="C22" i="113"/>
  <c r="C21" i="113"/>
  <c r="C20" i="113"/>
  <c r="C19" i="113"/>
  <c r="C18" i="113"/>
  <c r="C17" i="113"/>
  <c r="C16" i="113"/>
  <c r="C15" i="113"/>
  <c r="C14" i="113"/>
  <c r="C13" i="113"/>
  <c r="C12" i="113"/>
  <c r="C11" i="113"/>
  <c r="C10" i="113"/>
  <c r="I23" i="132" l="1"/>
  <c r="I22" i="132"/>
  <c r="I21" i="132"/>
  <c r="I20" i="132"/>
  <c r="I19" i="132"/>
  <c r="I18" i="132"/>
  <c r="I17" i="129"/>
  <c r="I16" i="129"/>
  <c r="I15" i="129"/>
  <c r="I19" i="128"/>
  <c r="I18" i="128"/>
  <c r="I17" i="128"/>
  <c r="I20" i="127"/>
  <c r="I23" i="127"/>
  <c r="I18" i="127"/>
  <c r="I28" i="123"/>
  <c r="I27" i="123"/>
  <c r="I26" i="123"/>
  <c r="I25" i="123"/>
  <c r="I24" i="123"/>
  <c r="I23" i="123"/>
  <c r="I22" i="123"/>
  <c r="I21" i="123"/>
  <c r="I20" i="122"/>
  <c r="I23" i="122"/>
  <c r="I24" i="122"/>
  <c r="I25" i="122"/>
  <c r="I22" i="122"/>
  <c r="I26" i="122"/>
  <c r="I21" i="122"/>
  <c r="I18" i="121"/>
  <c r="I21" i="121"/>
  <c r="I19" i="121"/>
  <c r="I20" i="121"/>
  <c r="I22" i="121"/>
  <c r="I17" i="120"/>
  <c r="I20" i="120"/>
  <c r="I19" i="120"/>
  <c r="I18" i="120"/>
  <c r="I25" i="119"/>
  <c r="I22" i="119"/>
  <c r="I20" i="119"/>
  <c r="I23" i="119"/>
  <c r="I26" i="119"/>
  <c r="I21" i="119"/>
  <c r="I24" i="119"/>
  <c r="J25" i="118"/>
  <c r="I28" i="118"/>
  <c r="I27" i="118"/>
  <c r="I26" i="118"/>
  <c r="I24" i="118"/>
  <c r="I23" i="118"/>
  <c r="I22" i="118"/>
  <c r="I21" i="131"/>
  <c r="I12" i="131"/>
  <c r="I21" i="133"/>
  <c r="I20" i="133"/>
  <c r="I25" i="133"/>
  <c r="I10" i="133"/>
  <c r="C10" i="131"/>
  <c r="J24" i="118" l="1"/>
  <c r="J26" i="118"/>
  <c r="J22" i="118"/>
  <c r="J27" i="118"/>
  <c r="J23" i="118"/>
  <c r="J28" i="118"/>
  <c r="J21" i="118"/>
  <c r="J21" i="127"/>
  <c r="E30" i="127" s="1"/>
  <c r="J19" i="127"/>
  <c r="E29" i="127" s="1"/>
  <c r="J22" i="127"/>
  <c r="E33" i="127" s="1"/>
  <c r="I23" i="133"/>
  <c r="I22" i="133"/>
  <c r="I26" i="133"/>
  <c r="C10" i="133"/>
  <c r="C21" i="133"/>
  <c r="I24" i="133"/>
  <c r="C21" i="131"/>
  <c r="J25" i="133" l="1"/>
  <c r="I14" i="124"/>
  <c r="I13" i="124"/>
  <c r="I12" i="124"/>
  <c r="I11" i="124"/>
  <c r="I17" i="123"/>
  <c r="I14" i="123"/>
  <c r="I13" i="123"/>
  <c r="I11" i="123"/>
  <c r="I10" i="123"/>
  <c r="I12" i="121"/>
  <c r="I11" i="121"/>
  <c r="I10" i="121"/>
  <c r="C20" i="120"/>
  <c r="C25" i="120" s="1"/>
  <c r="I11" i="120"/>
  <c r="I10" i="120"/>
  <c r="I14" i="119"/>
  <c r="I13" i="119"/>
  <c r="I10" i="119"/>
  <c r="I33" i="117"/>
  <c r="I34" i="117"/>
  <c r="I18" i="117"/>
  <c r="I17" i="117"/>
  <c r="I15" i="117"/>
  <c r="I13" i="117"/>
  <c r="I10" i="117"/>
  <c r="I26" i="115"/>
  <c r="I31" i="115"/>
  <c r="I30" i="115"/>
  <c r="C34" i="115"/>
  <c r="C49" i="115" s="1"/>
  <c r="C15" i="115"/>
  <c r="B52" i="115" s="1"/>
  <c r="C17" i="115"/>
  <c r="B43" i="115" s="1"/>
  <c r="I26" i="114"/>
  <c r="I28" i="114"/>
  <c r="C39" i="114"/>
  <c r="I18" i="114"/>
  <c r="I17" i="114"/>
  <c r="I15" i="114"/>
  <c r="I14" i="114"/>
  <c r="I13" i="114"/>
  <c r="I11" i="114"/>
  <c r="I10" i="114"/>
  <c r="I9" i="114"/>
  <c r="I46" i="113"/>
  <c r="I48" i="113"/>
  <c r="I39" i="113"/>
  <c r="I25" i="113"/>
  <c r="I17" i="113"/>
  <c r="I13" i="113"/>
  <c r="I10" i="113"/>
  <c r="I37" i="112"/>
  <c r="I31" i="112"/>
  <c r="I34" i="112"/>
  <c r="I20" i="112"/>
  <c r="I17" i="112"/>
  <c r="I16" i="112"/>
  <c r="I13" i="112"/>
  <c r="I12" i="112"/>
  <c r="I10" i="112"/>
  <c r="I23" i="131"/>
  <c r="I19" i="131"/>
  <c r="I24" i="130"/>
  <c r="I25" i="130"/>
  <c r="I27" i="130"/>
  <c r="I21" i="130"/>
  <c r="I20" i="125"/>
  <c r="I21" i="124"/>
  <c r="I29" i="115"/>
  <c r="I37" i="115"/>
  <c r="I27" i="114"/>
  <c r="I43" i="113"/>
  <c r="I45" i="113"/>
  <c r="I40" i="112"/>
  <c r="I35" i="112"/>
  <c r="I21" i="112"/>
  <c r="I22" i="112"/>
  <c r="I28" i="115"/>
  <c r="I33" i="115"/>
  <c r="C25" i="133"/>
  <c r="C34" i="133" s="1"/>
  <c r="I12" i="133"/>
  <c r="C12" i="133"/>
  <c r="C13" i="133"/>
  <c r="B31" i="133" s="1"/>
  <c r="C16" i="133"/>
  <c r="B33" i="133" s="1"/>
  <c r="I10" i="132"/>
  <c r="I11" i="132"/>
  <c r="I14" i="132"/>
  <c r="I9" i="132"/>
  <c r="I22" i="131"/>
  <c r="I14" i="131"/>
  <c r="I10" i="131"/>
  <c r="C14" i="131"/>
  <c r="B29" i="131" s="1"/>
  <c r="I13" i="130"/>
  <c r="I14" i="130"/>
  <c r="I10" i="130"/>
  <c r="I23" i="125"/>
  <c r="I24" i="125"/>
  <c r="C22" i="125"/>
  <c r="C34" i="125" s="1"/>
  <c r="C24" i="125"/>
  <c r="C33" i="125" s="1"/>
  <c r="C15" i="129"/>
  <c r="C25" i="129" s="1"/>
  <c r="I9" i="129"/>
  <c r="C11" i="129"/>
  <c r="B26" i="129" s="1"/>
  <c r="I15" i="123"/>
  <c r="I13" i="121"/>
  <c r="I14" i="121"/>
  <c r="I13" i="120"/>
  <c r="I30" i="117"/>
  <c r="I14" i="117"/>
  <c r="I32" i="114"/>
  <c r="I14" i="113"/>
  <c r="I18" i="113"/>
  <c r="I22" i="113"/>
  <c r="I26" i="113"/>
  <c r="B9" i="113"/>
  <c r="C35" i="133"/>
  <c r="B35" i="133"/>
  <c r="I16" i="133"/>
  <c r="I15" i="133"/>
  <c r="C15" i="133"/>
  <c r="B34" i="133" s="1"/>
  <c r="I14" i="133"/>
  <c r="C14" i="133"/>
  <c r="B38" i="133" s="1"/>
  <c r="I13" i="133"/>
  <c r="I11" i="133"/>
  <c r="C11" i="133"/>
  <c r="B37" i="133" s="1"/>
  <c r="I9" i="133"/>
  <c r="C9" i="133"/>
  <c r="B32" i="133" s="1"/>
  <c r="I13" i="132"/>
  <c r="I12" i="132"/>
  <c r="C32" i="131"/>
  <c r="B32" i="131"/>
  <c r="I20" i="131"/>
  <c r="I13" i="131"/>
  <c r="I11" i="131"/>
  <c r="I26" i="130"/>
  <c r="I23" i="130"/>
  <c r="I22" i="130"/>
  <c r="I16" i="130"/>
  <c r="I15" i="130"/>
  <c r="I12" i="130"/>
  <c r="I11" i="130"/>
  <c r="J11" i="129"/>
  <c r="D26" i="129" s="1"/>
  <c r="I11" i="129"/>
  <c r="J10" i="129"/>
  <c r="D24" i="129" s="1"/>
  <c r="I10" i="129"/>
  <c r="J9" i="129"/>
  <c r="D25" i="129" s="1"/>
  <c r="H12" i="128"/>
  <c r="I11" i="128"/>
  <c r="I10" i="128"/>
  <c r="C20" i="127"/>
  <c r="C31" i="127" s="1"/>
  <c r="C19" i="127"/>
  <c r="C32" i="127" s="1"/>
  <c r="C18" i="127"/>
  <c r="C28" i="127" s="1"/>
  <c r="I11" i="127"/>
  <c r="C11" i="127"/>
  <c r="B31" i="127" s="1"/>
  <c r="I10" i="127"/>
  <c r="C10" i="127"/>
  <c r="B32" i="127" s="1"/>
  <c r="I9" i="127"/>
  <c r="C9" i="127"/>
  <c r="B28" i="127" s="1"/>
  <c r="I25" i="125"/>
  <c r="I22" i="125"/>
  <c r="I21" i="125"/>
  <c r="I16" i="125"/>
  <c r="I15" i="125"/>
  <c r="I14" i="125"/>
  <c r="I13" i="125"/>
  <c r="I12" i="125"/>
  <c r="I11" i="125"/>
  <c r="I16" i="123"/>
  <c r="I12" i="123"/>
  <c r="I16" i="122"/>
  <c r="D33" i="122" s="1"/>
  <c r="I15" i="122"/>
  <c r="D35" i="122" s="1"/>
  <c r="I14" i="122"/>
  <c r="D31" i="122" s="1"/>
  <c r="I13" i="122"/>
  <c r="D32" i="122" s="1"/>
  <c r="I12" i="122"/>
  <c r="D34" i="122" s="1"/>
  <c r="I11" i="122"/>
  <c r="D36" i="122" s="1"/>
  <c r="I10" i="122"/>
  <c r="D37" i="122" s="1"/>
  <c r="I12" i="120"/>
  <c r="I16" i="119"/>
  <c r="I15" i="119"/>
  <c r="I12" i="119"/>
  <c r="I11" i="119"/>
  <c r="I16" i="118"/>
  <c r="D37" i="118" s="1"/>
  <c r="I15" i="118"/>
  <c r="D34" i="118" s="1"/>
  <c r="I14" i="118"/>
  <c r="D38" i="118" s="1"/>
  <c r="I13" i="118"/>
  <c r="D40" i="118" s="1"/>
  <c r="I12" i="118"/>
  <c r="D35" i="118" s="1"/>
  <c r="I11" i="118"/>
  <c r="D36" i="118" s="1"/>
  <c r="I10" i="118"/>
  <c r="D39" i="118" s="1"/>
  <c r="I9" i="118"/>
  <c r="D41" i="118" s="1"/>
  <c r="D51" i="117"/>
  <c r="I35" i="117"/>
  <c r="I31" i="117"/>
  <c r="I27" i="117"/>
  <c r="I26" i="117"/>
  <c r="I20" i="117"/>
  <c r="I16" i="117"/>
  <c r="I12" i="117"/>
  <c r="I11" i="117"/>
  <c r="I36" i="115"/>
  <c r="I35" i="115"/>
  <c r="I32" i="115"/>
  <c r="I21" i="115"/>
  <c r="D53" i="115" s="1"/>
  <c r="I20" i="115"/>
  <c r="D51" i="115" s="1"/>
  <c r="I19" i="115"/>
  <c r="D47" i="115" s="1"/>
  <c r="I18" i="115"/>
  <c r="D49" i="115" s="1"/>
  <c r="I17" i="115"/>
  <c r="D43" i="115" s="1"/>
  <c r="I16" i="115"/>
  <c r="D50" i="115" s="1"/>
  <c r="I15" i="115"/>
  <c r="D52" i="115" s="1"/>
  <c r="I14" i="115"/>
  <c r="D46" i="115" s="1"/>
  <c r="I13" i="115"/>
  <c r="D48" i="115" s="1"/>
  <c r="I12" i="115"/>
  <c r="I11" i="115"/>
  <c r="D44" i="115" s="1"/>
  <c r="I10" i="115"/>
  <c r="D45" i="115" s="1"/>
  <c r="E39" i="114"/>
  <c r="D39" i="114"/>
  <c r="B39" i="114"/>
  <c r="E38" i="114"/>
  <c r="D38" i="114"/>
  <c r="B38" i="114"/>
  <c r="I31" i="114"/>
  <c r="I24" i="114"/>
  <c r="I16" i="114"/>
  <c r="I12" i="114"/>
  <c r="A5" i="114"/>
  <c r="I42" i="113"/>
  <c r="I47" i="113"/>
  <c r="I33" i="113"/>
  <c r="I51" i="113"/>
  <c r="I44" i="113"/>
  <c r="I36" i="113"/>
  <c r="I35" i="113"/>
  <c r="I28" i="113"/>
  <c r="I27" i="113"/>
  <c r="I24" i="113"/>
  <c r="I23" i="113"/>
  <c r="I21" i="113"/>
  <c r="I20" i="113"/>
  <c r="I19" i="113"/>
  <c r="I16" i="113"/>
  <c r="I12" i="113"/>
  <c r="I11" i="113"/>
  <c r="G9" i="113"/>
  <c r="G8" i="114" s="1"/>
  <c r="A5" i="113"/>
  <c r="I41" i="112"/>
  <c r="I36" i="112"/>
  <c r="I39" i="112"/>
  <c r="I29" i="112"/>
  <c r="I30" i="112"/>
  <c r="I23" i="112"/>
  <c r="I19" i="112"/>
  <c r="I18" i="112"/>
  <c r="I15" i="112"/>
  <c r="I14" i="112"/>
  <c r="I11" i="112"/>
  <c r="G32" i="113" l="1"/>
  <c r="J16" i="125"/>
  <c r="D36" i="125" s="1"/>
  <c r="E35" i="133"/>
  <c r="E36" i="133"/>
  <c r="J21" i="131"/>
  <c r="E32" i="131" s="1"/>
  <c r="J12" i="131"/>
  <c r="D32" i="131" s="1"/>
  <c r="D66" i="113"/>
  <c r="J14" i="127"/>
  <c r="D29" i="127" s="1"/>
  <c r="F29" i="127" s="1"/>
  <c r="J13" i="127"/>
  <c r="D30" i="127" s="1"/>
  <c r="F30" i="127" s="1"/>
  <c r="J12" i="127"/>
  <c r="D33" i="127" s="1"/>
  <c r="F33" i="127" s="1"/>
  <c r="J11" i="125"/>
  <c r="D32" i="125" s="1"/>
  <c r="J12" i="125"/>
  <c r="D35" i="125" s="1"/>
  <c r="J26" i="113"/>
  <c r="D72" i="113" s="1"/>
  <c r="J22" i="113"/>
  <c r="D65" i="113" s="1"/>
  <c r="J18" i="113"/>
  <c r="D62" i="113" s="1"/>
  <c r="J14" i="113"/>
  <c r="D57" i="113" s="1"/>
  <c r="J10" i="113"/>
  <c r="D60" i="113" s="1"/>
  <c r="J21" i="113"/>
  <c r="D70" i="113" s="1"/>
  <c r="J17" i="113"/>
  <c r="D56" i="113" s="1"/>
  <c r="J13" i="113"/>
  <c r="D67" i="113" s="1"/>
  <c r="J28" i="113"/>
  <c r="D63" i="113" s="1"/>
  <c r="J24" i="113"/>
  <c r="D74" i="113" s="1"/>
  <c r="J20" i="113"/>
  <c r="D73" i="113" s="1"/>
  <c r="J16" i="113"/>
  <c r="D64" i="113" s="1"/>
  <c r="J12" i="113"/>
  <c r="D58" i="113" s="1"/>
  <c r="J27" i="113"/>
  <c r="D69" i="113" s="1"/>
  <c r="J23" i="113"/>
  <c r="D61" i="113" s="1"/>
  <c r="J19" i="113"/>
  <c r="D68" i="113" s="1"/>
  <c r="J11" i="113"/>
  <c r="D59" i="113" s="1"/>
  <c r="J25" i="113"/>
  <c r="D71" i="113" s="1"/>
  <c r="B39" i="133"/>
  <c r="B36" i="133"/>
  <c r="I19" i="124"/>
  <c r="J10" i="133"/>
  <c r="D35" i="133" s="1"/>
  <c r="I20" i="124"/>
  <c r="I18" i="124"/>
  <c r="C21" i="124"/>
  <c r="C30" i="124" s="1"/>
  <c r="J18" i="120"/>
  <c r="E28" i="120" s="1"/>
  <c r="C13" i="120"/>
  <c r="B25" i="120" s="1"/>
  <c r="J20" i="119"/>
  <c r="E32" i="119" s="1"/>
  <c r="C9" i="118"/>
  <c r="B41" i="118" s="1"/>
  <c r="C15" i="118"/>
  <c r="B34" i="118" s="1"/>
  <c r="I28" i="117"/>
  <c r="I32" i="117"/>
  <c r="I29" i="117"/>
  <c r="I25" i="117"/>
  <c r="I34" i="115"/>
  <c r="I27" i="115"/>
  <c r="C32" i="115"/>
  <c r="C50" i="115" s="1"/>
  <c r="C30" i="115"/>
  <c r="C46" i="115" s="1"/>
  <c r="C13" i="115"/>
  <c r="B48" i="115" s="1"/>
  <c r="I25" i="114"/>
  <c r="I29" i="114"/>
  <c r="I30" i="114"/>
  <c r="I23" i="114"/>
  <c r="C38" i="114"/>
  <c r="F38" i="114" s="1"/>
  <c r="I38" i="113"/>
  <c r="I41" i="113"/>
  <c r="I50" i="113"/>
  <c r="I34" i="113"/>
  <c r="I37" i="113"/>
  <c r="I49" i="113"/>
  <c r="I40" i="113"/>
  <c r="B72" i="113"/>
  <c r="B60" i="113"/>
  <c r="B59" i="113"/>
  <c r="I28" i="112"/>
  <c r="I38" i="112"/>
  <c r="I33" i="112"/>
  <c r="I32" i="112"/>
  <c r="E35" i="118"/>
  <c r="J23" i="127"/>
  <c r="E32" i="127" s="1"/>
  <c r="E38" i="118"/>
  <c r="E37" i="118"/>
  <c r="E34" i="118"/>
  <c r="E36" i="118"/>
  <c r="E41" i="118"/>
  <c r="E39" i="118"/>
  <c r="E40" i="118"/>
  <c r="C35" i="112"/>
  <c r="C60" i="112" s="1"/>
  <c r="C31" i="112"/>
  <c r="C54" i="112" s="1"/>
  <c r="C37" i="112"/>
  <c r="C58" i="112" s="1"/>
  <c r="C41" i="112"/>
  <c r="C61" i="112" s="1"/>
  <c r="C29" i="112"/>
  <c r="C49" i="112" s="1"/>
  <c r="C33" i="112"/>
  <c r="C50" i="112" s="1"/>
  <c r="C39" i="112"/>
  <c r="C62" i="112" s="1"/>
  <c r="C28" i="112"/>
  <c r="C52" i="112" s="1"/>
  <c r="C30" i="112"/>
  <c r="C51" i="112" s="1"/>
  <c r="C32" i="112"/>
  <c r="C56" i="112" s="1"/>
  <c r="C34" i="112"/>
  <c r="C55" i="112" s="1"/>
  <c r="C36" i="112"/>
  <c r="C53" i="112" s="1"/>
  <c r="C38" i="112"/>
  <c r="C59" i="112" s="1"/>
  <c r="C40" i="112"/>
  <c r="C57" i="112" s="1"/>
  <c r="J12" i="112"/>
  <c r="D51" i="112" s="1"/>
  <c r="J11" i="112"/>
  <c r="D49" i="112" s="1"/>
  <c r="J18" i="112"/>
  <c r="D53" i="112" s="1"/>
  <c r="J15" i="112"/>
  <c r="D50" i="112" s="1"/>
  <c r="J19" i="112"/>
  <c r="D58" i="112" s="1"/>
  <c r="C15" i="112"/>
  <c r="B50" i="112" s="1"/>
  <c r="C21" i="112"/>
  <c r="B62" i="112" s="1"/>
  <c r="J24" i="133"/>
  <c r="E32" i="133" s="1"/>
  <c r="C20" i="133"/>
  <c r="C32" i="133" s="1"/>
  <c r="C23" i="133"/>
  <c r="C24" i="133"/>
  <c r="C38" i="133" s="1"/>
  <c r="C26" i="133"/>
  <c r="C33" i="133" s="1"/>
  <c r="C22" i="133"/>
  <c r="C37" i="133" s="1"/>
  <c r="J16" i="133"/>
  <c r="D33" i="133" s="1"/>
  <c r="J18" i="132"/>
  <c r="E28" i="132" s="1"/>
  <c r="C22" i="132"/>
  <c r="C32" i="132" s="1"/>
  <c r="C19" i="132"/>
  <c r="C27" i="132" s="1"/>
  <c r="C21" i="132"/>
  <c r="C30" i="132" s="1"/>
  <c r="C23" i="132"/>
  <c r="C31" i="132" s="1"/>
  <c r="C18" i="132"/>
  <c r="C28" i="132" s="1"/>
  <c r="C20" i="132"/>
  <c r="C29" i="132" s="1"/>
  <c r="J14" i="132"/>
  <c r="D31" i="132" s="1"/>
  <c r="J9" i="132"/>
  <c r="D28" i="132" s="1"/>
  <c r="J13" i="132"/>
  <c r="D32" i="132" s="1"/>
  <c r="J10" i="132"/>
  <c r="D27" i="132" s="1"/>
  <c r="J12" i="132"/>
  <c r="D30" i="132" s="1"/>
  <c r="J11" i="132"/>
  <c r="D29" i="132" s="1"/>
  <c r="C12" i="132"/>
  <c r="B30" i="132" s="1"/>
  <c r="C11" i="132"/>
  <c r="B29" i="132" s="1"/>
  <c r="C13" i="132"/>
  <c r="B32" i="132" s="1"/>
  <c r="C14" i="132"/>
  <c r="B31" i="132" s="1"/>
  <c r="C10" i="132"/>
  <c r="B27" i="132" s="1"/>
  <c r="C9" i="132"/>
  <c r="B28" i="132" s="1"/>
  <c r="C23" i="131"/>
  <c r="C29" i="131" s="1"/>
  <c r="C19" i="131"/>
  <c r="C30" i="131" s="1"/>
  <c r="C22" i="131"/>
  <c r="C31" i="131" s="1"/>
  <c r="C20" i="131"/>
  <c r="C33" i="131" s="1"/>
  <c r="J14" i="131"/>
  <c r="D29" i="131" s="1"/>
  <c r="C13" i="131"/>
  <c r="B31" i="131" s="1"/>
  <c r="C12" i="131"/>
  <c r="B30" i="131" s="1"/>
  <c r="C11" i="131"/>
  <c r="B33" i="131" s="1"/>
  <c r="J22" i="130"/>
  <c r="E38" i="130" s="1"/>
  <c r="C26" i="130"/>
  <c r="C39" i="130" s="1"/>
  <c r="C22" i="130"/>
  <c r="C37" i="130" s="1"/>
  <c r="C24" i="130"/>
  <c r="C40" i="130" s="1"/>
  <c r="C21" i="130"/>
  <c r="C35" i="130" s="1"/>
  <c r="C23" i="130"/>
  <c r="C36" i="130" s="1"/>
  <c r="C25" i="130"/>
  <c r="C34" i="130" s="1"/>
  <c r="C27" i="130"/>
  <c r="C38" i="130" s="1"/>
  <c r="J12" i="130"/>
  <c r="D36" i="130" s="1"/>
  <c r="J13" i="130"/>
  <c r="D35" i="130" s="1"/>
  <c r="J14" i="130"/>
  <c r="D39" i="130" s="1"/>
  <c r="C15" i="130"/>
  <c r="B39" i="130" s="1"/>
  <c r="C11" i="130"/>
  <c r="B36" i="130" s="1"/>
  <c r="C14" i="130"/>
  <c r="B38" i="130" s="1"/>
  <c r="C16" i="130"/>
  <c r="B40" i="130" s="1"/>
  <c r="C13" i="130"/>
  <c r="B34" i="130" s="1"/>
  <c r="C10" i="130"/>
  <c r="B35" i="130" s="1"/>
  <c r="C12" i="130"/>
  <c r="B37" i="130" s="1"/>
  <c r="J20" i="125"/>
  <c r="E32" i="125" s="1"/>
  <c r="J25" i="125"/>
  <c r="E36" i="125" s="1"/>
  <c r="C20" i="125"/>
  <c r="C32" i="125" s="1"/>
  <c r="C25" i="125"/>
  <c r="C36" i="125" s="1"/>
  <c r="C23" i="125"/>
  <c r="C31" i="125" s="1"/>
  <c r="C21" i="125"/>
  <c r="C35" i="125" s="1"/>
  <c r="C16" i="125"/>
  <c r="B36" i="125" s="1"/>
  <c r="C11" i="125"/>
  <c r="B32" i="125" s="1"/>
  <c r="C13" i="125"/>
  <c r="B34" i="125" s="1"/>
  <c r="C15" i="125"/>
  <c r="B33" i="125" s="1"/>
  <c r="C12" i="125"/>
  <c r="B35" i="125" s="1"/>
  <c r="C14" i="125"/>
  <c r="B31" i="125" s="1"/>
  <c r="C17" i="129"/>
  <c r="C26" i="129" s="1"/>
  <c r="C16" i="129"/>
  <c r="C24" i="129" s="1"/>
  <c r="C10" i="129"/>
  <c r="B24" i="129" s="1"/>
  <c r="C9" i="129"/>
  <c r="B25" i="129" s="1"/>
  <c r="J16" i="128"/>
  <c r="E27" i="128" s="1"/>
  <c r="J19" i="128"/>
  <c r="E26" i="128" s="1"/>
  <c r="C19" i="128"/>
  <c r="C26" i="128" s="1"/>
  <c r="C17" i="128"/>
  <c r="C24" i="128" s="1"/>
  <c r="C16" i="128"/>
  <c r="C27" i="128" s="1"/>
  <c r="C18" i="128"/>
  <c r="C25" i="128" s="1"/>
  <c r="I12" i="128"/>
  <c r="J11" i="128" s="1"/>
  <c r="D25" i="128" s="1"/>
  <c r="D27" i="128"/>
  <c r="C10" i="128"/>
  <c r="B24" i="128" s="1"/>
  <c r="C12" i="128"/>
  <c r="B26" i="128" s="1"/>
  <c r="C9" i="128"/>
  <c r="B27" i="128" s="1"/>
  <c r="C11" i="128"/>
  <c r="B25" i="128" s="1"/>
  <c r="C18" i="124"/>
  <c r="C28" i="124" s="1"/>
  <c r="C20" i="124"/>
  <c r="C29" i="124" s="1"/>
  <c r="C19" i="124"/>
  <c r="C27" i="124" s="1"/>
  <c r="C13" i="124"/>
  <c r="B29" i="124" s="1"/>
  <c r="C12" i="124"/>
  <c r="B27" i="124" s="1"/>
  <c r="C14" i="124"/>
  <c r="B30" i="124" s="1"/>
  <c r="C11" i="124"/>
  <c r="B28" i="124" s="1"/>
  <c r="C21" i="123"/>
  <c r="C34" i="123" s="1"/>
  <c r="C22" i="123"/>
  <c r="C33" i="123" s="1"/>
  <c r="C24" i="123"/>
  <c r="C37" i="123" s="1"/>
  <c r="C26" i="123"/>
  <c r="C35" i="123" s="1"/>
  <c r="C23" i="123"/>
  <c r="C39" i="123" s="1"/>
  <c r="C25" i="123"/>
  <c r="C38" i="123" s="1"/>
  <c r="C27" i="123"/>
  <c r="C36" i="123" s="1"/>
  <c r="C28" i="123"/>
  <c r="C40" i="123" s="1"/>
  <c r="J16" i="123"/>
  <c r="D36" i="123" s="1"/>
  <c r="J15" i="123"/>
  <c r="D35" i="123" s="1"/>
  <c r="J13" i="123"/>
  <c r="D37" i="123" s="1"/>
  <c r="J14" i="123"/>
  <c r="D38" i="123" s="1"/>
  <c r="C17" i="123"/>
  <c r="B40" i="123" s="1"/>
  <c r="C11" i="123"/>
  <c r="B33" i="123" s="1"/>
  <c r="C13" i="123"/>
  <c r="B37" i="123" s="1"/>
  <c r="C15" i="123"/>
  <c r="B35" i="123" s="1"/>
  <c r="C16" i="123"/>
  <c r="B36" i="123" s="1"/>
  <c r="C10" i="123"/>
  <c r="B34" i="123" s="1"/>
  <c r="C12" i="123"/>
  <c r="B39" i="123" s="1"/>
  <c r="C14" i="123"/>
  <c r="B38" i="123" s="1"/>
  <c r="J26" i="122"/>
  <c r="E36" i="122" s="1"/>
  <c r="J20" i="122"/>
  <c r="E33" i="122" s="1"/>
  <c r="C26" i="122"/>
  <c r="C33" i="122" s="1"/>
  <c r="C21" i="122"/>
  <c r="C36" i="122" s="1"/>
  <c r="C23" i="122"/>
  <c r="C32" i="122" s="1"/>
  <c r="C25" i="122"/>
  <c r="C35" i="122" s="1"/>
  <c r="C20" i="122"/>
  <c r="C37" i="122" s="1"/>
  <c r="C22" i="122"/>
  <c r="C34" i="122" s="1"/>
  <c r="C24" i="122"/>
  <c r="C31" i="122" s="1"/>
  <c r="C15" i="122"/>
  <c r="B35" i="122" s="1"/>
  <c r="C10" i="122"/>
  <c r="B37" i="122" s="1"/>
  <c r="C12" i="122"/>
  <c r="B34" i="122" s="1"/>
  <c r="C14" i="122"/>
  <c r="B31" i="122" s="1"/>
  <c r="C16" i="122"/>
  <c r="B33" i="122" s="1"/>
  <c r="C11" i="122"/>
  <c r="B36" i="122" s="1"/>
  <c r="C13" i="122"/>
  <c r="B32" i="122" s="1"/>
  <c r="C22" i="121"/>
  <c r="C30" i="121" s="1"/>
  <c r="C19" i="121"/>
  <c r="C31" i="121" s="1"/>
  <c r="C21" i="121"/>
  <c r="C28" i="121" s="1"/>
  <c r="C18" i="121"/>
  <c r="C27" i="121" s="1"/>
  <c r="C20" i="121"/>
  <c r="C29" i="121" s="1"/>
  <c r="C13" i="121"/>
  <c r="B28" i="121" s="1"/>
  <c r="C12" i="121"/>
  <c r="B27" i="121" s="1"/>
  <c r="C10" i="121"/>
  <c r="B29" i="121" s="1"/>
  <c r="C14" i="121"/>
  <c r="B30" i="121" s="1"/>
  <c r="C11" i="121"/>
  <c r="B31" i="121" s="1"/>
  <c r="C18" i="120"/>
  <c r="C27" i="120" s="1"/>
  <c r="C17" i="120"/>
  <c r="C28" i="120" s="1"/>
  <c r="C19" i="120"/>
  <c r="C26" i="120" s="1"/>
  <c r="C10" i="120"/>
  <c r="B28" i="120" s="1"/>
  <c r="C12" i="120"/>
  <c r="B26" i="120" s="1"/>
  <c r="C11" i="120"/>
  <c r="B27" i="120" s="1"/>
  <c r="C23" i="119"/>
  <c r="C35" i="119" s="1"/>
  <c r="C20" i="119"/>
  <c r="C31" i="119" s="1"/>
  <c r="C22" i="119"/>
  <c r="C36" i="119" s="1"/>
  <c r="C24" i="119"/>
  <c r="C32" i="119" s="1"/>
  <c r="C25" i="119"/>
  <c r="C33" i="119" s="1"/>
  <c r="C26" i="119"/>
  <c r="C37" i="119" s="1"/>
  <c r="C21" i="119"/>
  <c r="C34" i="119" s="1"/>
  <c r="J15" i="119"/>
  <c r="D33" i="119" s="1"/>
  <c r="C15" i="119"/>
  <c r="B33" i="119" s="1"/>
  <c r="C11" i="119"/>
  <c r="B34" i="119" s="1"/>
  <c r="C10" i="119"/>
  <c r="B31" i="119" s="1"/>
  <c r="C12" i="119"/>
  <c r="B36" i="119" s="1"/>
  <c r="C14" i="119"/>
  <c r="B32" i="119" s="1"/>
  <c r="C16" i="119"/>
  <c r="B37" i="119" s="1"/>
  <c r="C13" i="119"/>
  <c r="B35" i="119" s="1"/>
  <c r="C27" i="118"/>
  <c r="C34" i="118" s="1"/>
  <c r="C24" i="118"/>
  <c r="C35" i="118" s="1"/>
  <c r="C26" i="118"/>
  <c r="C38" i="118" s="1"/>
  <c r="C28" i="118"/>
  <c r="C37" i="118" s="1"/>
  <c r="C22" i="118"/>
  <c r="C39" i="118" s="1"/>
  <c r="C21" i="118"/>
  <c r="C41" i="118" s="1"/>
  <c r="C23" i="118"/>
  <c r="C36" i="118" s="1"/>
  <c r="C25" i="118"/>
  <c r="C40" i="118" s="1"/>
  <c r="C14" i="118"/>
  <c r="B38" i="118" s="1"/>
  <c r="C11" i="118"/>
  <c r="B36" i="118" s="1"/>
  <c r="C13" i="118"/>
  <c r="B40" i="118" s="1"/>
  <c r="C16" i="118"/>
  <c r="B37" i="118" s="1"/>
  <c r="C10" i="118"/>
  <c r="B39" i="118" s="1"/>
  <c r="C12" i="118"/>
  <c r="B35" i="118" s="1"/>
  <c r="C35" i="117"/>
  <c r="C50" i="117" s="1"/>
  <c r="C26" i="117"/>
  <c r="C44" i="117" s="1"/>
  <c r="C28" i="117"/>
  <c r="C48" i="117" s="1"/>
  <c r="C30" i="117"/>
  <c r="C42" i="117" s="1"/>
  <c r="C32" i="117"/>
  <c r="C49" i="117" s="1"/>
  <c r="C34" i="117"/>
  <c r="C51" i="117" s="1"/>
  <c r="C25" i="117"/>
  <c r="C43" i="117" s="1"/>
  <c r="C27" i="117"/>
  <c r="C46" i="117" s="1"/>
  <c r="C29" i="117"/>
  <c r="C45" i="117" s="1"/>
  <c r="C31" i="117"/>
  <c r="C47" i="117" s="1"/>
  <c r="C33" i="117"/>
  <c r="C41" i="117" s="1"/>
  <c r="J14" i="117"/>
  <c r="D45" i="117" s="1"/>
  <c r="J13" i="117"/>
  <c r="D48" i="117" s="1"/>
  <c r="C18" i="117"/>
  <c r="B41" i="117" s="1"/>
  <c r="C11" i="117"/>
  <c r="B44" i="117" s="1"/>
  <c r="C13" i="117"/>
  <c r="B48" i="117" s="1"/>
  <c r="C15" i="117"/>
  <c r="B42" i="117" s="1"/>
  <c r="C17" i="117"/>
  <c r="B49" i="117" s="1"/>
  <c r="C19" i="117"/>
  <c r="B51" i="117" s="1"/>
  <c r="C20" i="117"/>
  <c r="B50" i="117" s="1"/>
  <c r="C10" i="117"/>
  <c r="B43" i="117" s="1"/>
  <c r="C12" i="117"/>
  <c r="B46" i="117" s="1"/>
  <c r="C14" i="117"/>
  <c r="B45" i="117" s="1"/>
  <c r="C16" i="117"/>
  <c r="B47" i="117" s="1"/>
  <c r="J11" i="117"/>
  <c r="D44" i="117" s="1"/>
  <c r="C27" i="115"/>
  <c r="C44" i="115" s="1"/>
  <c r="C29" i="115"/>
  <c r="C48" i="115" s="1"/>
  <c r="C31" i="115"/>
  <c r="C52" i="115" s="1"/>
  <c r="C33" i="115"/>
  <c r="C43" i="115" s="1"/>
  <c r="C35" i="115"/>
  <c r="C47" i="115" s="1"/>
  <c r="C36" i="115"/>
  <c r="C51" i="115" s="1"/>
  <c r="C26" i="115"/>
  <c r="C45" i="115" s="1"/>
  <c r="C28" i="115"/>
  <c r="C37" i="115"/>
  <c r="C53" i="115" s="1"/>
  <c r="C10" i="115"/>
  <c r="B45" i="115" s="1"/>
  <c r="C12" i="115"/>
  <c r="C14" i="115"/>
  <c r="B46" i="115" s="1"/>
  <c r="C16" i="115"/>
  <c r="B50" i="115" s="1"/>
  <c r="C21" i="115"/>
  <c r="B53" i="115" s="1"/>
  <c r="C20" i="115"/>
  <c r="B51" i="115" s="1"/>
  <c r="C19" i="115"/>
  <c r="B47" i="115" s="1"/>
  <c r="C11" i="115"/>
  <c r="B44" i="115" s="1"/>
  <c r="C18" i="115"/>
  <c r="B49" i="115" s="1"/>
  <c r="C29" i="114"/>
  <c r="C47" i="114" s="1"/>
  <c r="C31" i="114"/>
  <c r="C43" i="114" s="1"/>
  <c r="C27" i="114"/>
  <c r="C42" i="114" s="1"/>
  <c r="C25" i="114"/>
  <c r="C45" i="114" s="1"/>
  <c r="C23" i="114"/>
  <c r="C44" i="114" s="1"/>
  <c r="C32" i="114"/>
  <c r="C49" i="114" s="1"/>
  <c r="C24" i="114"/>
  <c r="C41" i="114" s="1"/>
  <c r="C26" i="114"/>
  <c r="C48" i="114" s="1"/>
  <c r="C28" i="114"/>
  <c r="C40" i="114" s="1"/>
  <c r="C30" i="114"/>
  <c r="C46" i="114" s="1"/>
  <c r="C18" i="114"/>
  <c r="B49" i="114" s="1"/>
  <c r="C9" i="114"/>
  <c r="B44" i="114" s="1"/>
  <c r="C11" i="114"/>
  <c r="B45" i="114" s="1"/>
  <c r="C13" i="114"/>
  <c r="B42" i="114" s="1"/>
  <c r="C15" i="114"/>
  <c r="B47" i="114" s="1"/>
  <c r="C17" i="114"/>
  <c r="B43" i="114" s="1"/>
  <c r="C10" i="114"/>
  <c r="B41" i="114" s="1"/>
  <c r="C12" i="114"/>
  <c r="B48" i="114" s="1"/>
  <c r="C14" i="114"/>
  <c r="B40" i="114" s="1"/>
  <c r="C16" i="114"/>
  <c r="B46" i="114" s="1"/>
  <c r="J11" i="114"/>
  <c r="D45" i="114" s="1"/>
  <c r="C70" i="113"/>
  <c r="C67" i="113"/>
  <c r="C56" i="113"/>
  <c r="C71" i="113"/>
  <c r="C59" i="113"/>
  <c r="C66" i="113"/>
  <c r="C68" i="113"/>
  <c r="C61" i="113"/>
  <c r="C69" i="113"/>
  <c r="C60" i="113"/>
  <c r="C58" i="113"/>
  <c r="C57" i="113"/>
  <c r="C64" i="113"/>
  <c r="C62" i="113"/>
  <c r="C73" i="113"/>
  <c r="C65" i="113"/>
  <c r="C74" i="113"/>
  <c r="C72" i="113"/>
  <c r="C63" i="113"/>
  <c r="B71" i="113"/>
  <c r="B70" i="113"/>
  <c r="B56" i="113"/>
  <c r="B67" i="113"/>
  <c r="B65" i="113"/>
  <c r="B62" i="113"/>
  <c r="B57" i="113"/>
  <c r="B63" i="113"/>
  <c r="B74" i="113"/>
  <c r="B73" i="113"/>
  <c r="B64" i="113"/>
  <c r="B58" i="113"/>
  <c r="B69" i="113"/>
  <c r="B61" i="113"/>
  <c r="B68" i="113"/>
  <c r="B66" i="113"/>
  <c r="B8" i="114"/>
  <c r="B9" i="115" s="1"/>
  <c r="G9" i="115" s="1"/>
  <c r="B32" i="113"/>
  <c r="B22" i="114" s="1"/>
  <c r="G22" i="114" s="1"/>
  <c r="J9" i="133"/>
  <c r="D32" i="133" s="1"/>
  <c r="J21" i="133"/>
  <c r="E38" i="133" s="1"/>
  <c r="J22" i="133"/>
  <c r="E34" i="133" s="1"/>
  <c r="J22" i="131"/>
  <c r="E31" i="131" s="1"/>
  <c r="J23" i="131"/>
  <c r="E29" i="131" s="1"/>
  <c r="J13" i="131"/>
  <c r="D31" i="131" s="1"/>
  <c r="J17" i="128"/>
  <c r="E24" i="128" s="1"/>
  <c r="J18" i="127"/>
  <c r="E28" i="127" s="1"/>
  <c r="J9" i="127"/>
  <c r="D28" i="127" s="1"/>
  <c r="J11" i="127"/>
  <c r="D31" i="127" s="1"/>
  <c r="J14" i="125"/>
  <c r="D31" i="125" s="1"/>
  <c r="J23" i="122"/>
  <c r="E35" i="122" s="1"/>
  <c r="J22" i="122"/>
  <c r="E34" i="122" s="1"/>
  <c r="J13" i="120"/>
  <c r="D25" i="120" s="1"/>
  <c r="J11" i="120"/>
  <c r="D27" i="120" s="1"/>
  <c r="C19" i="112"/>
  <c r="B58" i="112" s="1"/>
  <c r="C14" i="112"/>
  <c r="B56" i="112" s="1"/>
  <c r="C20" i="112"/>
  <c r="B59" i="112" s="1"/>
  <c r="C16" i="112"/>
  <c r="B55" i="112" s="1"/>
  <c r="C22" i="112"/>
  <c r="B57" i="112" s="1"/>
  <c r="C11" i="112"/>
  <c r="B49" i="112" s="1"/>
  <c r="C17" i="112"/>
  <c r="B60" i="112" s="1"/>
  <c r="C23" i="112"/>
  <c r="B61" i="112" s="1"/>
  <c r="C10" i="112"/>
  <c r="B52" i="112" s="1"/>
  <c r="C18" i="112"/>
  <c r="B53" i="112" s="1"/>
  <c r="C12" i="112"/>
  <c r="B51" i="112" s="1"/>
  <c r="C13" i="112"/>
  <c r="B54" i="112" s="1"/>
  <c r="J14" i="112"/>
  <c r="D56" i="112" s="1"/>
  <c r="J12" i="114"/>
  <c r="D48" i="114" s="1"/>
  <c r="J18" i="114"/>
  <c r="D49" i="114" s="1"/>
  <c r="J10" i="119"/>
  <c r="D31" i="119" s="1"/>
  <c r="J13" i="119"/>
  <c r="D35" i="119" s="1"/>
  <c r="J12" i="119"/>
  <c r="D36" i="119" s="1"/>
  <c r="J16" i="119"/>
  <c r="D37" i="119" s="1"/>
  <c r="J19" i="121"/>
  <c r="E28" i="121" s="1"/>
  <c r="J20" i="121"/>
  <c r="E27" i="121" s="1"/>
  <c r="J22" i="121"/>
  <c r="E30" i="121" s="1"/>
  <c r="J21" i="121"/>
  <c r="E31" i="121" s="1"/>
  <c r="J13" i="124"/>
  <c r="D29" i="124" s="1"/>
  <c r="J12" i="124"/>
  <c r="D27" i="124" s="1"/>
  <c r="J11" i="119"/>
  <c r="D34" i="119" s="1"/>
  <c r="J24" i="125"/>
  <c r="E33" i="125" s="1"/>
  <c r="J20" i="112"/>
  <c r="D59" i="112" s="1"/>
  <c r="J18" i="121"/>
  <c r="E29" i="121" s="1"/>
  <c r="J24" i="123"/>
  <c r="E37" i="123" s="1"/>
  <c r="J23" i="123"/>
  <c r="E39" i="123" s="1"/>
  <c r="J27" i="123"/>
  <c r="E36" i="123" s="1"/>
  <c r="J22" i="123"/>
  <c r="E33" i="123" s="1"/>
  <c r="J26" i="123"/>
  <c r="E35" i="123" s="1"/>
  <c r="J10" i="112"/>
  <c r="D52" i="112" s="1"/>
  <c r="J23" i="112"/>
  <c r="D61" i="112" s="1"/>
  <c r="J14" i="114"/>
  <c r="D40" i="114" s="1"/>
  <c r="J16" i="112"/>
  <c r="D55" i="112" s="1"/>
  <c r="J15" i="114"/>
  <c r="D47" i="114" s="1"/>
  <c r="J21" i="112"/>
  <c r="D62" i="112" s="1"/>
  <c r="J17" i="112"/>
  <c r="D60" i="112" s="1"/>
  <c r="J10" i="114"/>
  <c r="D41" i="114" s="1"/>
  <c r="J17" i="114"/>
  <c r="D43" i="114" s="1"/>
  <c r="J13" i="114"/>
  <c r="D42" i="114" s="1"/>
  <c r="J9" i="114"/>
  <c r="D44" i="114" s="1"/>
  <c r="J16" i="114"/>
  <c r="D46" i="114" s="1"/>
  <c r="J13" i="112"/>
  <c r="D54" i="112" s="1"/>
  <c r="J22" i="112"/>
  <c r="D57" i="112" s="1"/>
  <c r="J12" i="121"/>
  <c r="D29" i="121" s="1"/>
  <c r="J11" i="121"/>
  <c r="D30" i="121" s="1"/>
  <c r="J10" i="121"/>
  <c r="D27" i="121" s="1"/>
  <c r="J14" i="121"/>
  <c r="D31" i="121" s="1"/>
  <c r="J16" i="129"/>
  <c r="E24" i="129" s="1"/>
  <c r="J15" i="129"/>
  <c r="E25" i="129" s="1"/>
  <c r="J17" i="129"/>
  <c r="E26" i="129" s="1"/>
  <c r="J18" i="117"/>
  <c r="D41" i="117" s="1"/>
  <c r="J14" i="119"/>
  <c r="D32" i="119" s="1"/>
  <c r="J11" i="123"/>
  <c r="D33" i="123" s="1"/>
  <c r="J20" i="127"/>
  <c r="E31" i="127" s="1"/>
  <c r="J21" i="130"/>
  <c r="E39" i="130" s="1"/>
  <c r="J26" i="130"/>
  <c r="E37" i="130" s="1"/>
  <c r="J20" i="132"/>
  <c r="E29" i="132" s="1"/>
  <c r="J11" i="133"/>
  <c r="D37" i="133" s="1"/>
  <c r="J27" i="130"/>
  <c r="E40" i="130" s="1"/>
  <c r="J13" i="121"/>
  <c r="D28" i="121" s="1"/>
  <c r="J12" i="123"/>
  <c r="D39" i="123" s="1"/>
  <c r="J17" i="123"/>
  <c r="D40" i="123" s="1"/>
  <c r="J25" i="123"/>
  <c r="E38" i="123" s="1"/>
  <c r="J21" i="132"/>
  <c r="E30" i="132" s="1"/>
  <c r="J12" i="133"/>
  <c r="J10" i="117"/>
  <c r="D43" i="117" s="1"/>
  <c r="J15" i="117"/>
  <c r="D42" i="117" s="1"/>
  <c r="J20" i="117"/>
  <c r="D50" i="117" s="1"/>
  <c r="J13" i="125"/>
  <c r="D34" i="125" s="1"/>
  <c r="J21" i="125"/>
  <c r="E35" i="125" s="1"/>
  <c r="J18" i="128"/>
  <c r="E25" i="128" s="1"/>
  <c r="J23" i="130"/>
  <c r="E35" i="130" s="1"/>
  <c r="J19" i="131"/>
  <c r="E30" i="131" s="1"/>
  <c r="J10" i="120"/>
  <c r="D28" i="120" s="1"/>
  <c r="J21" i="123"/>
  <c r="E34" i="123" s="1"/>
  <c r="J11" i="124"/>
  <c r="D28" i="124" s="1"/>
  <c r="J14" i="124"/>
  <c r="D30" i="124" s="1"/>
  <c r="J22" i="132"/>
  <c r="E32" i="132" s="1"/>
  <c r="J16" i="117"/>
  <c r="D47" i="117" s="1"/>
  <c r="J22" i="125"/>
  <c r="E34" i="125" s="1"/>
  <c r="J10" i="130"/>
  <c r="D34" i="130" s="1"/>
  <c r="J15" i="130"/>
  <c r="D38" i="130" s="1"/>
  <c r="J20" i="131"/>
  <c r="E33" i="131" s="1"/>
  <c r="J13" i="133"/>
  <c r="D31" i="133" s="1"/>
  <c r="J20" i="133"/>
  <c r="E37" i="133" s="1"/>
  <c r="J23" i="133"/>
  <c r="E33" i="133" s="1"/>
  <c r="J24" i="130"/>
  <c r="E36" i="130" s="1"/>
  <c r="J23" i="132"/>
  <c r="E31" i="132" s="1"/>
  <c r="J12" i="117"/>
  <c r="D46" i="117" s="1"/>
  <c r="J24" i="122"/>
  <c r="E31" i="122" s="1"/>
  <c r="J15" i="125"/>
  <c r="D33" i="125" s="1"/>
  <c r="J10" i="127"/>
  <c r="J11" i="130"/>
  <c r="D37" i="130" s="1"/>
  <c r="J11" i="131"/>
  <c r="D33" i="131" s="1"/>
  <c r="J10" i="131"/>
  <c r="D30" i="131" s="1"/>
  <c r="J14" i="133"/>
  <c r="D38" i="133" s="1"/>
  <c r="J26" i="133"/>
  <c r="E39" i="133" s="1"/>
  <c r="J17" i="117"/>
  <c r="D49" i="117" s="1"/>
  <c r="J12" i="120"/>
  <c r="D26" i="120" s="1"/>
  <c r="J10" i="123"/>
  <c r="D34" i="123" s="1"/>
  <c r="J23" i="125"/>
  <c r="E31" i="125" s="1"/>
  <c r="J16" i="130"/>
  <c r="D40" i="130" s="1"/>
  <c r="J19" i="132"/>
  <c r="E27" i="132" s="1"/>
  <c r="J21" i="122"/>
  <c r="E37" i="122" s="1"/>
  <c r="J25" i="122"/>
  <c r="E32" i="122" s="1"/>
  <c r="J25" i="130"/>
  <c r="E34" i="130" s="1"/>
  <c r="J15" i="133"/>
  <c r="D34" i="133" s="1"/>
  <c r="J28" i="123"/>
  <c r="E40" i="123" s="1"/>
  <c r="J33" i="115" l="1"/>
  <c r="E43" i="115" s="1"/>
  <c r="F43" i="115" s="1"/>
  <c r="J31" i="117"/>
  <c r="E47" i="117" s="1"/>
  <c r="F47" i="117" s="1"/>
  <c r="B25" i="115"/>
  <c r="B24" i="117" s="1"/>
  <c r="J10" i="128"/>
  <c r="D24" i="128" s="1"/>
  <c r="F24" i="128" s="1"/>
  <c r="J31" i="115"/>
  <c r="E52" i="115" s="1"/>
  <c r="F52" i="115" s="1"/>
  <c r="J36" i="115"/>
  <c r="E51" i="115" s="1"/>
  <c r="F51" i="115" s="1"/>
  <c r="J32" i="117"/>
  <c r="E49" i="117" s="1"/>
  <c r="F49" i="117" s="1"/>
  <c r="F35" i="133"/>
  <c r="J39" i="112"/>
  <c r="E60" i="112" s="1"/>
  <c r="F60" i="112" s="1"/>
  <c r="F32" i="131"/>
  <c r="F39" i="130"/>
  <c r="J12" i="128"/>
  <c r="D26" i="128" s="1"/>
  <c r="F26" i="128" s="1"/>
  <c r="J27" i="115"/>
  <c r="E44" i="115" s="1"/>
  <c r="F44" i="115" s="1"/>
  <c r="J37" i="115"/>
  <c r="E53" i="115" s="1"/>
  <c r="F53" i="115" s="1"/>
  <c r="J29" i="115"/>
  <c r="E48" i="115" s="1"/>
  <c r="F48" i="115" s="1"/>
  <c r="J32" i="115"/>
  <c r="E50" i="115" s="1"/>
  <c r="F50" i="115" s="1"/>
  <c r="J30" i="115"/>
  <c r="E46" i="115" s="1"/>
  <c r="F46" i="115" s="1"/>
  <c r="J26" i="115"/>
  <c r="E45" i="115" s="1"/>
  <c r="F45" i="115" s="1"/>
  <c r="J35" i="115"/>
  <c r="E47" i="115" s="1"/>
  <c r="F47" i="115" s="1"/>
  <c r="J28" i="115"/>
  <c r="J34" i="115"/>
  <c r="E49" i="115" s="1"/>
  <c r="F49" i="115" s="1"/>
  <c r="J29" i="114"/>
  <c r="E47" i="114" s="1"/>
  <c r="F47" i="114" s="1"/>
  <c r="J45" i="113"/>
  <c r="E63" i="113" s="1"/>
  <c r="F63" i="113" s="1"/>
  <c r="J47" i="113"/>
  <c r="E74" i="113" s="1"/>
  <c r="F74" i="113" s="1"/>
  <c r="J51" i="113"/>
  <c r="E73" i="113" s="1"/>
  <c r="F73" i="113" s="1"/>
  <c r="J48" i="113"/>
  <c r="E64" i="113" s="1"/>
  <c r="F64" i="113" s="1"/>
  <c r="J39" i="113"/>
  <c r="E58" i="113" s="1"/>
  <c r="F58" i="113" s="1"/>
  <c r="J44" i="113"/>
  <c r="E68" i="113" s="1"/>
  <c r="F68" i="113" s="1"/>
  <c r="J40" i="113"/>
  <c r="E60" i="113" s="1"/>
  <c r="F60" i="113" s="1"/>
  <c r="J41" i="113"/>
  <c r="E56" i="113" s="1"/>
  <c r="F56" i="113" s="1"/>
  <c r="J42" i="113"/>
  <c r="E69" i="113" s="1"/>
  <c r="F69" i="113" s="1"/>
  <c r="J33" i="113"/>
  <c r="E61" i="113" s="1"/>
  <c r="F61" i="113" s="1"/>
  <c r="J36" i="113"/>
  <c r="E66" i="113" s="1"/>
  <c r="F66" i="113" s="1"/>
  <c r="J35" i="113"/>
  <c r="E59" i="113" s="1"/>
  <c r="F59" i="113" s="1"/>
  <c r="J50" i="113"/>
  <c r="E71" i="113" s="1"/>
  <c r="F71" i="113" s="1"/>
  <c r="J38" i="113"/>
  <c r="E67" i="113" s="1"/>
  <c r="F67" i="113" s="1"/>
  <c r="J49" i="113"/>
  <c r="E72" i="113" s="1"/>
  <c r="F72" i="113" s="1"/>
  <c r="J37" i="113"/>
  <c r="E65" i="113" s="1"/>
  <c r="F65" i="113" s="1"/>
  <c r="J43" i="113"/>
  <c r="E62" i="113" s="1"/>
  <c r="F62" i="113" s="1"/>
  <c r="J34" i="113"/>
  <c r="E57" i="113" s="1"/>
  <c r="F57" i="113" s="1"/>
  <c r="J46" i="113"/>
  <c r="E70" i="113" s="1"/>
  <c r="F70" i="113" s="1"/>
  <c r="J29" i="112"/>
  <c r="E53" i="112" s="1"/>
  <c r="F53" i="112" s="1"/>
  <c r="J32" i="112"/>
  <c r="E51" i="112" s="1"/>
  <c r="F51" i="112" s="1"/>
  <c r="J34" i="112"/>
  <c r="E56" i="112" s="1"/>
  <c r="F56" i="112" s="1"/>
  <c r="J40" i="112"/>
  <c r="E62" i="112" s="1"/>
  <c r="F62" i="112" s="1"/>
  <c r="F29" i="131"/>
  <c r="D32" i="127"/>
  <c r="F32" i="127" s="1"/>
  <c r="D39" i="133"/>
  <c r="D36" i="133"/>
  <c r="C39" i="133"/>
  <c r="C36" i="133"/>
  <c r="J20" i="124"/>
  <c r="E29" i="124" s="1"/>
  <c r="F29" i="124" s="1"/>
  <c r="J18" i="124"/>
  <c r="E28" i="124" s="1"/>
  <c r="F28" i="124" s="1"/>
  <c r="J19" i="124"/>
  <c r="E27" i="124" s="1"/>
  <c r="F27" i="124" s="1"/>
  <c r="J21" i="124"/>
  <c r="E30" i="124" s="1"/>
  <c r="F30" i="124" s="1"/>
  <c r="F25" i="129"/>
  <c r="F32" i="125"/>
  <c r="F24" i="129"/>
  <c r="F34" i="125"/>
  <c r="F37" i="122"/>
  <c r="F33" i="122"/>
  <c r="F30" i="132"/>
  <c r="F31" i="131"/>
  <c r="F37" i="130"/>
  <c r="F31" i="127"/>
  <c r="F33" i="123"/>
  <c r="F28" i="121"/>
  <c r="J20" i="120"/>
  <c r="E26" i="120" s="1"/>
  <c r="F26" i="120" s="1"/>
  <c r="J17" i="120"/>
  <c r="E25" i="120" s="1"/>
  <c r="F25" i="120" s="1"/>
  <c r="J19" i="120"/>
  <c r="E27" i="120" s="1"/>
  <c r="F27" i="120" s="1"/>
  <c r="J22" i="119"/>
  <c r="E33" i="119" s="1"/>
  <c r="F33" i="119" s="1"/>
  <c r="J26" i="119"/>
  <c r="E36" i="119" s="1"/>
  <c r="F36" i="119" s="1"/>
  <c r="J23" i="119"/>
  <c r="E35" i="119" s="1"/>
  <c r="F35" i="119" s="1"/>
  <c r="J21" i="119"/>
  <c r="E34" i="119" s="1"/>
  <c r="F34" i="119" s="1"/>
  <c r="J25" i="119"/>
  <c r="E37" i="119" s="1"/>
  <c r="F37" i="119" s="1"/>
  <c r="J24" i="119"/>
  <c r="E31" i="119" s="1"/>
  <c r="F31" i="119" s="1"/>
  <c r="F41" i="118"/>
  <c r="J28" i="117"/>
  <c r="E48" i="117" s="1"/>
  <c r="F48" i="117" s="1"/>
  <c r="J25" i="117"/>
  <c r="E43" i="117" s="1"/>
  <c r="F43" i="117" s="1"/>
  <c r="J26" i="117"/>
  <c r="E44" i="117" s="1"/>
  <c r="F44" i="117" s="1"/>
  <c r="J34" i="117"/>
  <c r="E51" i="117" s="1"/>
  <c r="F51" i="117" s="1"/>
  <c r="J33" i="117"/>
  <c r="E41" i="117" s="1"/>
  <c r="F41" i="117" s="1"/>
  <c r="J35" i="117"/>
  <c r="E50" i="117" s="1"/>
  <c r="F50" i="117" s="1"/>
  <c r="J27" i="117"/>
  <c r="E46" i="117" s="1"/>
  <c r="F46" i="117" s="1"/>
  <c r="J30" i="117"/>
  <c r="E42" i="117" s="1"/>
  <c r="F42" i="117" s="1"/>
  <c r="J29" i="117"/>
  <c r="E45" i="117" s="1"/>
  <c r="F45" i="117" s="1"/>
  <c r="J26" i="114"/>
  <c r="E48" i="114" s="1"/>
  <c r="F48" i="114" s="1"/>
  <c r="J28" i="114"/>
  <c r="E40" i="114" s="1"/>
  <c r="F40" i="114" s="1"/>
  <c r="J23" i="114"/>
  <c r="E44" i="114" s="1"/>
  <c r="F44" i="114" s="1"/>
  <c r="J27" i="114"/>
  <c r="E42" i="114" s="1"/>
  <c r="F42" i="114" s="1"/>
  <c r="J24" i="114"/>
  <c r="E41" i="114" s="1"/>
  <c r="F41" i="114" s="1"/>
  <c r="J31" i="114"/>
  <c r="E43" i="114" s="1"/>
  <c r="F43" i="114" s="1"/>
  <c r="J32" i="114"/>
  <c r="E49" i="114" s="1"/>
  <c r="F49" i="114" s="1"/>
  <c r="J25" i="114"/>
  <c r="E45" i="114" s="1"/>
  <c r="F45" i="114" s="1"/>
  <c r="J30" i="114"/>
  <c r="E46" i="114" s="1"/>
  <c r="F46" i="114" s="1"/>
  <c r="B9" i="117"/>
  <c r="G9" i="117" s="1"/>
  <c r="J30" i="112"/>
  <c r="E49" i="112" s="1"/>
  <c r="F49" i="112" s="1"/>
  <c r="J35" i="112"/>
  <c r="E57" i="112" s="1"/>
  <c r="F57" i="112" s="1"/>
  <c r="J38" i="112"/>
  <c r="E55" i="112" s="1"/>
  <c r="F55" i="112" s="1"/>
  <c r="J31" i="112"/>
  <c r="E50" i="112" s="1"/>
  <c r="F50" i="112" s="1"/>
  <c r="J41" i="112"/>
  <c r="E61" i="112" s="1"/>
  <c r="F61" i="112" s="1"/>
  <c r="J28" i="112"/>
  <c r="E52" i="112" s="1"/>
  <c r="F52" i="112" s="1"/>
  <c r="J37" i="112"/>
  <c r="E59" i="112" s="1"/>
  <c r="F59" i="112" s="1"/>
  <c r="J36" i="112"/>
  <c r="E58" i="112" s="1"/>
  <c r="F58" i="112" s="1"/>
  <c r="J33" i="112"/>
  <c r="E54" i="112" s="1"/>
  <c r="F54" i="112" s="1"/>
  <c r="F32" i="133"/>
  <c r="F28" i="127"/>
  <c r="F36" i="125"/>
  <c r="F36" i="118"/>
  <c r="F36" i="122"/>
  <c r="F39" i="118"/>
  <c r="F34" i="118"/>
  <c r="F31" i="133"/>
  <c r="F38" i="133"/>
  <c r="F33" i="133"/>
  <c r="F28" i="132"/>
  <c r="F29" i="132"/>
  <c r="F31" i="132"/>
  <c r="F32" i="132"/>
  <c r="F27" i="132"/>
  <c r="F35" i="130"/>
  <c r="F40" i="130"/>
  <c r="F36" i="130"/>
  <c r="F38" i="130"/>
  <c r="F34" i="130"/>
  <c r="F31" i="125"/>
  <c r="F33" i="125"/>
  <c r="F35" i="125"/>
  <c r="F26" i="129"/>
  <c r="F27" i="128"/>
  <c r="F25" i="128"/>
  <c r="F35" i="118"/>
  <c r="F40" i="123"/>
  <c r="F34" i="123"/>
  <c r="F37" i="123"/>
  <c r="F39" i="123"/>
  <c r="F35" i="123"/>
  <c r="F36" i="123"/>
  <c r="F38" i="123"/>
  <c r="F34" i="122"/>
  <c r="F35" i="122"/>
  <c r="F31" i="122"/>
  <c r="F32" i="122"/>
  <c r="F27" i="121"/>
  <c r="F29" i="121"/>
  <c r="F30" i="121"/>
  <c r="F31" i="121"/>
  <c r="F28" i="120"/>
  <c r="F32" i="119"/>
  <c r="F37" i="118"/>
  <c r="F38" i="118"/>
  <c r="F40" i="118"/>
  <c r="F37" i="133"/>
  <c r="F34" i="133"/>
  <c r="F30" i="131"/>
  <c r="F33" i="131"/>
  <c r="G25" i="115"/>
  <c r="B9" i="119" l="1"/>
  <c r="B19" i="119" s="1"/>
  <c r="F36" i="133"/>
  <c r="F39" i="133"/>
  <c r="G24" i="117"/>
  <c r="A38" i="117"/>
  <c r="G9" i="119" l="1"/>
  <c r="G19" i="119" s="1"/>
  <c r="P15" i="78"/>
  <c r="Q15" i="78" s="1"/>
  <c r="P14" i="78"/>
  <c r="Q14" i="78" s="1"/>
  <c r="P13" i="78"/>
  <c r="Q13" i="78" s="1"/>
  <c r="P12" i="78"/>
  <c r="Q12" i="78" s="1"/>
  <c r="N15" i="78" l="1"/>
  <c r="O15" i="78" s="1"/>
  <c r="N14" i="78"/>
  <c r="O14" i="78" s="1"/>
  <c r="L15" i="78"/>
  <c r="L14" i="78"/>
  <c r="L13" i="78"/>
  <c r="L12" i="78"/>
  <c r="N13" i="78"/>
  <c r="O13" i="78" s="1"/>
  <c r="N12" i="78"/>
  <c r="O12" i="78" s="1"/>
  <c r="T10" i="110"/>
  <c r="T9" i="110"/>
  <c r="T8" i="110"/>
  <c r="T7" i="110"/>
  <c r="T6" i="110"/>
  <c r="T5" i="110"/>
  <c r="T4" i="110"/>
  <c r="T3" i="110"/>
  <c r="J10" i="110" l="1"/>
  <c r="J9" i="110"/>
  <c r="J8" i="110"/>
  <c r="J7" i="110"/>
  <c r="J6" i="110"/>
  <c r="J5" i="110"/>
  <c r="J4" i="110"/>
  <c r="J3" i="110"/>
  <c r="T8" i="78" l="1"/>
  <c r="S8" i="78"/>
  <c r="B6" i="78" l="1"/>
  <c r="D6" i="78"/>
  <c r="J4" i="80" l="1"/>
  <c r="J5" i="80" s="1"/>
  <c r="I19" i="105" l="1"/>
  <c r="C19" i="105"/>
  <c r="C29" i="105" s="1"/>
  <c r="I18" i="105"/>
  <c r="C18" i="105"/>
  <c r="C27" i="105" s="1"/>
  <c r="I17" i="105"/>
  <c r="C17" i="105"/>
  <c r="C26" i="105" s="1"/>
  <c r="I16" i="105"/>
  <c r="C16" i="105"/>
  <c r="C28" i="105" s="1"/>
  <c r="J12" i="105"/>
  <c r="D29" i="105" s="1"/>
  <c r="C12" i="105"/>
  <c r="B29" i="105" s="1"/>
  <c r="J11" i="105"/>
  <c r="D27" i="105" s="1"/>
  <c r="C11" i="105"/>
  <c r="B27" i="105" s="1"/>
  <c r="J10" i="105"/>
  <c r="D26" i="105" s="1"/>
  <c r="C10" i="105"/>
  <c r="B26" i="105" s="1"/>
  <c r="J9" i="105"/>
  <c r="D28" i="105" s="1"/>
  <c r="C9" i="105"/>
  <c r="B28" i="105" s="1"/>
  <c r="J18" i="105" l="1"/>
  <c r="E27" i="105" s="1"/>
  <c r="F27" i="105" s="1"/>
  <c r="J19" i="105"/>
  <c r="E29" i="105" s="1"/>
  <c r="F29" i="105" s="1"/>
  <c r="J17" i="105"/>
  <c r="E26" i="105" s="1"/>
  <c r="F26" i="105" s="1"/>
  <c r="J16" i="105"/>
  <c r="E28" i="105" s="1"/>
  <c r="F28" i="105" s="1"/>
  <c r="B4" i="80" l="1"/>
  <c r="A4" i="80"/>
  <c r="K3" i="80"/>
  <c r="K4" i="80" s="1"/>
  <c r="K5" i="80" s="1"/>
  <c r="G3" i="80"/>
  <c r="M3" i="80" l="1"/>
  <c r="M4" i="80" s="1"/>
  <c r="M5" i="80" s="1"/>
  <c r="C5" i="78" s="1"/>
  <c r="D5" i="78" s="1"/>
  <c r="N3" i="80" l="1"/>
  <c r="N4" i="80" s="1"/>
  <c r="N5" i="80" s="1"/>
  <c r="L3" i="80"/>
  <c r="L4" i="80" s="1"/>
  <c r="L5" i="80" s="1"/>
  <c r="B5" i="78" s="1"/>
  <c r="C45" i="75" l="1"/>
  <c r="AA45" i="75"/>
  <c r="Z45" i="75"/>
  <c r="Y45" i="75"/>
  <c r="X45" i="75"/>
  <c r="W45" i="75"/>
  <c r="V45" i="75"/>
  <c r="U45" i="75"/>
  <c r="T45" i="75"/>
  <c r="S45" i="75"/>
  <c r="R45" i="75"/>
  <c r="Q45" i="75"/>
  <c r="M45" i="75"/>
  <c r="L45" i="75"/>
  <c r="K45" i="75"/>
  <c r="J45" i="75"/>
  <c r="I45" i="75"/>
  <c r="H45" i="75"/>
  <c r="G45" i="75"/>
  <c r="F45" i="75"/>
  <c r="E45" i="75"/>
  <c r="D45" i="75"/>
  <c r="AA22" i="75"/>
  <c r="Z22" i="75"/>
  <c r="Y22" i="75"/>
  <c r="X22" i="75"/>
  <c r="W22" i="75"/>
  <c r="V22" i="75"/>
  <c r="U22" i="75"/>
  <c r="T22" i="75"/>
  <c r="S22" i="75"/>
  <c r="R22" i="75"/>
  <c r="Q22" i="75"/>
  <c r="M22" i="75"/>
  <c r="L22" i="75"/>
  <c r="K22" i="75"/>
  <c r="J22" i="75"/>
  <c r="I22" i="75"/>
  <c r="H22" i="75"/>
  <c r="G22" i="75"/>
  <c r="F22" i="75"/>
  <c r="E22" i="75"/>
  <c r="D22" i="75"/>
  <c r="C22" i="75"/>
  <c r="AI22" i="75" l="1"/>
  <c r="AL45" i="75"/>
  <c r="AM22" i="75"/>
  <c r="AH22" i="75"/>
  <c r="AK45" i="75"/>
  <c r="AG22" i="75"/>
  <c r="AF45" i="75"/>
  <c r="AG45" i="75"/>
  <c r="AK22" i="75"/>
  <c r="AN45" i="75"/>
  <c r="AH45" i="75"/>
  <c r="AJ22" i="75"/>
  <c r="AD22" i="75"/>
  <c r="AE22" i="75"/>
  <c r="AF22" i="75"/>
  <c r="AI45" i="75"/>
  <c r="AJ45" i="75"/>
  <c r="AL22" i="75"/>
  <c r="AM45" i="75"/>
  <c r="AN22" i="75"/>
  <c r="AE45" i="75"/>
  <c r="AD45" i="75"/>
  <c r="AN44" i="75"/>
  <c r="AM44" i="75"/>
  <c r="AL44" i="75"/>
  <c r="AK44" i="75"/>
  <c r="AJ44" i="75"/>
  <c r="AI44" i="75"/>
  <c r="AH44" i="75"/>
  <c r="AG44" i="75"/>
  <c r="AF44" i="75"/>
  <c r="AE44" i="75"/>
  <c r="AD44" i="75"/>
  <c r="AN43" i="75"/>
  <c r="AM43" i="75"/>
  <c r="AL43" i="75"/>
  <c r="AK43" i="75"/>
  <c r="AJ43" i="75"/>
  <c r="AI43" i="75"/>
  <c r="AH43" i="75"/>
  <c r="AG43" i="75"/>
  <c r="AF43" i="75"/>
  <c r="AE43" i="75"/>
  <c r="AD43" i="75"/>
  <c r="AN42" i="75"/>
  <c r="AM42" i="75"/>
  <c r="AL42" i="75"/>
  <c r="AK42" i="75"/>
  <c r="AJ42" i="75"/>
  <c r="AI42" i="75"/>
  <c r="AH42" i="75"/>
  <c r="AG42" i="75"/>
  <c r="AF42" i="75"/>
  <c r="AE42" i="75"/>
  <c r="AD42" i="75"/>
  <c r="AN41" i="75"/>
  <c r="AM41" i="75"/>
  <c r="AL41" i="75"/>
  <c r="AK41" i="75"/>
  <c r="AJ41" i="75"/>
  <c r="AI41" i="75"/>
  <c r="AH41" i="75"/>
  <c r="AG41" i="75"/>
  <c r="AF41" i="75"/>
  <c r="AE41" i="75"/>
  <c r="AD41" i="75"/>
  <c r="AN40" i="75"/>
  <c r="AM40" i="75"/>
  <c r="AL40" i="75"/>
  <c r="AK40" i="75"/>
  <c r="AJ40" i="75"/>
  <c r="AI40" i="75"/>
  <c r="AH40" i="75"/>
  <c r="AG40" i="75"/>
  <c r="AF40" i="75"/>
  <c r="AE40" i="75"/>
  <c r="AD40" i="75"/>
  <c r="AN39" i="75"/>
  <c r="AM39" i="75"/>
  <c r="AL39" i="75"/>
  <c r="AK39" i="75"/>
  <c r="AJ39" i="75"/>
  <c r="AI39" i="75"/>
  <c r="AH39" i="75"/>
  <c r="AG39" i="75"/>
  <c r="AF39" i="75"/>
  <c r="AE39" i="75"/>
  <c r="AD39" i="75"/>
  <c r="AN38" i="75"/>
  <c r="AM38" i="75"/>
  <c r="AL38" i="75"/>
  <c r="AK38" i="75"/>
  <c r="AJ38" i="75"/>
  <c r="AI38" i="75"/>
  <c r="AH38" i="75"/>
  <c r="AG38" i="75"/>
  <c r="AF38" i="75"/>
  <c r="AE38" i="75"/>
  <c r="AD38" i="75"/>
  <c r="AN37" i="75"/>
  <c r="AM37" i="75"/>
  <c r="AL37" i="75"/>
  <c r="AK37" i="75"/>
  <c r="AJ37" i="75"/>
  <c r="AI37" i="75"/>
  <c r="AH37" i="75"/>
  <c r="AG37" i="75"/>
  <c r="AF37" i="75"/>
  <c r="AE37" i="75"/>
  <c r="AD37" i="75"/>
  <c r="AN36" i="75"/>
  <c r="AM36" i="75"/>
  <c r="AL36" i="75"/>
  <c r="AK36" i="75"/>
  <c r="AJ36" i="75"/>
  <c r="AI36" i="75"/>
  <c r="AH36" i="75"/>
  <c r="AG36" i="75"/>
  <c r="AF36" i="75"/>
  <c r="AE36" i="75"/>
  <c r="AD36" i="75"/>
  <c r="AN35" i="75"/>
  <c r="AM35" i="75"/>
  <c r="AL35" i="75"/>
  <c r="AK35" i="75"/>
  <c r="AJ35" i="75"/>
  <c r="AI35" i="75"/>
  <c r="AH35" i="75"/>
  <c r="AG35" i="75"/>
  <c r="AF35" i="75"/>
  <c r="AE35" i="75"/>
  <c r="AD35" i="75"/>
  <c r="AN34" i="75"/>
  <c r="AM34" i="75"/>
  <c r="AL34" i="75"/>
  <c r="AK34" i="75"/>
  <c r="AJ34" i="75"/>
  <c r="AI34" i="75"/>
  <c r="AH34" i="75"/>
  <c r="AG34" i="75"/>
  <c r="AF34" i="75"/>
  <c r="AE34" i="75"/>
  <c r="AD34" i="75"/>
  <c r="AN33" i="75"/>
  <c r="AM33" i="75"/>
  <c r="AL33" i="75"/>
  <c r="AK33" i="75"/>
  <c r="AJ33" i="75"/>
  <c r="AI33" i="75"/>
  <c r="AH33" i="75"/>
  <c r="AG33" i="75"/>
  <c r="AF33" i="75"/>
  <c r="AE33" i="75"/>
  <c r="AD33" i="75"/>
  <c r="AN32" i="75"/>
  <c r="AM32" i="75"/>
  <c r="AL32" i="75"/>
  <c r="AK32" i="75"/>
  <c r="AJ32" i="75"/>
  <c r="AI32" i="75"/>
  <c r="AH32" i="75"/>
  <c r="AG32" i="75"/>
  <c r="AF32" i="75"/>
  <c r="AE32" i="75"/>
  <c r="AD32" i="75"/>
  <c r="AN31" i="75"/>
  <c r="AM31" i="75"/>
  <c r="AL31" i="75"/>
  <c r="AK31" i="75"/>
  <c r="AJ31" i="75"/>
  <c r="AI31" i="75"/>
  <c r="AH31" i="75"/>
  <c r="AG31" i="75"/>
  <c r="AF31" i="75"/>
  <c r="AE31" i="75"/>
  <c r="AD31" i="75"/>
  <c r="AN30" i="75"/>
  <c r="AM30" i="75"/>
  <c r="AL30" i="75"/>
  <c r="AK30" i="75"/>
  <c r="AJ30" i="75"/>
  <c r="AI30" i="75"/>
  <c r="AH30" i="75"/>
  <c r="AG30" i="75"/>
  <c r="AF30" i="75"/>
  <c r="AE30" i="75"/>
  <c r="AD30" i="75"/>
  <c r="AN29" i="75"/>
  <c r="AM29" i="75"/>
  <c r="AL29" i="75"/>
  <c r="AK29" i="75"/>
  <c r="AJ29" i="75"/>
  <c r="AI29" i="75"/>
  <c r="AH29" i="75"/>
  <c r="AG29" i="75"/>
  <c r="AF29" i="75"/>
  <c r="AE29" i="75"/>
  <c r="AD29" i="75"/>
  <c r="AN28" i="75"/>
  <c r="AM28" i="75"/>
  <c r="AL28" i="75"/>
  <c r="AK28" i="75"/>
  <c r="AJ28" i="75"/>
  <c r="AI28" i="75"/>
  <c r="AH28" i="75"/>
  <c r="AG28" i="75"/>
  <c r="AF28" i="75"/>
  <c r="AE28" i="75"/>
  <c r="AD28" i="75"/>
  <c r="AN27" i="75"/>
  <c r="AM27" i="75"/>
  <c r="AL27" i="75"/>
  <c r="AK27" i="75"/>
  <c r="AJ27" i="75"/>
  <c r="AI27" i="75"/>
  <c r="AH27" i="75"/>
  <c r="AG27" i="75"/>
  <c r="AF27" i="75"/>
  <c r="AE27" i="75"/>
  <c r="AD27" i="75"/>
  <c r="AN26" i="75"/>
  <c r="AM26" i="75"/>
  <c r="AL26" i="75"/>
  <c r="AK26" i="75"/>
  <c r="AJ26" i="75"/>
  <c r="AI26" i="75"/>
  <c r="AH26" i="75"/>
  <c r="AG26" i="75"/>
  <c r="AF26" i="75"/>
  <c r="AE26" i="75"/>
  <c r="AD26" i="75"/>
  <c r="AN21" i="75"/>
  <c r="AM21" i="75"/>
  <c r="AL21" i="75"/>
  <c r="AK21" i="75"/>
  <c r="AJ21" i="75"/>
  <c r="AI21" i="75"/>
  <c r="AH21" i="75"/>
  <c r="AG21" i="75"/>
  <c r="AF21" i="75"/>
  <c r="AE21" i="75"/>
  <c r="AD21" i="75"/>
  <c r="AN20" i="75"/>
  <c r="AM20" i="75"/>
  <c r="AL20" i="75"/>
  <c r="AK20" i="75"/>
  <c r="AJ20" i="75"/>
  <c r="AI20" i="75"/>
  <c r="AH20" i="75"/>
  <c r="AG20" i="75"/>
  <c r="AF20" i="75"/>
  <c r="AE20" i="75"/>
  <c r="AD20" i="75"/>
  <c r="AN19" i="75"/>
  <c r="AM19" i="75"/>
  <c r="AL19" i="75"/>
  <c r="AK19" i="75"/>
  <c r="AJ19" i="75"/>
  <c r="AI19" i="75"/>
  <c r="AH19" i="75"/>
  <c r="AG19" i="75"/>
  <c r="AF19" i="75"/>
  <c r="AE19" i="75"/>
  <c r="AD19" i="75"/>
  <c r="AN18" i="75"/>
  <c r="AM18" i="75"/>
  <c r="AL18" i="75"/>
  <c r="AK18" i="75"/>
  <c r="AJ18" i="75"/>
  <c r="AI18" i="75"/>
  <c r="AH18" i="75"/>
  <c r="AG18" i="75"/>
  <c r="AF18" i="75"/>
  <c r="AE18" i="75"/>
  <c r="AD18" i="75"/>
  <c r="AN17" i="75"/>
  <c r="AM17" i="75"/>
  <c r="AL17" i="75"/>
  <c r="AK17" i="75"/>
  <c r="AJ17" i="75"/>
  <c r="AI17" i="75"/>
  <c r="AH17" i="75"/>
  <c r="AG17" i="75"/>
  <c r="AF17" i="75"/>
  <c r="AE17" i="75"/>
  <c r="AD17" i="75"/>
  <c r="AN16" i="75"/>
  <c r="AM16" i="75"/>
  <c r="AL16" i="75"/>
  <c r="AK16" i="75"/>
  <c r="AJ16" i="75"/>
  <c r="AI16" i="75"/>
  <c r="AH16" i="75"/>
  <c r="AG16" i="75"/>
  <c r="AF16" i="75"/>
  <c r="AE16" i="75"/>
  <c r="AD16" i="75"/>
  <c r="AN15" i="75"/>
  <c r="AM15" i="75"/>
  <c r="AL15" i="75"/>
  <c r="AK15" i="75"/>
  <c r="AJ15" i="75"/>
  <c r="AI15" i="75"/>
  <c r="AH15" i="75"/>
  <c r="AG15" i="75"/>
  <c r="AF15" i="75"/>
  <c r="AE15" i="75"/>
  <c r="AD15" i="75"/>
  <c r="AN14" i="75"/>
  <c r="AM14" i="75"/>
  <c r="AL14" i="75"/>
  <c r="AK14" i="75"/>
  <c r="AJ14" i="75"/>
  <c r="AI14" i="75"/>
  <c r="AH14" i="75"/>
  <c r="AG14" i="75"/>
  <c r="AF14" i="75"/>
  <c r="AE14" i="75"/>
  <c r="AD14" i="75"/>
  <c r="AN13" i="75"/>
  <c r="AM13" i="75"/>
  <c r="AL13" i="75"/>
  <c r="AK13" i="75"/>
  <c r="AJ13" i="75"/>
  <c r="AI13" i="75"/>
  <c r="AH13" i="75"/>
  <c r="AG13" i="75"/>
  <c r="AF13" i="75"/>
  <c r="AE13" i="75"/>
  <c r="AD13" i="75"/>
  <c r="AN12" i="75"/>
  <c r="AM12" i="75"/>
  <c r="AL12" i="75"/>
  <c r="AK12" i="75"/>
  <c r="AJ12" i="75"/>
  <c r="AI12" i="75"/>
  <c r="AH12" i="75"/>
  <c r="AG12" i="75"/>
  <c r="AF12" i="75"/>
  <c r="AE12" i="75"/>
  <c r="AD12" i="75"/>
  <c r="AN11" i="75"/>
  <c r="AM11" i="75"/>
  <c r="AL11" i="75"/>
  <c r="AK11" i="75"/>
  <c r="AJ11" i="75"/>
  <c r="AI11" i="75"/>
  <c r="AH11" i="75"/>
  <c r="AG11" i="75"/>
  <c r="AF11" i="75"/>
  <c r="AE11" i="75"/>
  <c r="AD11" i="75"/>
  <c r="AN10" i="75"/>
  <c r="AM10" i="75"/>
  <c r="AL10" i="75"/>
  <c r="AK10" i="75"/>
  <c r="AJ10" i="75"/>
  <c r="AI10" i="75"/>
  <c r="AH10" i="75"/>
  <c r="AG10" i="75"/>
  <c r="AF10" i="75"/>
  <c r="AE10" i="75"/>
  <c r="AD10" i="75"/>
  <c r="AN9" i="75"/>
  <c r="AM9" i="75"/>
  <c r="AL9" i="75"/>
  <c r="AK9" i="75"/>
  <c r="AJ9" i="75"/>
  <c r="AI9" i="75"/>
  <c r="AH9" i="75"/>
  <c r="AG9" i="75"/>
  <c r="AF9" i="75"/>
  <c r="AE9" i="75"/>
  <c r="AD9" i="75"/>
  <c r="AN8" i="75"/>
  <c r="AM8" i="75"/>
  <c r="AL8" i="75"/>
  <c r="AK8" i="75"/>
  <c r="AJ8" i="75"/>
  <c r="AI8" i="75"/>
  <c r="AH8" i="75"/>
  <c r="AG8" i="75"/>
  <c r="AF8" i="75"/>
  <c r="AE8" i="75"/>
  <c r="AD8" i="75"/>
  <c r="AN7" i="75"/>
  <c r="AM7" i="75"/>
  <c r="AL7" i="75"/>
  <c r="AK7" i="75"/>
  <c r="AJ7" i="75"/>
  <c r="AI7" i="75"/>
  <c r="AH7" i="75"/>
  <c r="AG7" i="75"/>
  <c r="AF7" i="75"/>
  <c r="AE7" i="75"/>
  <c r="AD7" i="75"/>
  <c r="AN6" i="75"/>
  <c r="AM6" i="75"/>
  <c r="AL6" i="75"/>
  <c r="AK6" i="75"/>
  <c r="AJ6" i="75"/>
  <c r="AI6" i="75"/>
  <c r="AH6" i="75"/>
  <c r="AG6" i="75"/>
  <c r="AF6" i="75"/>
  <c r="AE6" i="75"/>
  <c r="AD6" i="75"/>
  <c r="AN5" i="75"/>
  <c r="AM5" i="75"/>
  <c r="AL5" i="75"/>
  <c r="AK5" i="75"/>
  <c r="AJ5" i="75"/>
  <c r="AI5" i="75"/>
  <c r="AH5" i="75"/>
  <c r="AG5" i="75"/>
  <c r="AF5" i="75"/>
  <c r="AE5" i="75"/>
  <c r="AD5" i="75"/>
  <c r="AN4" i="75"/>
  <c r="AM4" i="75"/>
  <c r="AL4" i="75"/>
  <c r="AK4" i="75"/>
  <c r="AJ4" i="75"/>
  <c r="AI4" i="75"/>
  <c r="AH4" i="75"/>
  <c r="AG4" i="75"/>
  <c r="AF4" i="75"/>
  <c r="AE4" i="75"/>
  <c r="AD4" i="75"/>
  <c r="AN3" i="75"/>
  <c r="AM3" i="75"/>
  <c r="AL3" i="75"/>
  <c r="AK3" i="75"/>
  <c r="AJ3" i="75"/>
  <c r="AI3" i="75"/>
  <c r="AH3" i="75"/>
  <c r="AG3" i="75"/>
  <c r="AF3" i="75"/>
  <c r="AE3" i="75"/>
  <c r="AD3" i="75"/>
  <c r="B4" i="78" l="1"/>
  <c r="B7" i="78" s="1"/>
  <c r="C4" i="78"/>
  <c r="C9" i="78" l="1"/>
  <c r="D4" i="78"/>
  <c r="C7" i="78"/>
  <c r="D7" i="78" l="1"/>
  <c r="E4" i="78" s="1"/>
  <c r="E5" i="78" l="1"/>
  <c r="D9" i="78"/>
  <c r="E6" i="78"/>
  <c r="E7" i="78" l="1"/>
  <c r="AA33" i="176" l="1"/>
  <c r="O27" i="174"/>
  <c r="R26" i="174"/>
  <c r="R27" i="174" s="1"/>
  <c r="R198" i="174" s="1"/>
  <c r="N33" i="176"/>
  <c r="AG33" i="176" s="1"/>
  <c r="Y26" i="174"/>
  <c r="Z26" i="174" l="1"/>
  <c r="X33" i="176" s="1"/>
  <c r="V27" i="174"/>
  <c r="F45" i="173" s="1"/>
  <c r="O198" i="174"/>
  <c r="N282" i="176" s="1"/>
  <c r="C45" i="173"/>
  <c r="Q33" i="176"/>
  <c r="AA26" i="174"/>
  <c r="Y33" i="176" s="1"/>
  <c r="Y27" i="174"/>
  <c r="AI33" i="176"/>
  <c r="AJ33" i="176"/>
  <c r="Q34" i="176"/>
  <c r="Q27" i="174"/>
  <c r="P34" i="176" s="1"/>
  <c r="D45" i="173"/>
  <c r="N34" i="176"/>
  <c r="AC33" i="176"/>
  <c r="AD33" i="176"/>
  <c r="AE33" i="176"/>
  <c r="AF33" i="176"/>
  <c r="W33" i="176"/>
  <c r="AH33" i="176"/>
  <c r="U34" i="176" l="1"/>
  <c r="Z27" i="174"/>
  <c r="X34" i="176" s="1"/>
  <c r="Y198" i="174"/>
  <c r="W282" i="176" s="1"/>
  <c r="W34" i="176"/>
  <c r="AA27" i="174"/>
  <c r="Y34" i="176" s="1"/>
  <c r="D9" i="173"/>
  <c r="D12" i="173" s="1"/>
  <c r="H12" i="173" s="1"/>
  <c r="V198" i="174"/>
  <c r="U282" i="176" s="1"/>
  <c r="E9" i="173"/>
  <c r="Q282" i="176"/>
  <c r="I9" i="173" l="1"/>
  <c r="H9" i="173"/>
  <c r="E12" i="173"/>
  <c r="L9" i="173" l="1"/>
  <c r="Q9" i="173"/>
  <c r="R9" i="173"/>
  <c r="K9" i="173"/>
  <c r="I12" i="173"/>
  <c r="J12" i="173" s="1"/>
  <c r="T9" i="173"/>
  <c r="J9" i="173"/>
  <c r="T12" i="173" l="1"/>
  <c r="K12" i="173"/>
  <c r="I13" i="173"/>
  <c r="I17" i="173" s="1"/>
  <c r="Q12" i="173"/>
  <c r="L12" i="173"/>
  <c r="S12" i="173"/>
  <c r="R12" i="173"/>
  <c r="J13" i="173" l="1"/>
  <c r="J17" i="173"/>
  <c r="K19" i="173"/>
</calcChain>
</file>

<file path=xl/sharedStrings.xml><?xml version="1.0" encoding="utf-8"?>
<sst xmlns="http://schemas.openxmlformats.org/spreadsheetml/2006/main" count="9089" uniqueCount="614">
  <si>
    <t>Plan</t>
  </si>
  <si>
    <t>Gross Cost</t>
  </si>
  <si>
    <t>Net Cost</t>
  </si>
  <si>
    <t>In  cr</t>
  </si>
  <si>
    <t>Inv%</t>
  </si>
  <si>
    <t>Regular</t>
  </si>
  <si>
    <t>Impact</t>
  </si>
  <si>
    <t>Cricket</t>
  </si>
  <si>
    <t>15 Cr budget</t>
  </si>
  <si>
    <t>TV CPM</t>
  </si>
  <si>
    <t>NCCS A – 40 Lac town</t>
  </si>
  <si>
    <t>NCCS A – 10 Lac+ town</t>
  </si>
  <si>
    <t>NCSS AB 10L+</t>
  </si>
  <si>
    <t>NCCA ABC All India</t>
  </si>
  <si>
    <t>TV</t>
  </si>
  <si>
    <t>Digital</t>
  </si>
  <si>
    <t>OOH</t>
  </si>
  <si>
    <t>-</t>
  </si>
  <si>
    <t>Total</t>
  </si>
  <si>
    <t>Geo</t>
  </si>
  <si>
    <t>Delhi</t>
  </si>
  <si>
    <t>Kolkata</t>
  </si>
  <si>
    <t>Mumbai</t>
  </si>
  <si>
    <t>Hyderabad</t>
  </si>
  <si>
    <t>Bangalore</t>
  </si>
  <si>
    <t>Chennai</t>
  </si>
  <si>
    <t>India Urban</t>
  </si>
  <si>
    <t>Telangana</t>
  </si>
  <si>
    <t xml:space="preserve">Campaign:  </t>
  </si>
  <si>
    <t>TG: MF 22-40 A</t>
  </si>
  <si>
    <t>ACD</t>
  </si>
  <si>
    <t>Reach %</t>
  </si>
  <si>
    <t>SOE</t>
  </si>
  <si>
    <t>Impressions</t>
  </si>
  <si>
    <t>Clicks</t>
  </si>
  <si>
    <t>Views</t>
  </si>
  <si>
    <t>Reach</t>
  </si>
  <si>
    <t>Frequency</t>
  </si>
  <si>
    <t>Cost</t>
  </si>
  <si>
    <t>eCPM</t>
  </si>
  <si>
    <t>eCPC</t>
  </si>
  <si>
    <t>Universe</t>
  </si>
  <si>
    <t>1+</t>
  </si>
  <si>
    <t>3+</t>
  </si>
  <si>
    <t>5+</t>
  </si>
  <si>
    <t>Video</t>
  </si>
  <si>
    <t>Static</t>
  </si>
  <si>
    <t>Q3 - 2023 Plan</t>
  </si>
  <si>
    <t>Core (Incl CTV)</t>
  </si>
  <si>
    <t>Investment Share</t>
  </si>
  <si>
    <t>CTV</t>
  </si>
  <si>
    <t>Other Digital</t>
  </si>
  <si>
    <t>Existing Plan</t>
  </si>
  <si>
    <t>Input Total</t>
  </si>
  <si>
    <t>DV Tracking Cost</t>
  </si>
  <si>
    <t>DCM Tracking Cost</t>
  </si>
  <si>
    <t>Gross Total</t>
  </si>
  <si>
    <t>Impression</t>
  </si>
  <si>
    <t>Reach%</t>
  </si>
  <si>
    <t>Freq</t>
  </si>
  <si>
    <t>PT</t>
  </si>
  <si>
    <t>P0</t>
  </si>
  <si>
    <t>P1</t>
  </si>
  <si>
    <t>P2</t>
  </si>
  <si>
    <t xml:space="preserve">Markets </t>
  </si>
  <si>
    <t>Input</t>
  </si>
  <si>
    <t>Publisher</t>
  </si>
  <si>
    <t>Creative</t>
  </si>
  <si>
    <t xml:space="preserve">Genres </t>
  </si>
  <si>
    <t>Platform</t>
  </si>
  <si>
    <t>Section</t>
  </si>
  <si>
    <t>Ad Unit</t>
  </si>
  <si>
    <t>Targeting</t>
  </si>
  <si>
    <t>Deal Type</t>
  </si>
  <si>
    <t>No of Days</t>
  </si>
  <si>
    <t>Start Date</t>
  </si>
  <si>
    <t>End Date</t>
  </si>
  <si>
    <t>Est. Imp</t>
  </si>
  <si>
    <t>No of Units</t>
  </si>
  <si>
    <t>CTR%</t>
  </si>
  <si>
    <t>Est. Clicks</t>
  </si>
  <si>
    <t>VTR</t>
  </si>
  <si>
    <t>Avg Freq</t>
  </si>
  <si>
    <t>Net Rate</t>
  </si>
  <si>
    <t>Total Net Cost</t>
  </si>
  <si>
    <t>Remarks</t>
  </si>
  <si>
    <t xml:space="preserve">YouTube </t>
  </si>
  <si>
    <t xml:space="preserve">Entertainment </t>
  </si>
  <si>
    <t>ROS</t>
  </si>
  <si>
    <t>CPM</t>
  </si>
  <si>
    <t xml:space="preserve">Instream </t>
  </si>
  <si>
    <t>News</t>
  </si>
  <si>
    <t>Telengana - Seg A</t>
  </si>
  <si>
    <t>Core - CTV</t>
  </si>
  <si>
    <t>Connected TV PMP</t>
  </si>
  <si>
    <t>Instream</t>
  </si>
  <si>
    <t>Reff : Targeting Sheet</t>
  </si>
  <si>
    <t>Core</t>
  </si>
  <si>
    <t xml:space="preserve">Mobile </t>
  </si>
  <si>
    <t xml:space="preserve">DSP </t>
  </si>
  <si>
    <t xml:space="preserve">Network </t>
  </si>
  <si>
    <t>Mobile</t>
  </si>
  <si>
    <t>Large Formats</t>
  </si>
  <si>
    <t>Mediakart</t>
  </si>
  <si>
    <t>Interstitial Static banner</t>
  </si>
  <si>
    <t xml:space="preserve">CPM </t>
  </si>
  <si>
    <t>Dailyhunt</t>
  </si>
  <si>
    <t>Page Insert - Innovation</t>
  </si>
  <si>
    <t>Inshorts</t>
  </si>
  <si>
    <t>Mcanvas</t>
  </si>
  <si>
    <t xml:space="preserve">Single Screen Interstitial </t>
  </si>
  <si>
    <t>CPC</t>
  </si>
  <si>
    <t>Hyderabad - Seg A</t>
  </si>
  <si>
    <t>Mygate</t>
  </si>
  <si>
    <t>Community</t>
  </si>
  <si>
    <t>PAC</t>
  </si>
  <si>
    <t>NobrokerHood</t>
  </si>
  <si>
    <t>Telengana - Seg B</t>
  </si>
  <si>
    <t>Bangalore - Seg A</t>
  </si>
  <si>
    <t>Bangalore - Seg B</t>
  </si>
  <si>
    <t>Ahmedabad</t>
  </si>
  <si>
    <t>Delhi + NCR</t>
  </si>
  <si>
    <t>Kolkata + Howrah</t>
  </si>
  <si>
    <t>Pune</t>
  </si>
  <si>
    <t>Coimbatore</t>
  </si>
  <si>
    <t>Jaipur</t>
  </si>
  <si>
    <t>Kochi</t>
  </si>
  <si>
    <t>Lucknow</t>
  </si>
  <si>
    <t>Patna</t>
  </si>
  <si>
    <t>Surat</t>
  </si>
  <si>
    <t>Visakhapatnam</t>
  </si>
  <si>
    <t>Rest of T57 - Hindi</t>
  </si>
  <si>
    <t>Rest of T57 - Tamil</t>
  </si>
  <si>
    <t>Rest of T57 - Telugu</t>
  </si>
  <si>
    <t>Rest of T57 - Kannada</t>
  </si>
  <si>
    <t>Rest of T57</t>
  </si>
  <si>
    <t>All Geos</t>
  </si>
  <si>
    <t>Digital Turbine</t>
  </si>
  <si>
    <t>DMP</t>
  </si>
  <si>
    <t>Banners</t>
  </si>
  <si>
    <t>DSP DMP</t>
  </si>
  <si>
    <t>Meta DMP</t>
  </si>
  <si>
    <t>DMP Test</t>
  </si>
  <si>
    <t>Targeting for Seg A &amp; Regular Lines</t>
  </si>
  <si>
    <t>Connected TV-PMP</t>
  </si>
  <si>
    <t>YouTube - Mobile</t>
  </si>
  <si>
    <t>YouTube - CTV</t>
  </si>
  <si>
    <t>DSP</t>
  </si>
  <si>
    <t>Digital Turbine DMP</t>
  </si>
  <si>
    <t>A.in + GEO +NCCS A(Handsets 20 K above)+Demo</t>
  </si>
  <si>
    <t>Geo + Demo + Affluent signals (Device 20K +,Online Transactors,Travel enthusiats, etc.)</t>
  </si>
  <si>
    <t>Demo + Geo + Affluent Signals( Device 20K +, Wallet Apps users etc.)</t>
  </si>
  <si>
    <t>Demo + Geo + NCCS A(Handsets 20 K above) + Wallet Category + A.in</t>
  </si>
  <si>
    <t>Amazon All Clickers + HHI- Activation ID (1012085)
Amazon All Clickers + Digital Payments ID (1012082)</t>
  </si>
  <si>
    <t>Targeting for Seg B</t>
  </si>
  <si>
    <t>Demo + Geo + Device Used 10k-20k</t>
  </si>
  <si>
    <t>Overall Demo</t>
  </si>
  <si>
    <t>18 + | Male &amp; Female</t>
  </si>
  <si>
    <t>Geo List</t>
  </si>
  <si>
    <t>City Name</t>
  </si>
  <si>
    <t>Cohort / Priority</t>
  </si>
  <si>
    <t>Language</t>
  </si>
  <si>
    <t>Telengana</t>
  </si>
  <si>
    <t>Test Market</t>
  </si>
  <si>
    <t>Telugu</t>
  </si>
  <si>
    <t>English</t>
  </si>
  <si>
    <t>Ahmdabad</t>
  </si>
  <si>
    <t>Hindi</t>
  </si>
  <si>
    <t>Tamil</t>
  </si>
  <si>
    <t>Delhi + NCR (Gurgaon, Noida, Ghaziabad, Faridabad)</t>
  </si>
  <si>
    <t>Bangla</t>
  </si>
  <si>
    <t>Marathi</t>
  </si>
  <si>
    <t>Agra</t>
  </si>
  <si>
    <t>Allahabad</t>
  </si>
  <si>
    <t>Amritsar</t>
  </si>
  <si>
    <t>Aurangabad</t>
  </si>
  <si>
    <t>Bhopal</t>
  </si>
  <si>
    <t>Bhubaneshwar</t>
  </si>
  <si>
    <t>Chandigarh</t>
  </si>
  <si>
    <t>Dehradun</t>
  </si>
  <si>
    <t>Dhanbad</t>
  </si>
  <si>
    <t>Durgapur</t>
  </si>
  <si>
    <t>Gurgaon</t>
  </si>
  <si>
    <t>Guwahati</t>
  </si>
  <si>
    <t>Gwalior</t>
  </si>
  <si>
    <t>Indore</t>
  </si>
  <si>
    <t>Jabalpur</t>
  </si>
  <si>
    <t>Jalandhar</t>
  </si>
  <si>
    <t>Jodhpur</t>
  </si>
  <si>
    <t>Kanpur</t>
  </si>
  <si>
    <t>Kota</t>
  </si>
  <si>
    <t>Ludhiana</t>
  </si>
  <si>
    <t>Nagpur</t>
  </si>
  <si>
    <t>Nashik</t>
  </si>
  <si>
    <t>Navi Mumbai</t>
  </si>
  <si>
    <t>Panjim + Margao</t>
  </si>
  <si>
    <t>Raipur</t>
  </si>
  <si>
    <t>Rajkot</t>
  </si>
  <si>
    <t>Solapur</t>
  </si>
  <si>
    <t>Srinagar</t>
  </si>
  <si>
    <t>Thane</t>
  </si>
  <si>
    <t>Thiruvananthapuram</t>
  </si>
  <si>
    <t>Vadodara</t>
  </si>
  <si>
    <t>Varanasi</t>
  </si>
  <si>
    <t>Mangalore</t>
  </si>
  <si>
    <t>Kannada</t>
  </si>
  <si>
    <t>Mysore</t>
  </si>
  <si>
    <t>Kanchipuram</t>
  </si>
  <si>
    <t>Madurai</t>
  </si>
  <si>
    <t>Tiruchirappalli</t>
  </si>
  <si>
    <t>Tiruppur</t>
  </si>
  <si>
    <t>Vellore</t>
  </si>
  <si>
    <t>Chittoor</t>
  </si>
  <si>
    <t>Guntur</t>
  </si>
  <si>
    <t>Vijaywada</t>
  </si>
  <si>
    <t>15th - 21st Apr</t>
  </si>
  <si>
    <t>22nd - 28th Apr</t>
  </si>
  <si>
    <t>29th Apr - 5th May</t>
  </si>
  <si>
    <t>6th - 12th May</t>
  </si>
  <si>
    <t>13th - 19th May</t>
  </si>
  <si>
    <t>20th -26th May</t>
  </si>
  <si>
    <t>27th May - 2nd June</t>
  </si>
  <si>
    <t>3rd - 7th June</t>
  </si>
  <si>
    <t>June</t>
  </si>
  <si>
    <t>Nobrokerhood</t>
  </si>
  <si>
    <t>Brand : Amazon Pay</t>
  </si>
  <si>
    <t>Eval Period: WK 4- Wk 7 2024</t>
  </si>
  <si>
    <t>Channel</t>
  </si>
  <si>
    <t>Start Time</t>
  </si>
  <si>
    <t>End Time</t>
  </si>
  <si>
    <t>Gross Rate</t>
  </si>
  <si>
    <t>Spots</t>
  </si>
  <si>
    <t>FCT</t>
  </si>
  <si>
    <t>Colors</t>
  </si>
  <si>
    <t>Sat-Sun</t>
  </si>
  <si>
    <t>&amp;TV</t>
  </si>
  <si>
    <t>STAR Plus</t>
  </si>
  <si>
    <t>SONY SAB</t>
  </si>
  <si>
    <t>Sony MAX(v)</t>
  </si>
  <si>
    <t>Sony MAX 2</t>
  </si>
  <si>
    <t>Colors Cineplex</t>
  </si>
  <si>
    <t>STAR Gold</t>
  </si>
  <si>
    <t>Zee Cinema</t>
  </si>
  <si>
    <t>India TV</t>
  </si>
  <si>
    <t>News Nation</t>
  </si>
  <si>
    <t>News18 India</t>
  </si>
  <si>
    <t>ABP News</t>
  </si>
  <si>
    <t>Colors HD</t>
  </si>
  <si>
    <t>STAR Plus HD</t>
  </si>
  <si>
    <t>STAR Gold HD</t>
  </si>
  <si>
    <t>Colors Cineplex HD</t>
  </si>
  <si>
    <t>Times Now</t>
  </si>
  <si>
    <t>Republic TV</t>
  </si>
  <si>
    <t>Zee Telugu</t>
  </si>
  <si>
    <t>Gemini TV</t>
  </si>
  <si>
    <t>Star Maa Movies</t>
  </si>
  <si>
    <t>T News</t>
  </si>
  <si>
    <t>V6 News</t>
  </si>
  <si>
    <t>Gemini TV HD</t>
  </si>
  <si>
    <t>ETV Telugu HD</t>
  </si>
  <si>
    <t>Zee Cinemalu HD</t>
  </si>
  <si>
    <t>Zee Telugu HD</t>
  </si>
  <si>
    <t>Zee Kannada</t>
  </si>
  <si>
    <t>Colors Kannada</t>
  </si>
  <si>
    <t>Star Suvarna</t>
  </si>
  <si>
    <t>News18 Kannada</t>
  </si>
  <si>
    <t>Public TV</t>
  </si>
  <si>
    <t>ZEE PICCHAR</t>
  </si>
  <si>
    <t>Colors Kannada Cinema</t>
  </si>
  <si>
    <t>Colors Super</t>
  </si>
  <si>
    <t>Udaya Movies</t>
  </si>
  <si>
    <t>Star Suvarna Plus</t>
  </si>
  <si>
    <t>Colors Kannada HD</t>
  </si>
  <si>
    <t>STAR Suvarna HD</t>
  </si>
  <si>
    <t>Zee Yuva</t>
  </si>
  <si>
    <t>Colors Marathi</t>
  </si>
  <si>
    <t>Zee Marathi</t>
  </si>
  <si>
    <t>Sony Marathi</t>
  </si>
  <si>
    <t>Zee Talkies</t>
  </si>
  <si>
    <t>Pravah Picture</t>
  </si>
  <si>
    <t>Zee 24 Taas</t>
  </si>
  <si>
    <t>News18 Lokmat</t>
  </si>
  <si>
    <t>TV9 Marathi</t>
  </si>
  <si>
    <t>Star Pravah HD</t>
  </si>
  <si>
    <t>Zee Marathi HD</t>
  </si>
  <si>
    <t>Zee Talkies HD</t>
  </si>
  <si>
    <t>Kalaignar TV</t>
  </si>
  <si>
    <t>Colors Tamil</t>
  </si>
  <si>
    <t>Sun TV</t>
  </si>
  <si>
    <t>Zee Thirai</t>
  </si>
  <si>
    <t>KTV</t>
  </si>
  <si>
    <t>Sathiyam TV</t>
  </si>
  <si>
    <t>Polimer News</t>
  </si>
  <si>
    <t>Sun TV HD</t>
  </si>
  <si>
    <t>Zee Bangla</t>
  </si>
  <si>
    <t>Sony Aath</t>
  </si>
  <si>
    <t>Zee Bangla Cinema</t>
  </si>
  <si>
    <t>Jalsha Movies</t>
  </si>
  <si>
    <t>Colors Bangla Cinema</t>
  </si>
  <si>
    <t>Zee 24 Ghanta</t>
  </si>
  <si>
    <t>News18 Bangla</t>
  </si>
  <si>
    <t>TV9 Bangla</t>
  </si>
  <si>
    <t>Colors Bangla HD</t>
  </si>
  <si>
    <t>Star Jalsha HD</t>
  </si>
  <si>
    <t>Zee Bangla HD</t>
  </si>
  <si>
    <t>Jalsha Movies HD</t>
  </si>
  <si>
    <t>Asianet</t>
  </si>
  <si>
    <t>Mazhavil Manorama(v)</t>
  </si>
  <si>
    <t>Flowers TV</t>
  </si>
  <si>
    <t>Asianet Movies</t>
  </si>
  <si>
    <t>Surya Movies</t>
  </si>
  <si>
    <t>Asianet News</t>
  </si>
  <si>
    <t>Twenty Four</t>
  </si>
  <si>
    <t>Mathrubhumi News</t>
  </si>
  <si>
    <t>Asianet HD</t>
  </si>
  <si>
    <t>Programme Name</t>
  </si>
  <si>
    <t>Day</t>
  </si>
  <si>
    <t>Lakhs</t>
  </si>
  <si>
    <t>Del+Mum</t>
  </si>
  <si>
    <t>KKK</t>
  </si>
  <si>
    <t>Base</t>
  </si>
  <si>
    <t>Target'000</t>
  </si>
  <si>
    <t>Rat(sum)</t>
  </si>
  <si>
    <t>Ots</t>
  </si>
  <si>
    <t>2+</t>
  </si>
  <si>
    <t>4+</t>
  </si>
  <si>
    <t>6+</t>
  </si>
  <si>
    <t>7+</t>
  </si>
  <si>
    <t>8+</t>
  </si>
  <si>
    <t>9+</t>
  </si>
  <si>
    <t>10+</t>
  </si>
  <si>
    <t>Mega Cities</t>
  </si>
  <si>
    <t>AP / Telangana - Urban</t>
  </si>
  <si>
    <t>Guj / D&amp;D / DNH - Urban</t>
  </si>
  <si>
    <t>Karnataka - Urban</t>
  </si>
  <si>
    <t>Mah / Goa - Urban</t>
  </si>
  <si>
    <t>Rajasthan - Urban</t>
  </si>
  <si>
    <t>TN/Pondicherry - Urban</t>
  </si>
  <si>
    <t>UP/Uttarakhand - Urban</t>
  </si>
  <si>
    <t>West Bengal - Urban</t>
  </si>
  <si>
    <t>MF 22-40 A</t>
  </si>
  <si>
    <t>Dangal</t>
  </si>
  <si>
    <t>Shemaroo TV</t>
  </si>
  <si>
    <t>Sony Entertainment Television</t>
  </si>
  <si>
    <t>Zee TV</t>
  </si>
  <si>
    <t>The Q</t>
  </si>
  <si>
    <t>Sony Pal</t>
  </si>
  <si>
    <t>Colors Rishtey</t>
  </si>
  <si>
    <t>STAR Bharat</t>
  </si>
  <si>
    <t>STAR Utsav</t>
  </si>
  <si>
    <t>Zee Anmol</t>
  </si>
  <si>
    <t>STAR Gold Thrills</t>
  </si>
  <si>
    <t>STAR Gold 2</t>
  </si>
  <si>
    <t>STAR Gold Romance</t>
  </si>
  <si>
    <t>&amp;pictures</t>
  </si>
  <si>
    <t>Goldmines</t>
  </si>
  <si>
    <t>Colors Cineplex Bollywood</t>
  </si>
  <si>
    <t>Colors Cineplex Superhits</t>
  </si>
  <si>
    <t>Zee Classic</t>
  </si>
  <si>
    <t>STAR Utsav Movies</t>
  </si>
  <si>
    <t>Dhinchaak</t>
  </si>
  <si>
    <t>Zee Bollywood</t>
  </si>
  <si>
    <t>Zee Anmol Cinema</t>
  </si>
  <si>
    <t>Sony Wah</t>
  </si>
  <si>
    <t>Goldmines Bollywood</t>
  </si>
  <si>
    <t>Good News Today</t>
  </si>
  <si>
    <t>News 24</t>
  </si>
  <si>
    <t>Aaj Tak</t>
  </si>
  <si>
    <t>TV9 Bharatvarsh</t>
  </si>
  <si>
    <t>Republic Bharat</t>
  </si>
  <si>
    <t>Times Now Navbharat</t>
  </si>
  <si>
    <t>Sony Entertainment Television HD</t>
  </si>
  <si>
    <t>Sony MAX HD(v)</t>
  </si>
  <si>
    <t>&amp;pictures HD</t>
  </si>
  <si>
    <t>STAR Bharat HD</t>
  </si>
  <si>
    <t>Zee Cinema HD</t>
  </si>
  <si>
    <t>SONY SAB HD</t>
  </si>
  <si>
    <t>Zee TV HD</t>
  </si>
  <si>
    <t>&amp;TV HD</t>
  </si>
  <si>
    <t>India Today Television</t>
  </si>
  <si>
    <t>CNBC TV 18</t>
  </si>
  <si>
    <t>CNN News18</t>
  </si>
  <si>
    <t>ET Now</t>
  </si>
  <si>
    <t>Star Maa Gold</t>
  </si>
  <si>
    <t>STAR Maa</t>
  </si>
  <si>
    <t>ETV Plus</t>
  </si>
  <si>
    <t>ETV Telugu</t>
  </si>
  <si>
    <t>ETV Cinema</t>
  </si>
  <si>
    <t>Zee Cinemalu</t>
  </si>
  <si>
    <t>Gemini Movies</t>
  </si>
  <si>
    <t>Gemini life</t>
  </si>
  <si>
    <t>NTV Telugu</t>
  </si>
  <si>
    <t>TV 5 News</t>
  </si>
  <si>
    <t>TV9 Telugu</t>
  </si>
  <si>
    <t>STAR Maa HD</t>
  </si>
  <si>
    <t>Gemini Movies HD</t>
  </si>
  <si>
    <t>STAR Maa Movies HD</t>
  </si>
  <si>
    <t>STAR Vijay</t>
  </si>
  <si>
    <t>Jaya TV</t>
  </si>
  <si>
    <t>Sun Life</t>
  </si>
  <si>
    <t>Polimer</t>
  </si>
  <si>
    <t>Zee Tamil</t>
  </si>
  <si>
    <t>STAR Vijay Super</t>
  </si>
  <si>
    <t>J Movie</t>
  </si>
  <si>
    <t>News Tamil 24x7</t>
  </si>
  <si>
    <t>STAR Vijay HD</t>
  </si>
  <si>
    <t>Sun Music HD</t>
  </si>
  <si>
    <t>KTV HD</t>
  </si>
  <si>
    <t>Zee Tamil HD</t>
  </si>
  <si>
    <t>Udaya TV</t>
  </si>
  <si>
    <t>Sirikannada All Time</t>
  </si>
  <si>
    <t>Asianet Suvarna News</t>
  </si>
  <si>
    <t>Zee Kannada HD</t>
  </si>
  <si>
    <t>STAR Pravah</t>
  </si>
  <si>
    <t>Fakt Marathi</t>
  </si>
  <si>
    <t>Saam TV</t>
  </si>
  <si>
    <t>ABP Majha</t>
  </si>
  <si>
    <t>Sun Bangla</t>
  </si>
  <si>
    <t>Aakash Aath</t>
  </si>
  <si>
    <t>STAR Jalsha</t>
  </si>
  <si>
    <t>Colors Bangla</t>
  </si>
  <si>
    <t>Kolkata TV</t>
  </si>
  <si>
    <t>R Plus</t>
  </si>
  <si>
    <t>R. Bangla</t>
  </si>
  <si>
    <t>ABP Ananda</t>
  </si>
  <si>
    <t>Calcutta News</t>
  </si>
  <si>
    <t>STAR Jalsha HD</t>
  </si>
  <si>
    <t>Kairali TV</t>
  </si>
  <si>
    <t>Zee Keralam</t>
  </si>
  <si>
    <t>Amrita TV</t>
  </si>
  <si>
    <t>Surya TV</t>
  </si>
  <si>
    <t>Asianet Plus</t>
  </si>
  <si>
    <t>News18 Kerala</t>
  </si>
  <si>
    <t>Kairali News</t>
  </si>
  <si>
    <t>Manorama News</t>
  </si>
  <si>
    <t>Surya TV HD</t>
  </si>
  <si>
    <t>Zee Keralam HD</t>
  </si>
  <si>
    <t>Asianet Movies HD</t>
  </si>
  <si>
    <t>GRP/wk</t>
  </si>
  <si>
    <t>Paytm</t>
  </si>
  <si>
    <t>Phonepe</t>
  </si>
  <si>
    <t>Gpay</t>
  </si>
  <si>
    <t>Integrated</t>
  </si>
  <si>
    <t>6 Metros</t>
  </si>
  <si>
    <t>Mah</t>
  </si>
  <si>
    <t>AP</t>
  </si>
  <si>
    <t>TN</t>
  </si>
  <si>
    <t>Kar</t>
  </si>
  <si>
    <t>WB</t>
  </si>
  <si>
    <t>6 Metro</t>
  </si>
  <si>
    <t>UP</t>
  </si>
  <si>
    <t>All Ind</t>
  </si>
  <si>
    <t>All India U</t>
  </si>
  <si>
    <t>Geo: Delhi</t>
  </si>
  <si>
    <t>Reach 000's</t>
  </si>
  <si>
    <t>Reach (000s)</t>
  </si>
  <si>
    <t>CPRP</t>
  </si>
  <si>
    <t>Rat%</t>
  </si>
  <si>
    <t>Channels</t>
  </si>
  <si>
    <t>Index</t>
  </si>
  <si>
    <t>ER</t>
  </si>
  <si>
    <t>Big Magic</t>
  </si>
  <si>
    <t xml:space="preserve">Time Spent -Avg Weighted IN Min </t>
  </si>
  <si>
    <t xml:space="preserve">ATS Viewer </t>
  </si>
  <si>
    <t>Channel Affinity -Chnl Share %</t>
  </si>
  <si>
    <t>15+</t>
  </si>
  <si>
    <t>Skew</t>
  </si>
  <si>
    <t>% Allocation</t>
  </si>
  <si>
    <t>Time Spent</t>
  </si>
  <si>
    <t>Chnl Skew</t>
  </si>
  <si>
    <t>Channel Worth</t>
  </si>
  <si>
    <t xml:space="preserve">Campaign: </t>
  </si>
  <si>
    <t>Zee News</t>
  </si>
  <si>
    <t>NDTV India</t>
  </si>
  <si>
    <t>Geo: Mega Citites</t>
  </si>
  <si>
    <t>NICK(v)</t>
  </si>
  <si>
    <t>Hungama(v)</t>
  </si>
  <si>
    <t>Disney Channel(v)</t>
  </si>
  <si>
    <t>Cartoon Network(v)</t>
  </si>
  <si>
    <t>Sonic Nickelodeon(v)</t>
  </si>
  <si>
    <t>Pogo TV(v)</t>
  </si>
  <si>
    <t>Sony YAY(v)</t>
  </si>
  <si>
    <t>Discovery Kids(v)</t>
  </si>
  <si>
    <t>NICK Junior(v)</t>
  </si>
  <si>
    <t>Super Hungama(v)</t>
  </si>
  <si>
    <t>Disney Junior(v)</t>
  </si>
  <si>
    <t>Geo: Hyderabad</t>
  </si>
  <si>
    <t>MF 22-40A</t>
  </si>
  <si>
    <t>Geo: Chennai</t>
  </si>
  <si>
    <t>Colors Tamil HD</t>
  </si>
  <si>
    <t>Geo: Bangalore</t>
  </si>
  <si>
    <t>News 1st(na)</t>
  </si>
  <si>
    <t>Geo: Mumbai</t>
  </si>
  <si>
    <t>Geo: Kolkata</t>
  </si>
  <si>
    <t>Chnl Share %</t>
  </si>
  <si>
    <t>BBC News</t>
  </si>
  <si>
    <t>Mirror Now</t>
  </si>
  <si>
    <t>Channel Affinity</t>
  </si>
  <si>
    <t>Geo: Mega cities</t>
  </si>
  <si>
    <t>Geo: Kerala urban</t>
  </si>
  <si>
    <t>TVR</t>
  </si>
  <si>
    <t>Time Spent (Avg)</t>
  </si>
  <si>
    <t xml:space="preserve">MF 15+ </t>
  </si>
  <si>
    <t>MF 15+</t>
  </si>
  <si>
    <t>Surrogate: Ind vs WI- 16th Feb, 18th Feb, 20th Feb 2022</t>
  </si>
  <si>
    <t>With T20</t>
  </si>
  <si>
    <t>Without T20</t>
  </si>
  <si>
    <t>C1</t>
  </si>
  <si>
    <t>C2</t>
  </si>
  <si>
    <t>Del+Mah U</t>
  </si>
  <si>
    <t>Surrogate: IPL 2022- Week 1</t>
  </si>
  <si>
    <t>With IPL</t>
  </si>
  <si>
    <t>Without IPL</t>
  </si>
  <si>
    <t>Increment</t>
  </si>
  <si>
    <t>Brand : Amazon Prime</t>
  </si>
  <si>
    <t>Campaign:  PA Q4 2021</t>
  </si>
  <si>
    <t xml:space="preserve">TG: MF 15-40 AB </t>
  </si>
  <si>
    <t>Pre Eval Period - Wk 10-12 2021</t>
  </si>
  <si>
    <t>MF 15-40AB</t>
  </si>
  <si>
    <t>UPI Launch (Incl 1P)</t>
  </si>
  <si>
    <t>IPL Impact - Option A</t>
  </si>
  <si>
    <t>--</t>
  </si>
  <si>
    <t>Influencers</t>
  </si>
  <si>
    <t>Seg A Base (MM)</t>
  </si>
  <si>
    <t>Seg B Base (MM)</t>
  </si>
  <si>
    <t>Bengaluru</t>
  </si>
  <si>
    <t>Sakshi</t>
  </si>
  <si>
    <t>Standard Banners</t>
  </si>
  <si>
    <t>Zee Digital</t>
  </si>
  <si>
    <t>Meta - 1P</t>
  </si>
  <si>
    <t>Social</t>
  </si>
  <si>
    <t>1P Targeting</t>
  </si>
  <si>
    <t>*Amazon Internal 1P Deployment</t>
  </si>
  <si>
    <t>DCM Tracking Cost (IPL)</t>
  </si>
  <si>
    <t>Bumper - 6 Sec</t>
  </si>
  <si>
    <t>Wk1</t>
  </si>
  <si>
    <t>Wk2</t>
  </si>
  <si>
    <t>Wk3</t>
  </si>
  <si>
    <t>Wk4</t>
  </si>
  <si>
    <t>Wk5</t>
  </si>
  <si>
    <t>Wk6</t>
  </si>
  <si>
    <t>Wk7</t>
  </si>
  <si>
    <t>Wk8</t>
  </si>
  <si>
    <t>CTV IPL</t>
  </si>
  <si>
    <t>PMP OTT</t>
  </si>
  <si>
    <t>Blore</t>
  </si>
  <si>
    <t>Hyd</t>
  </si>
  <si>
    <t>Youtube</t>
  </si>
  <si>
    <t>Works Anywhere
Refunds + 24/7 customer Care
1 Click Payment</t>
  </si>
  <si>
    <t>Concept</t>
  </si>
  <si>
    <t>Edit Length</t>
  </si>
  <si>
    <t>40 Sec</t>
  </si>
  <si>
    <t>15 Sec</t>
  </si>
  <si>
    <t>RTB Shorties 1
RTB Shorties 2
RTB Shorties 3</t>
  </si>
  <si>
    <t>6 Sec</t>
  </si>
  <si>
    <t>Connected TV PMP
&amp;
PMP OTT</t>
  </si>
  <si>
    <t>35 Sec</t>
  </si>
  <si>
    <t>1st Apr</t>
  </si>
  <si>
    <t>8th Apr</t>
  </si>
  <si>
    <t>Reach @1+</t>
  </si>
  <si>
    <t>WC Impact - Option A</t>
  </si>
  <si>
    <t>Meta</t>
  </si>
  <si>
    <t>Row Labels</t>
  </si>
  <si>
    <t>Grand Total</t>
  </si>
  <si>
    <t>(Multiple Items)</t>
  </si>
  <si>
    <t>Sports</t>
  </si>
  <si>
    <t>Geo + Demo (MF 18+)</t>
  </si>
  <si>
    <t>Delhi NCR</t>
  </si>
  <si>
    <t>28,29,30</t>
  </si>
  <si>
    <t>1,2,3</t>
  </si>
  <si>
    <t>July</t>
  </si>
  <si>
    <t>Non Skip - 10 Sec</t>
  </si>
  <si>
    <t xml:space="preserve">Video-10 Sec </t>
  </si>
  <si>
    <t xml:space="preserve">NonSkip-10 Sec  </t>
  </si>
  <si>
    <t>Instream - 10 Sec</t>
  </si>
  <si>
    <t>Test Market &amp; P0 Geos</t>
  </si>
  <si>
    <t>Contextual</t>
  </si>
  <si>
    <t>All Devices</t>
  </si>
  <si>
    <t>Health &amp; Fitness (Yoga, Stretches and Tips) (India)</t>
  </si>
  <si>
    <t>Travel Pack (India)</t>
  </si>
  <si>
    <t>Lifestyle (India) / Top Gaming Channels (India)</t>
  </si>
  <si>
    <t>CTV News (India)</t>
  </si>
  <si>
    <t>Premium Food Channels (India) / Food(Hindi) Lineup</t>
  </si>
  <si>
    <r>
      <t xml:space="preserve">To Run </t>
    </r>
    <r>
      <rPr>
        <b/>
        <sz val="10"/>
        <color theme="1"/>
        <rFont val="Calibri"/>
        <family val="2"/>
        <scheme val="minor"/>
      </rPr>
      <t>Vacations</t>
    </r>
    <r>
      <rPr>
        <sz val="10"/>
        <color theme="1"/>
        <rFont val="Calibri"/>
        <family val="2"/>
        <scheme val="minor"/>
      </rPr>
      <t xml:space="preserve"> Creative</t>
    </r>
  </si>
  <si>
    <r>
      <t xml:space="preserve">To Run </t>
    </r>
    <r>
      <rPr>
        <b/>
        <sz val="10"/>
        <color theme="1"/>
        <rFont val="Calibri"/>
        <family val="2"/>
        <scheme val="minor"/>
      </rPr>
      <t>Coffee</t>
    </r>
    <r>
      <rPr>
        <sz val="10"/>
        <color theme="1"/>
        <rFont val="Calibri"/>
        <family val="2"/>
        <scheme val="minor"/>
      </rPr>
      <t xml:space="preserve"> Creative</t>
    </r>
  </si>
  <si>
    <r>
      <t xml:space="preserve">To Run </t>
    </r>
    <r>
      <rPr>
        <b/>
        <sz val="10"/>
        <color theme="1"/>
        <rFont val="Calibri"/>
        <family val="2"/>
        <scheme val="minor"/>
      </rPr>
      <t>Groceries</t>
    </r>
    <r>
      <rPr>
        <sz val="10"/>
        <color theme="1"/>
        <rFont val="Calibri"/>
        <family val="2"/>
        <scheme val="minor"/>
      </rPr>
      <t xml:space="preserve"> Creative</t>
    </r>
  </si>
  <si>
    <r>
      <t xml:space="preserve">To Run </t>
    </r>
    <r>
      <rPr>
        <b/>
        <sz val="10"/>
        <color theme="1"/>
        <rFont val="Calibri"/>
        <family val="2"/>
        <scheme val="minor"/>
      </rPr>
      <t>Pizza Box</t>
    </r>
    <r>
      <rPr>
        <sz val="10"/>
        <color theme="1"/>
        <rFont val="Calibri"/>
        <family val="2"/>
        <scheme val="minor"/>
      </rPr>
      <t xml:space="preserve"> Creative</t>
    </r>
  </si>
  <si>
    <r>
      <t xml:space="preserve">To Run </t>
    </r>
    <r>
      <rPr>
        <b/>
        <sz val="10"/>
        <color theme="1"/>
        <rFont val="Calibri"/>
        <family val="2"/>
        <scheme val="minor"/>
      </rPr>
      <t>Fitness</t>
    </r>
    <r>
      <rPr>
        <sz val="10"/>
        <color theme="1"/>
        <rFont val="Calibri"/>
        <family val="2"/>
        <scheme val="minor"/>
      </rPr>
      <t xml:space="preserve"> Creative</t>
    </r>
  </si>
  <si>
    <t>UBER</t>
  </si>
  <si>
    <t>Utility</t>
  </si>
  <si>
    <t>Journey Ads</t>
  </si>
  <si>
    <t>NA</t>
  </si>
  <si>
    <t>CPT</t>
  </si>
  <si>
    <t>UPI Sustainance (Incl 1P)</t>
  </si>
  <si>
    <t>Q2 - 2024 Launch Plan</t>
  </si>
  <si>
    <t xml:space="preserve">Meta </t>
  </si>
  <si>
    <t>Demo + Geo + Prefer Mid Value Goods</t>
  </si>
  <si>
    <t>Meta - 3P</t>
  </si>
  <si>
    <t>Demo + Geo + Prefer high Value Goods</t>
  </si>
  <si>
    <t>DMP Data Cost</t>
  </si>
  <si>
    <t>Sports Display (Auction Deal)</t>
  </si>
  <si>
    <t>GEO</t>
  </si>
  <si>
    <t>A.in + GEO +NCCS A(Handsets 20 K above) or 20% and Above Income Level</t>
  </si>
  <si>
    <t>Demo + Geo + Mid (21%-80%) Inocme Level or Device 10k-20k</t>
  </si>
  <si>
    <t>17th June to 23rd June</t>
  </si>
  <si>
    <t>24th June to 30th June</t>
  </si>
  <si>
    <t>1st July to 7th July</t>
  </si>
  <si>
    <t>Uber</t>
  </si>
  <si>
    <t xml:space="preserve">Video-6 Sec </t>
  </si>
  <si>
    <t>Instream - 6 Sec</t>
  </si>
  <si>
    <t xml:space="preserve">Bumper 6 secs  </t>
  </si>
  <si>
    <t>PMP OTT PG Deal</t>
  </si>
  <si>
    <t>PMP OTT Auction Deal</t>
  </si>
  <si>
    <t>No of Units/Trips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</si>
</sst>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5">
    <numFmt numFmtId="5" formatCode="&quot;₹&quot;\ #,##0;&quot;₹&quot;\ \-#,##0"/>
    <numFmt numFmtId="6" formatCode="&quot;₹&quot;\ #,##0;[Red]&quot;₹&quot;\ \-#,##0"/>
    <numFmt numFmtId="44" formatCode="_ &quot;₹&quot;\ * #,##0.00_ ;_ &quot;₹&quot;\ * \-#,##0.00_ ;_ &quot;₹&quot;\ * &quot;-&quot;??_ ;_ @_ "/>
    <numFmt numFmtId="43" formatCode="_ * #,##0.00_ ;_ * \-#,##0.00_ ;_ * &quot;-&quot;??_ ;_ @_ "/>
    <numFmt numFmtId="164" formatCode="0.0"/>
    <numFmt numFmtId="165" formatCode="#,##0.0000"/>
    <numFmt numFmtId="166" formatCode="[$-F400]h:mm:ss\ AM/PM"/>
    <numFmt numFmtId="167" formatCode="[hh]\:mm\:ss"/>
    <numFmt numFmtId="168" formatCode="0.000"/>
    <numFmt numFmtId="169" formatCode="h:mm:ss;@"/>
    <numFmt numFmtId="170" formatCode="0,,\ &quot;MM&quot;"/>
    <numFmt numFmtId="171" formatCode="&quot;₹&quot;\ #\.0,,&quot;0 Crs&quot;"/>
    <numFmt numFmtId="172" formatCode="_ * #,##0_ ;_ * \-#,##0_ ;_ * &quot;-&quot;??_ ;_ @_ "/>
    <numFmt numFmtId="173" formatCode="&quot;₹&quot;\ 0#\.0,,&quot;0 Crs&quot;"/>
    <numFmt numFmtId="174" formatCode="&quot;₹&quot;\ #,##0"/>
    <numFmt numFmtId="175" formatCode="0.0%"/>
    <numFmt numFmtId="176" formatCode="#,##0.0"/>
    <numFmt numFmtId="177" formatCode="&quot;₹&quot;\ #,##0.0;&quot;₹&quot;\ \-#,##0.0"/>
    <numFmt numFmtId="178" formatCode="#,##0_ ;\-#,##0\ "/>
    <numFmt numFmtId="179" formatCode="_ [$INR]\ * #,##0_ ;_ [$INR]\ * \-#,##0_ ;_ [$INR]\ * &quot;-&quot;_ ;_ @_ "/>
    <numFmt numFmtId="180" formatCode="[$-F800]dddd\,\ mmmm\ dd\,\ yyyy"/>
    <numFmt numFmtId="181" formatCode="&quot;₹&quot;\ #,##0.00"/>
    <numFmt numFmtId="182" formatCode="0.000000000000000%"/>
    <numFmt numFmtId="183" formatCode="0.00000000000000%"/>
    <numFmt numFmtId="184" formatCode="0.0000000%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8"/>
      <color rgb="FF000000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FFFFFF"/>
      <name val="Calibri"/>
      <family val="2"/>
      <scheme val="minor"/>
    </font>
    <font>
      <b/>
      <sz val="11"/>
      <color rgb="FFFFFFFF"/>
      <name val="Calibri"/>
      <family val="2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rgb="FF000000"/>
      <name val="Arial"/>
      <family val="2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0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i/>
      <sz val="12"/>
      <color theme="1"/>
      <name val="Times New Roman"/>
      <family val="1"/>
    </font>
    <font>
      <sz val="12"/>
      <color rgb="FFFF0000"/>
      <name val="Times New Roman"/>
      <family val="1"/>
    </font>
    <font>
      <sz val="10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i/>
      <sz val="10"/>
      <color rgb="FF000000"/>
      <name val="Calibri"/>
      <family val="2"/>
    </font>
    <font>
      <b/>
      <i/>
      <sz val="11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Calibri"/>
      <family val="2"/>
      <scheme val="minor"/>
    </font>
    <font>
      <u/>
      <sz val="10"/>
      <color theme="10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0"/>
      <name val="Calibri"/>
      <family val="2"/>
      <scheme val="minor"/>
    </font>
    <font>
      <b/>
      <i/>
      <sz val="10"/>
      <color theme="0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0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0"/>
      <color rgb="FF000000"/>
      <name val="Calibri"/>
      <family val="2"/>
    </font>
    <font>
      <b/>
      <i/>
      <sz val="11"/>
      <color rgb="FF000000"/>
      <name val="Calibri"/>
      <family val="2"/>
    </font>
    <font>
      <sz val="10"/>
      <name val="Calibri"/>
      <family val="2"/>
    </font>
    <font>
      <sz val="10"/>
      <color rgb="FFFFFFFF"/>
      <name val="Calibri"/>
      <family val="2"/>
    </font>
    <font>
      <b/>
      <sz val="10"/>
      <color rgb="FFFFFFFF"/>
      <name val="Calibri"/>
      <family val="2"/>
    </font>
    <font>
      <b/>
      <sz val="10"/>
      <name val="Calibri"/>
      <family val="2"/>
    </font>
  </fonts>
  <fills count="3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0D0D0D"/>
        <bgColor rgb="FF000000"/>
      </patternFill>
    </fill>
    <fill>
      <patternFill patternType="solid">
        <fgColor rgb="FF203764"/>
        <bgColor rgb="FF000000"/>
      </patternFill>
    </fill>
    <fill>
      <patternFill patternType="solid">
        <fgColor rgb="FFF4B084"/>
        <bgColor rgb="FF000000"/>
      </patternFill>
    </fill>
    <fill>
      <patternFill patternType="solid">
        <fgColor rgb="FF595959"/>
        <bgColor rgb="FF000000"/>
      </patternFill>
    </fill>
    <fill>
      <patternFill patternType="solid">
        <fgColor rgb="FF404040"/>
        <bgColor rgb="FF000000"/>
      </patternFill>
    </fill>
  </fills>
  <borders count="6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theme="4" tint="-0.249977111117893"/>
      </left>
      <right style="thin">
        <color indexed="64"/>
      </right>
      <top style="medium">
        <color theme="4" tint="-0.249977111117893"/>
      </top>
      <bottom style="medium">
        <color theme="4" tint="-0.249977111117893"/>
      </bottom>
      <diagonal/>
    </border>
    <border>
      <left style="thin">
        <color indexed="64"/>
      </left>
      <right style="thin">
        <color indexed="64"/>
      </right>
      <top style="medium">
        <color theme="4" tint="-0.249977111117893"/>
      </top>
      <bottom style="medium">
        <color theme="4" tint="-0.249977111117893"/>
      </bottom>
      <diagonal/>
    </border>
    <border>
      <left style="thin">
        <color indexed="64"/>
      </left>
      <right style="medium">
        <color indexed="64"/>
      </right>
      <top style="medium">
        <color theme="4" tint="-0.249977111117893"/>
      </top>
      <bottom style="medium">
        <color theme="4" tint="-0.249977111117893"/>
      </bottom>
      <diagonal/>
    </border>
    <border>
      <left/>
      <right/>
      <top style="medium">
        <color theme="4" tint="-0.249977111117893"/>
      </top>
      <bottom style="medium">
        <color theme="4" tint="-0.249977111117893"/>
      </bottom>
      <diagonal/>
    </border>
    <border>
      <left/>
      <right style="medium">
        <color theme="4" tint="-0.249977111117893"/>
      </right>
      <top style="medium">
        <color theme="4" tint="-0.249977111117893"/>
      </top>
      <bottom style="medium">
        <color theme="4" tint="-0.249977111117893"/>
      </bottom>
      <diagonal/>
    </border>
  </borders>
  <cellStyleXfs count="23">
    <xf numFmtId="0" fontId="0" fillId="0" borderId="0"/>
    <xf numFmtId="9" fontId="1" fillId="0" borderId="0" applyFont="0" applyFill="0" applyBorder="0" applyAlignment="0" applyProtection="0"/>
    <xf numFmtId="49" fontId="5" fillId="6" borderId="2">
      <alignment horizontal="left" vertical="top"/>
    </xf>
    <xf numFmtId="49" fontId="5" fillId="6" borderId="3">
      <alignment horizontal="left" vertical="top"/>
    </xf>
    <xf numFmtId="49" fontId="5" fillId="7" borderId="3">
      <alignment horizontal="left" vertical="top"/>
    </xf>
    <xf numFmtId="4" fontId="5" fillId="7" borderId="3">
      <alignment horizontal="right" vertical="top"/>
    </xf>
    <xf numFmtId="0" fontId="6" fillId="6" borderId="4">
      <alignment horizontal="left" vertical="top"/>
    </xf>
    <xf numFmtId="43" fontId="1" fillId="0" borderId="0" applyFont="0" applyFill="0" applyBorder="0" applyAlignment="0" applyProtection="0"/>
    <xf numFmtId="0" fontId="7" fillId="0" borderId="0"/>
    <xf numFmtId="0" fontId="1" fillId="0" borderId="0"/>
    <xf numFmtId="165" fontId="6" fillId="7" borderId="6">
      <alignment horizontal="left" vertical="top"/>
    </xf>
    <xf numFmtId="165" fontId="6" fillId="7" borderId="6">
      <alignment horizontal="right" vertical="top"/>
    </xf>
    <xf numFmtId="0" fontId="6" fillId="6" borderId="1">
      <alignment horizontal="left" vertical="top"/>
    </xf>
    <xf numFmtId="167" fontId="5" fillId="7" borderId="3">
      <alignment horizontal="right" vertical="top"/>
    </xf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9" fontId="18" fillId="7" borderId="3">
      <alignment horizontal="left" vertical="top"/>
    </xf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33" fillId="0" borderId="0" applyNumberFormat="0" applyFill="0" applyBorder="0" applyAlignment="0" applyProtection="0"/>
    <xf numFmtId="43" fontId="1" fillId="0" borderId="0" applyFont="0" applyFill="0" applyBorder="0" applyAlignment="0" applyProtection="0"/>
  </cellStyleXfs>
  <cellXfs count="602">
    <xf numFmtId="0" fontId="0" fillId="0" borderId="0" xfId="0"/>
    <xf numFmtId="0" fontId="2" fillId="0" borderId="0" xfId="0" applyFont="1"/>
    <xf numFmtId="1" fontId="0" fillId="0" borderId="1" xfId="0" applyNumberFormat="1" applyBorder="1" applyAlignment="1">
      <alignment horizontal="center"/>
    </xf>
    <xf numFmtId="9" fontId="0" fillId="0" borderId="1" xfId="1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" fontId="0" fillId="0" borderId="0" xfId="0" applyNumberFormat="1"/>
    <xf numFmtId="1" fontId="0" fillId="0" borderId="0" xfId="0" applyNumberFormat="1" applyAlignment="1">
      <alignment horizontal="center"/>
    </xf>
    <xf numFmtId="0" fontId="2" fillId="0" borderId="0" xfId="0" applyFont="1" applyAlignment="1">
      <alignment horizontal="left"/>
    </xf>
    <xf numFmtId="0" fontId="8" fillId="8" borderId="1" xfId="0" applyFont="1" applyFill="1" applyBorder="1"/>
    <xf numFmtId="0" fontId="4" fillId="0" borderId="1" xfId="0" applyFont="1" applyBorder="1" applyAlignment="1">
      <alignment horizontal="left"/>
    </xf>
    <xf numFmtId="2" fontId="0" fillId="0" borderId="1" xfId="0" applyNumberForma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1" fontId="6" fillId="6" borderId="1" xfId="12" applyNumberFormat="1">
      <alignment horizontal="left" vertical="top"/>
    </xf>
    <xf numFmtId="1" fontId="6" fillId="6" borderId="4" xfId="6" applyNumberFormat="1">
      <alignment horizontal="left" vertical="top"/>
    </xf>
    <xf numFmtId="1" fontId="6" fillId="7" borderId="6" xfId="10" applyNumberFormat="1">
      <alignment horizontal="left" vertical="top"/>
    </xf>
    <xf numFmtId="1" fontId="6" fillId="7" borderId="6" xfId="11" applyNumberFormat="1">
      <alignment horizontal="right" vertical="top"/>
    </xf>
    <xf numFmtId="0" fontId="9" fillId="2" borderId="1" xfId="0" applyFont="1" applyFill="1" applyBorder="1" applyAlignment="1">
      <alignment horizontal="center"/>
    </xf>
    <xf numFmtId="1" fontId="9" fillId="2" borderId="1" xfId="0" applyNumberFormat="1" applyFont="1" applyFill="1" applyBorder="1" applyAlignment="1">
      <alignment horizontal="center"/>
    </xf>
    <xf numFmtId="0" fontId="9" fillId="2" borderId="1" xfId="0" applyFont="1" applyFill="1" applyBorder="1"/>
    <xf numFmtId="0" fontId="8" fillId="8" borderId="1" xfId="0" applyFont="1" applyFill="1" applyBorder="1" applyAlignment="1">
      <alignment horizontal="center"/>
    </xf>
    <xf numFmtId="0" fontId="10" fillId="0" borderId="0" xfId="0" applyFont="1" applyAlignment="1">
      <alignment horizontal="left"/>
    </xf>
    <xf numFmtId="0" fontId="8" fillId="8" borderId="7" xfId="0" applyFont="1" applyFill="1" applyBorder="1" applyAlignment="1">
      <alignment horizontal="center"/>
    </xf>
    <xf numFmtId="1" fontId="0" fillId="9" borderId="1" xfId="0" applyNumberFormat="1" applyFill="1" applyBorder="1" applyAlignment="1">
      <alignment horizontal="center"/>
    </xf>
    <xf numFmtId="1" fontId="0" fillId="5" borderId="1" xfId="0" applyNumberFormat="1" applyFill="1" applyBorder="1" applyAlignment="1">
      <alignment horizontal="center"/>
    </xf>
    <xf numFmtId="0" fontId="4" fillId="0" borderId="0" xfId="0" applyFont="1" applyAlignment="1">
      <alignment horizontal="left"/>
    </xf>
    <xf numFmtId="9" fontId="0" fillId="0" borderId="0" xfId="1" applyFont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7" fontId="3" fillId="7" borderId="3" xfId="13" applyFont="1" applyAlignment="1">
      <alignment horizontal="center" vertical="top"/>
    </xf>
    <xf numFmtId="0" fontId="0" fillId="0" borderId="1" xfId="0" applyBorder="1"/>
    <xf numFmtId="0" fontId="4" fillId="10" borderId="1" xfId="0" applyFont="1" applyFill="1" applyBorder="1" applyAlignment="1">
      <alignment horizontal="left"/>
    </xf>
    <xf numFmtId="1" fontId="0" fillId="10" borderId="1" xfId="0" applyNumberFormat="1" applyFill="1" applyBorder="1" applyAlignment="1">
      <alignment horizontal="center"/>
    </xf>
    <xf numFmtId="0" fontId="8" fillId="3" borderId="1" xfId="0" applyFont="1" applyFill="1" applyBorder="1" applyAlignment="1">
      <alignment horizontal="left"/>
    </xf>
    <xf numFmtId="0" fontId="8" fillId="3" borderId="1" xfId="0" applyFont="1" applyFill="1" applyBorder="1" applyAlignment="1">
      <alignment horizontal="center"/>
    </xf>
    <xf numFmtId="1" fontId="8" fillId="3" borderId="1" xfId="0" applyNumberFormat="1" applyFont="1" applyFill="1" applyBorder="1" applyAlignment="1">
      <alignment horizontal="center"/>
    </xf>
    <xf numFmtId="1" fontId="9" fillId="2" borderId="1" xfId="12" applyNumberFormat="1" applyFont="1" applyFill="1">
      <alignment horizontal="left" vertical="top"/>
    </xf>
    <xf numFmtId="1" fontId="9" fillId="2" borderId="1" xfId="12" applyNumberFormat="1" applyFont="1" applyFill="1" applyAlignment="1">
      <alignment horizontal="center" vertical="top"/>
    </xf>
    <xf numFmtId="1" fontId="12" fillId="7" borderId="1" xfId="10" applyNumberFormat="1" applyFont="1" applyBorder="1">
      <alignment horizontal="left" vertical="top"/>
    </xf>
    <xf numFmtId="1" fontId="12" fillId="7" borderId="1" xfId="11" applyNumberFormat="1" applyFont="1" applyBorder="1" applyAlignment="1">
      <alignment horizontal="center" vertical="top"/>
    </xf>
    <xf numFmtId="164" fontId="9" fillId="2" borderId="1" xfId="0" applyNumberFormat="1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9" fontId="13" fillId="0" borderId="0" xfId="0" applyNumberFormat="1" applyFont="1" applyAlignment="1">
      <alignment horizontal="right" vertical="center"/>
    </xf>
    <xf numFmtId="9" fontId="9" fillId="2" borderId="1" xfId="1" applyFont="1" applyFill="1" applyBorder="1" applyAlignment="1">
      <alignment horizontal="center"/>
    </xf>
    <xf numFmtId="1" fontId="12" fillId="5" borderId="1" xfId="10" applyNumberFormat="1" applyFont="1" applyFill="1" applyBorder="1">
      <alignment horizontal="left" vertical="top"/>
    </xf>
    <xf numFmtId="1" fontId="12" fillId="5" borderId="1" xfId="11" applyNumberFormat="1" applyFont="1" applyFill="1" applyBorder="1" applyAlignment="1">
      <alignment horizontal="center" vertical="top"/>
    </xf>
    <xf numFmtId="2" fontId="9" fillId="2" borderId="1" xfId="0" applyNumberFormat="1" applyFont="1" applyFill="1" applyBorder="1" applyAlignment="1">
      <alignment horizontal="center"/>
    </xf>
    <xf numFmtId="2" fontId="0" fillId="0" borderId="0" xfId="0" applyNumberFormat="1" applyAlignment="1">
      <alignment horizontal="center"/>
    </xf>
    <xf numFmtId="1" fontId="9" fillId="2" borderId="8" xfId="12" applyNumberFormat="1" applyFont="1" applyFill="1" applyBorder="1" applyAlignment="1">
      <alignment horizontal="center" vertical="top"/>
    </xf>
    <xf numFmtId="1" fontId="9" fillId="2" borderId="9" xfId="12" applyNumberFormat="1" applyFont="1" applyFill="1" applyBorder="1" applyAlignment="1">
      <alignment horizontal="center" vertical="top"/>
    </xf>
    <xf numFmtId="3" fontId="0" fillId="0" borderId="1" xfId="0" applyNumberFormat="1" applyBorder="1" applyAlignment="1">
      <alignment horizontal="center"/>
    </xf>
    <xf numFmtId="0" fontId="14" fillId="11" borderId="1" xfId="0" applyFont="1" applyFill="1" applyBorder="1" applyAlignment="1">
      <alignment vertical="center"/>
    </xf>
    <xf numFmtId="0" fontId="14" fillId="11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1" fontId="3" fillId="0" borderId="1" xfId="0" applyNumberFormat="1" applyFon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5" fillId="11" borderId="10" xfId="0" applyFont="1" applyFill="1" applyBorder="1" applyAlignment="1">
      <alignment vertical="center"/>
    </xf>
    <xf numFmtId="0" fontId="15" fillId="11" borderId="11" xfId="0" applyFont="1" applyFill="1" applyBorder="1" applyAlignment="1">
      <alignment horizontal="center" vertical="center"/>
    </xf>
    <xf numFmtId="0" fontId="13" fillId="0" borderId="1" xfId="0" applyFont="1" applyBorder="1" applyAlignment="1">
      <alignment vertical="center"/>
    </xf>
    <xf numFmtId="1" fontId="13" fillId="0" borderId="1" xfId="0" applyNumberFormat="1" applyFont="1" applyBorder="1" applyAlignment="1">
      <alignment horizontal="center" vertical="center"/>
    </xf>
    <xf numFmtId="0" fontId="4" fillId="0" borderId="0" xfId="8" applyFont="1"/>
    <xf numFmtId="1" fontId="4" fillId="0" borderId="0" xfId="8" applyNumberFormat="1" applyFont="1" applyAlignment="1">
      <alignment horizontal="center"/>
    </xf>
    <xf numFmtId="0" fontId="2" fillId="0" borderId="0" xfId="8" applyFont="1"/>
    <xf numFmtId="0" fontId="0" fillId="0" borderId="0" xfId="8" applyFont="1"/>
    <xf numFmtId="0" fontId="8" fillId="8" borderId="1" xfId="8" applyFont="1" applyFill="1" applyBorder="1"/>
    <xf numFmtId="0" fontId="8" fillId="8" borderId="1" xfId="8" applyFont="1" applyFill="1" applyBorder="1" applyAlignment="1">
      <alignment horizontal="center"/>
    </xf>
    <xf numFmtId="0" fontId="4" fillId="0" borderId="1" xfId="8" applyFont="1" applyBorder="1" applyAlignment="1">
      <alignment horizontal="left"/>
    </xf>
    <xf numFmtId="1" fontId="0" fillId="0" borderId="1" xfId="8" applyNumberFormat="1" applyFont="1" applyBorder="1" applyAlignment="1">
      <alignment horizontal="center"/>
    </xf>
    <xf numFmtId="1" fontId="0" fillId="0" borderId="0" xfId="8" applyNumberFormat="1" applyFont="1" applyAlignment="1">
      <alignment horizontal="center"/>
    </xf>
    <xf numFmtId="164" fontId="0" fillId="0" borderId="1" xfId="8" applyNumberFormat="1" applyFont="1" applyBorder="1" applyAlignment="1">
      <alignment horizontal="center"/>
    </xf>
    <xf numFmtId="1" fontId="4" fillId="0" borderId="1" xfId="8" applyNumberFormat="1" applyFont="1" applyBorder="1" applyAlignment="1">
      <alignment horizontal="center"/>
    </xf>
    <xf numFmtId="1" fontId="4" fillId="0" borderId="0" xfId="8" applyNumberFormat="1" applyFont="1"/>
    <xf numFmtId="49" fontId="4" fillId="0" borderId="1" xfId="8" applyNumberFormat="1" applyFont="1" applyBorder="1" applyAlignment="1">
      <alignment horizontal="left"/>
    </xf>
    <xf numFmtId="49" fontId="4" fillId="0" borderId="0" xfId="8" applyNumberFormat="1" applyFont="1" applyAlignment="1">
      <alignment horizontal="left"/>
    </xf>
    <xf numFmtId="164" fontId="0" fillId="0" borderId="0" xfId="8" applyNumberFormat="1" applyFont="1" applyAlignment="1">
      <alignment horizontal="center"/>
    </xf>
    <xf numFmtId="166" fontId="4" fillId="0" borderId="0" xfId="8" applyNumberFormat="1" applyFont="1" applyAlignment="1">
      <alignment horizontal="center"/>
    </xf>
    <xf numFmtId="0" fontId="4" fillId="0" borderId="1" xfId="8" applyFont="1" applyBorder="1"/>
    <xf numFmtId="2" fontId="4" fillId="0" borderId="1" xfId="8" applyNumberFormat="1" applyFont="1" applyBorder="1" applyAlignment="1">
      <alignment horizontal="center"/>
    </xf>
    <xf numFmtId="2" fontId="4" fillId="0" borderId="0" xfId="8" applyNumberFormat="1" applyFont="1"/>
    <xf numFmtId="0" fontId="0" fillId="0" borderId="0" xfId="9" applyFont="1"/>
    <xf numFmtId="0" fontId="8" fillId="8" borderId="1" xfId="9" applyFont="1" applyFill="1" applyBorder="1" applyAlignment="1">
      <alignment horizontal="left"/>
    </xf>
    <xf numFmtId="0" fontId="8" fillId="8" borderId="1" xfId="9" applyFont="1" applyFill="1" applyBorder="1" applyAlignment="1">
      <alignment horizontal="center"/>
    </xf>
    <xf numFmtId="0" fontId="4" fillId="9" borderId="1" xfId="8" applyFont="1" applyFill="1" applyBorder="1" applyAlignment="1">
      <alignment horizontal="left"/>
    </xf>
    <xf numFmtId="1" fontId="0" fillId="9" borderId="1" xfId="9" applyNumberFormat="1" applyFont="1" applyFill="1" applyBorder="1" applyAlignment="1">
      <alignment horizontal="center"/>
    </xf>
    <xf numFmtId="1" fontId="0" fillId="0" borderId="1" xfId="9" applyNumberFormat="1" applyFont="1" applyBorder="1" applyAlignment="1">
      <alignment horizontal="center"/>
    </xf>
    <xf numFmtId="9" fontId="4" fillId="0" borderId="0" xfId="1" applyFont="1"/>
    <xf numFmtId="1" fontId="0" fillId="0" borderId="0" xfId="8" applyNumberFormat="1" applyFont="1"/>
    <xf numFmtId="164" fontId="4" fillId="0" borderId="0" xfId="8" applyNumberFormat="1" applyFont="1"/>
    <xf numFmtId="164" fontId="4" fillId="0" borderId="1" xfId="8" applyNumberFormat="1" applyFont="1" applyBorder="1" applyAlignment="1">
      <alignment horizontal="center"/>
    </xf>
    <xf numFmtId="0" fontId="4" fillId="0" borderId="0" xfId="9" applyFont="1"/>
    <xf numFmtId="0" fontId="2" fillId="0" borderId="0" xfId="9" applyFont="1"/>
    <xf numFmtId="0" fontId="8" fillId="8" borderId="1" xfId="9" applyFont="1" applyFill="1" applyBorder="1"/>
    <xf numFmtId="0" fontId="4" fillId="0" borderId="1" xfId="9" applyFont="1" applyBorder="1" applyAlignment="1">
      <alignment horizontal="left"/>
    </xf>
    <xf numFmtId="168" fontId="0" fillId="0" borderId="1" xfId="9" applyNumberFormat="1" applyFont="1" applyBorder="1" applyAlignment="1">
      <alignment horizontal="center"/>
    </xf>
    <xf numFmtId="164" fontId="4" fillId="0" borderId="0" xfId="9" applyNumberFormat="1" applyFont="1"/>
    <xf numFmtId="49" fontId="4" fillId="0" borderId="1" xfId="9" applyNumberFormat="1" applyFont="1" applyBorder="1" applyAlignment="1">
      <alignment horizontal="left"/>
    </xf>
    <xf numFmtId="0" fontId="4" fillId="0" borderId="0" xfId="9" applyFont="1" applyAlignment="1">
      <alignment horizontal="left"/>
    </xf>
    <xf numFmtId="49" fontId="4" fillId="0" borderId="0" xfId="9" applyNumberFormat="1" applyFont="1" applyAlignment="1">
      <alignment horizontal="left"/>
    </xf>
    <xf numFmtId="1" fontId="0" fillId="0" borderId="0" xfId="9" applyNumberFormat="1" applyFont="1" applyAlignment="1">
      <alignment horizontal="center"/>
    </xf>
    <xf numFmtId="164" fontId="0" fillId="0" borderId="0" xfId="9" applyNumberFormat="1" applyFont="1" applyAlignment="1">
      <alignment horizontal="center"/>
    </xf>
    <xf numFmtId="1" fontId="4" fillId="0" borderId="0" xfId="9" applyNumberFormat="1" applyFont="1" applyAlignment="1">
      <alignment horizontal="center"/>
    </xf>
    <xf numFmtId="0" fontId="8" fillId="8" borderId="1" xfId="0" applyFont="1" applyFill="1" applyBorder="1" applyAlignment="1">
      <alignment horizontal="center" vertical="center"/>
    </xf>
    <xf numFmtId="166" fontId="4" fillId="0" borderId="0" xfId="9" applyNumberFormat="1" applyFont="1" applyAlignment="1">
      <alignment horizontal="center"/>
    </xf>
    <xf numFmtId="2" fontId="4" fillId="0" borderId="1" xfId="9" applyNumberFormat="1" applyFont="1" applyBorder="1" applyAlignment="1">
      <alignment horizontal="center"/>
    </xf>
    <xf numFmtId="1" fontId="4" fillId="0" borderId="1" xfId="9" applyNumberFormat="1" applyFont="1" applyBorder="1" applyAlignment="1">
      <alignment horizontal="center"/>
    </xf>
    <xf numFmtId="2" fontId="4" fillId="0" borderId="0" xfId="9" applyNumberFormat="1" applyFont="1"/>
    <xf numFmtId="0" fontId="0" fillId="0" borderId="0" xfId="14" applyFont="1"/>
    <xf numFmtId="0" fontId="8" fillId="8" borderId="1" xfId="14" applyFont="1" applyFill="1" applyBorder="1" applyAlignment="1">
      <alignment horizontal="left"/>
    </xf>
    <xf numFmtId="0" fontId="8" fillId="8" borderId="1" xfId="14" applyFont="1" applyFill="1" applyBorder="1" applyAlignment="1">
      <alignment horizontal="center"/>
    </xf>
    <xf numFmtId="0" fontId="4" fillId="12" borderId="1" xfId="9" applyFont="1" applyFill="1" applyBorder="1" applyAlignment="1">
      <alignment horizontal="left"/>
    </xf>
    <xf numFmtId="1" fontId="0" fillId="12" borderId="1" xfId="14" applyNumberFormat="1" applyFont="1" applyFill="1" applyBorder="1" applyAlignment="1">
      <alignment horizontal="center"/>
    </xf>
    <xf numFmtId="1" fontId="0" fillId="0" borderId="1" xfId="14" applyNumberFormat="1" applyFont="1" applyBorder="1" applyAlignment="1">
      <alignment horizontal="center"/>
    </xf>
    <xf numFmtId="0" fontId="11" fillId="0" borderId="0" xfId="8" applyFont="1"/>
    <xf numFmtId="0" fontId="4" fillId="9" borderId="7" xfId="0" applyFont="1" applyFill="1" applyBorder="1" applyAlignment="1">
      <alignment horizontal="left"/>
    </xf>
    <xf numFmtId="0" fontId="4" fillId="0" borderId="7" xfId="0" applyFont="1" applyBorder="1" applyAlignment="1">
      <alignment horizontal="left"/>
    </xf>
    <xf numFmtId="1" fontId="0" fillId="0" borderId="16" xfId="0" applyNumberFormat="1" applyBorder="1" applyAlignment="1">
      <alignment horizontal="center"/>
    </xf>
    <xf numFmtId="0" fontId="8" fillId="8" borderId="1" xfId="0" applyFont="1" applyFill="1" applyBorder="1" applyAlignment="1">
      <alignment horizontal="left"/>
    </xf>
    <xf numFmtId="0" fontId="8" fillId="8" borderId="18" xfId="0" applyFont="1" applyFill="1" applyBorder="1" applyAlignment="1">
      <alignment horizontal="center"/>
    </xf>
    <xf numFmtId="2" fontId="0" fillId="0" borderId="1" xfId="8" applyNumberFormat="1" applyFont="1" applyBorder="1" applyAlignment="1">
      <alignment horizontal="center"/>
    </xf>
    <xf numFmtId="0" fontId="4" fillId="9" borderId="1" xfId="0" applyFont="1" applyFill="1" applyBorder="1" applyAlignment="1">
      <alignment horizontal="left"/>
    </xf>
    <xf numFmtId="1" fontId="2" fillId="5" borderId="1" xfId="0" applyNumberFormat="1" applyFont="1" applyFill="1" applyBorder="1" applyAlignment="1">
      <alignment horizontal="center"/>
    </xf>
    <xf numFmtId="0" fontId="16" fillId="0" borderId="0" xfId="0" applyFont="1" applyAlignment="1">
      <alignment horizontal="left"/>
    </xf>
    <xf numFmtId="166" fontId="17" fillId="0" borderId="0" xfId="8" applyNumberFormat="1" applyFont="1" applyAlignment="1">
      <alignment horizontal="center"/>
    </xf>
    <xf numFmtId="2" fontId="4" fillId="5" borderId="1" xfId="8" applyNumberFormat="1" applyFont="1" applyFill="1" applyBorder="1" applyAlignment="1">
      <alignment horizontal="center"/>
    </xf>
    <xf numFmtId="1" fontId="3" fillId="7" borderId="3" xfId="13" applyNumberFormat="1" applyFont="1" applyAlignment="1">
      <alignment horizontal="center" vertical="top"/>
    </xf>
    <xf numFmtId="1" fontId="0" fillId="0" borderId="1" xfId="1" applyNumberFormat="1" applyFont="1" applyBorder="1" applyAlignment="1">
      <alignment horizontal="center"/>
    </xf>
    <xf numFmtId="169" fontId="4" fillId="0" borderId="1" xfId="8" applyNumberFormat="1" applyFont="1" applyBorder="1" applyAlignment="1">
      <alignment horizontal="center"/>
    </xf>
    <xf numFmtId="0" fontId="20" fillId="0" borderId="0" xfId="0" applyFont="1" applyAlignment="1">
      <alignment horizontal="center"/>
    </xf>
    <xf numFmtId="0" fontId="20" fillId="0" borderId="0" xfId="0" applyFont="1"/>
    <xf numFmtId="0" fontId="22" fillId="0" borderId="20" xfId="0" applyFont="1" applyBorder="1" applyAlignment="1">
      <alignment horizontal="center"/>
    </xf>
    <xf numFmtId="2" fontId="20" fillId="0" borderId="0" xfId="0" applyNumberFormat="1" applyFont="1"/>
    <xf numFmtId="0" fontId="22" fillId="0" borderId="22" xfId="0" applyFont="1" applyBorder="1" applyAlignment="1">
      <alignment horizontal="center"/>
    </xf>
    <xf numFmtId="1" fontId="19" fillId="0" borderId="22" xfId="0" applyNumberFormat="1" applyFont="1" applyBorder="1" applyAlignment="1">
      <alignment horizontal="center"/>
    </xf>
    <xf numFmtId="0" fontId="22" fillId="0" borderId="24" xfId="0" applyFont="1" applyBorder="1" applyAlignment="1">
      <alignment horizontal="center"/>
    </xf>
    <xf numFmtId="1" fontId="19" fillId="0" borderId="24" xfId="0" applyNumberFormat="1" applyFont="1" applyBorder="1" applyAlignment="1">
      <alignment horizontal="center"/>
    </xf>
    <xf numFmtId="0" fontId="19" fillId="0" borderId="0" xfId="0" applyFont="1" applyAlignment="1">
      <alignment horizontal="center"/>
    </xf>
    <xf numFmtId="0" fontId="22" fillId="0" borderId="26" xfId="0" applyFont="1" applyBorder="1" applyAlignment="1">
      <alignment horizontal="center"/>
    </xf>
    <xf numFmtId="1" fontId="19" fillId="0" borderId="26" xfId="0" applyNumberFormat="1" applyFont="1" applyBorder="1" applyAlignment="1">
      <alignment horizontal="center"/>
    </xf>
    <xf numFmtId="166" fontId="20" fillId="0" borderId="0" xfId="0" applyNumberFormat="1" applyFont="1"/>
    <xf numFmtId="0" fontId="19" fillId="0" borderId="10" xfId="0" applyFont="1" applyBorder="1" applyAlignment="1">
      <alignment horizontal="center" vertical="center"/>
    </xf>
    <xf numFmtId="0" fontId="19" fillId="0" borderId="27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1" fillId="14" borderId="19" xfId="0" applyFont="1" applyFill="1" applyBorder="1" applyAlignment="1">
      <alignment horizontal="center" vertical="center"/>
    </xf>
    <xf numFmtId="0" fontId="21" fillId="14" borderId="28" xfId="0" applyFont="1" applyFill="1" applyBorder="1" applyAlignment="1">
      <alignment horizontal="center" vertical="center"/>
    </xf>
    <xf numFmtId="0" fontId="21" fillId="14" borderId="29" xfId="0" applyFont="1" applyFill="1" applyBorder="1" applyAlignment="1">
      <alignment horizontal="center" vertical="center"/>
    </xf>
    <xf numFmtId="0" fontId="21" fillId="14" borderId="30" xfId="0" applyFont="1" applyFill="1" applyBorder="1" applyAlignment="1">
      <alignment horizontal="center" vertical="center"/>
    </xf>
    <xf numFmtId="0" fontId="21" fillId="14" borderId="26" xfId="0" applyFont="1" applyFill="1" applyBorder="1" applyAlignment="1">
      <alignment horizontal="center" vertical="center"/>
    </xf>
    <xf numFmtId="1" fontId="20" fillId="0" borderId="21" xfId="0" applyNumberFormat="1" applyFont="1" applyBorder="1" applyAlignment="1">
      <alignment horizontal="center"/>
    </xf>
    <xf numFmtId="1" fontId="20" fillId="0" borderId="7" xfId="0" applyNumberFormat="1" applyFont="1" applyBorder="1" applyAlignment="1">
      <alignment horizontal="center"/>
    </xf>
    <xf numFmtId="1" fontId="20" fillId="0" borderId="31" xfId="0" applyNumberFormat="1" applyFont="1" applyBorder="1" applyAlignment="1">
      <alignment horizontal="center"/>
    </xf>
    <xf numFmtId="0" fontId="22" fillId="15" borderId="20" xfId="0" applyFont="1" applyFill="1" applyBorder="1" applyAlignment="1">
      <alignment horizontal="center"/>
    </xf>
    <xf numFmtId="1" fontId="20" fillId="0" borderId="16" xfId="0" applyNumberFormat="1" applyFont="1" applyBorder="1" applyAlignment="1">
      <alignment horizontal="center"/>
    </xf>
    <xf numFmtId="1" fontId="20" fillId="0" borderId="1" xfId="0" applyNumberFormat="1" applyFont="1" applyBorder="1" applyAlignment="1">
      <alignment horizontal="center"/>
    </xf>
    <xf numFmtId="1" fontId="20" fillId="0" borderId="17" xfId="0" applyNumberFormat="1" applyFont="1" applyBorder="1" applyAlignment="1">
      <alignment horizontal="center"/>
    </xf>
    <xf numFmtId="0" fontId="22" fillId="0" borderId="32" xfId="0" applyFont="1" applyBorder="1" applyAlignment="1">
      <alignment horizontal="center"/>
    </xf>
    <xf numFmtId="1" fontId="20" fillId="0" borderId="33" xfId="0" applyNumberFormat="1" applyFont="1" applyBorder="1" applyAlignment="1">
      <alignment horizontal="center"/>
    </xf>
    <xf numFmtId="1" fontId="20" fillId="0" borderId="34" xfId="0" applyNumberFormat="1" applyFont="1" applyBorder="1" applyAlignment="1">
      <alignment horizontal="center"/>
    </xf>
    <xf numFmtId="1" fontId="20" fillId="0" borderId="35" xfId="0" applyNumberFormat="1" applyFont="1" applyBorder="1" applyAlignment="1">
      <alignment horizontal="center"/>
    </xf>
    <xf numFmtId="9" fontId="20" fillId="0" borderId="0" xfId="1" applyFont="1"/>
    <xf numFmtId="1" fontId="19" fillId="5" borderId="22" xfId="0" applyNumberFormat="1" applyFont="1" applyFill="1" applyBorder="1" applyAlignment="1">
      <alignment horizontal="center"/>
    </xf>
    <xf numFmtId="0" fontId="19" fillId="0" borderId="37" xfId="0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1" fillId="14" borderId="10" xfId="0" applyFont="1" applyFill="1" applyBorder="1" applyAlignment="1">
      <alignment horizontal="center" vertical="center"/>
    </xf>
    <xf numFmtId="0" fontId="21" fillId="14" borderId="27" xfId="0" applyFont="1" applyFill="1" applyBorder="1" applyAlignment="1">
      <alignment horizontal="center" vertical="center"/>
    </xf>
    <xf numFmtId="0" fontId="21" fillId="14" borderId="37" xfId="0" applyFont="1" applyFill="1" applyBorder="1" applyAlignment="1">
      <alignment horizontal="center" vertical="center"/>
    </xf>
    <xf numFmtId="0" fontId="21" fillId="14" borderId="38" xfId="0" applyFont="1" applyFill="1" applyBorder="1" applyAlignment="1">
      <alignment horizontal="center" vertical="center"/>
    </xf>
    <xf numFmtId="0" fontId="21" fillId="14" borderId="11" xfId="0" applyFont="1" applyFill="1" applyBorder="1" applyAlignment="1">
      <alignment horizontal="center" vertical="center"/>
    </xf>
    <xf numFmtId="0" fontId="22" fillId="15" borderId="26" xfId="0" applyFont="1" applyFill="1" applyBorder="1" applyAlignment="1">
      <alignment horizontal="center"/>
    </xf>
    <xf numFmtId="1" fontId="20" fillId="0" borderId="13" xfId="0" applyNumberFormat="1" applyFont="1" applyBorder="1" applyAlignment="1">
      <alignment horizontal="center"/>
    </xf>
    <xf numFmtId="1" fontId="20" fillId="0" borderId="39" xfId="0" applyNumberFormat="1" applyFont="1" applyBorder="1" applyAlignment="1">
      <alignment horizontal="center"/>
    </xf>
    <xf numFmtId="1" fontId="20" fillId="0" borderId="40" xfId="0" applyNumberFormat="1" applyFont="1" applyBorder="1" applyAlignment="1">
      <alignment horizontal="center"/>
    </xf>
    <xf numFmtId="1" fontId="19" fillId="5" borderId="26" xfId="0" applyNumberFormat="1" applyFont="1" applyFill="1" applyBorder="1" applyAlignment="1">
      <alignment horizontal="center"/>
    </xf>
    <xf numFmtId="0" fontId="22" fillId="15" borderId="22" xfId="0" applyFont="1" applyFill="1" applyBorder="1" applyAlignment="1">
      <alignment horizontal="center"/>
    </xf>
    <xf numFmtId="1" fontId="20" fillId="0" borderId="23" xfId="0" applyNumberFormat="1" applyFont="1" applyBorder="1" applyAlignment="1">
      <alignment horizontal="center"/>
    </xf>
    <xf numFmtId="0" fontId="22" fillId="5" borderId="24" xfId="0" applyFont="1" applyFill="1" applyBorder="1" applyAlignment="1">
      <alignment horizontal="center"/>
    </xf>
    <xf numFmtId="1" fontId="20" fillId="0" borderId="25" xfId="0" applyNumberFormat="1" applyFont="1" applyBorder="1" applyAlignment="1">
      <alignment horizontal="center"/>
    </xf>
    <xf numFmtId="1" fontId="19" fillId="5" borderId="24" xfId="0" applyNumberFormat="1" applyFont="1" applyFill="1" applyBorder="1" applyAlignment="1">
      <alignment horizontal="center"/>
    </xf>
    <xf numFmtId="0" fontId="24" fillId="0" borderId="0" xfId="0" applyFont="1"/>
    <xf numFmtId="0" fontId="19" fillId="0" borderId="38" xfId="0" applyFont="1" applyBorder="1" applyAlignment="1">
      <alignment horizontal="center" vertical="center"/>
    </xf>
    <xf numFmtId="1" fontId="23" fillId="0" borderId="39" xfId="0" applyNumberFormat="1" applyFont="1" applyBorder="1" applyAlignment="1">
      <alignment horizontal="center"/>
    </xf>
    <xf numFmtId="1" fontId="20" fillId="0" borderId="36" xfId="0" applyNumberFormat="1" applyFont="1" applyBorder="1" applyAlignment="1">
      <alignment horizontal="center"/>
    </xf>
    <xf numFmtId="1" fontId="23" fillId="0" borderId="1" xfId="0" applyNumberFormat="1" applyFont="1" applyBorder="1" applyAlignment="1">
      <alignment horizontal="center"/>
    </xf>
    <xf numFmtId="0" fontId="25" fillId="0" borderId="0" xfId="0" applyFont="1"/>
    <xf numFmtId="1" fontId="23" fillId="0" borderId="34" xfId="0" applyNumberFormat="1" applyFont="1" applyBorder="1" applyAlignment="1">
      <alignment horizontal="center"/>
    </xf>
    <xf numFmtId="0" fontId="21" fillId="14" borderId="41" xfId="0" applyFont="1" applyFill="1" applyBorder="1" applyAlignment="1">
      <alignment horizontal="center" vertical="center"/>
    </xf>
    <xf numFmtId="9" fontId="0" fillId="0" borderId="0" xfId="1" applyFont="1"/>
    <xf numFmtId="0" fontId="26" fillId="0" borderId="0" xfId="0" applyFont="1"/>
    <xf numFmtId="0" fontId="8" fillId="17" borderId="18" xfId="0" applyFont="1" applyFill="1" applyBorder="1" applyAlignment="1">
      <alignment horizontal="center"/>
    </xf>
    <xf numFmtId="0" fontId="8" fillId="16" borderId="18" xfId="0" applyFont="1" applyFill="1" applyBorder="1" applyAlignment="1">
      <alignment horizontal="center"/>
    </xf>
    <xf numFmtId="0" fontId="27" fillId="18" borderId="42" xfId="0" applyFont="1" applyFill="1" applyBorder="1"/>
    <xf numFmtId="0" fontId="28" fillId="18" borderId="29" xfId="0" applyFont="1" applyFill="1" applyBorder="1"/>
    <xf numFmtId="170" fontId="29" fillId="18" borderId="29" xfId="0" applyNumberFormat="1" applyFont="1" applyFill="1" applyBorder="1" applyAlignment="1">
      <alignment horizontal="center" vertical="center"/>
    </xf>
    <xf numFmtId="1" fontId="29" fillId="18" borderId="29" xfId="0" applyNumberFormat="1" applyFont="1" applyFill="1" applyBorder="1" applyAlignment="1">
      <alignment horizontal="center" vertical="center"/>
    </xf>
    <xf numFmtId="171" fontId="29" fillId="18" borderId="29" xfId="0" applyNumberFormat="1" applyFont="1" applyFill="1" applyBorder="1" applyAlignment="1">
      <alignment horizontal="center" vertical="center"/>
    </xf>
    <xf numFmtId="172" fontId="29" fillId="18" borderId="29" xfId="19" applyNumberFormat="1" applyFont="1" applyFill="1" applyBorder="1" applyAlignment="1">
      <alignment horizontal="center" vertical="center"/>
    </xf>
    <xf numFmtId="9" fontId="29" fillId="18" borderId="29" xfId="1" applyFont="1" applyFill="1" applyBorder="1" applyAlignment="1">
      <alignment horizontal="center" vertical="center"/>
    </xf>
    <xf numFmtId="9" fontId="29" fillId="18" borderId="43" xfId="1" applyFont="1" applyFill="1" applyBorder="1" applyAlignment="1">
      <alignment horizontal="center" vertical="center"/>
    </xf>
    <xf numFmtId="0" fontId="8" fillId="16" borderId="1" xfId="0" applyFont="1" applyFill="1" applyBorder="1" applyAlignment="1">
      <alignment horizontal="center"/>
    </xf>
    <xf numFmtId="0" fontId="30" fillId="0" borderId="1" xfId="0" applyFont="1" applyBorder="1"/>
    <xf numFmtId="171" fontId="26" fillId="0" borderId="1" xfId="0" applyNumberFormat="1" applyFont="1" applyBorder="1" applyAlignment="1">
      <alignment horizontal="center"/>
    </xf>
    <xf numFmtId="0" fontId="31" fillId="19" borderId="8" xfId="0" applyFont="1" applyFill="1" applyBorder="1"/>
    <xf numFmtId="170" fontId="31" fillId="19" borderId="18" xfId="0" applyNumberFormat="1" applyFont="1" applyFill="1" applyBorder="1" applyAlignment="1">
      <alignment horizontal="center" vertical="center"/>
    </xf>
    <xf numFmtId="1" fontId="31" fillId="19" borderId="18" xfId="0" applyNumberFormat="1" applyFont="1" applyFill="1" applyBorder="1" applyAlignment="1">
      <alignment horizontal="center" vertical="center"/>
    </xf>
    <xf numFmtId="171" fontId="31" fillId="19" borderId="18" xfId="0" applyNumberFormat="1" applyFont="1" applyFill="1" applyBorder="1" applyAlignment="1">
      <alignment horizontal="center" vertical="center"/>
    </xf>
    <xf numFmtId="172" fontId="31" fillId="19" borderId="18" xfId="19" applyNumberFormat="1" applyFont="1" applyFill="1" applyBorder="1" applyAlignment="1">
      <alignment horizontal="center" vertical="center"/>
    </xf>
    <xf numFmtId="9" fontId="31" fillId="19" borderId="18" xfId="1" applyFont="1" applyFill="1" applyBorder="1" applyAlignment="1">
      <alignment horizontal="center" vertical="center"/>
    </xf>
    <xf numFmtId="9" fontId="26" fillId="0" borderId="1" xfId="1" applyFont="1" applyBorder="1" applyAlignment="1">
      <alignment horizontal="center" vertical="center"/>
    </xf>
    <xf numFmtId="0" fontId="32" fillId="20" borderId="1" xfId="0" applyFont="1" applyFill="1" applyBorder="1"/>
    <xf numFmtId="170" fontId="32" fillId="20" borderId="1" xfId="0" applyNumberFormat="1" applyFont="1" applyFill="1" applyBorder="1" applyAlignment="1">
      <alignment horizontal="center" vertical="center"/>
    </xf>
    <xf numFmtId="171" fontId="32" fillId="20" borderId="1" xfId="0" applyNumberFormat="1" applyFont="1" applyFill="1" applyBorder="1" applyAlignment="1">
      <alignment horizontal="center" vertical="center"/>
    </xf>
    <xf numFmtId="172" fontId="32" fillId="20" borderId="1" xfId="19" applyNumberFormat="1" applyFont="1" applyFill="1" applyBorder="1" applyAlignment="1">
      <alignment horizontal="center" vertical="center"/>
    </xf>
    <xf numFmtId="2" fontId="32" fillId="20" borderId="1" xfId="0" applyNumberFormat="1" applyFont="1" applyFill="1" applyBorder="1" applyAlignment="1">
      <alignment horizontal="center" vertical="center"/>
    </xf>
    <xf numFmtId="172" fontId="26" fillId="0" borderId="0" xfId="19" applyNumberFormat="1" applyFont="1"/>
    <xf numFmtId="0" fontId="32" fillId="20" borderId="18" xfId="0" applyFont="1" applyFill="1" applyBorder="1"/>
    <xf numFmtId="170" fontId="32" fillId="20" borderId="18" xfId="0" applyNumberFormat="1" applyFont="1" applyFill="1" applyBorder="1" applyAlignment="1">
      <alignment horizontal="center" vertical="center"/>
    </xf>
    <xf numFmtId="173" fontId="32" fillId="20" borderId="18" xfId="0" applyNumberFormat="1" applyFont="1" applyFill="1" applyBorder="1" applyAlignment="1">
      <alignment horizontal="center" vertical="center"/>
    </xf>
    <xf numFmtId="2" fontId="32" fillId="20" borderId="18" xfId="0" applyNumberFormat="1" applyFont="1" applyFill="1" applyBorder="1" applyAlignment="1">
      <alignment horizontal="center" vertical="center"/>
    </xf>
    <xf numFmtId="0" fontId="8" fillId="20" borderId="42" xfId="0" applyFont="1" applyFill="1" applyBorder="1"/>
    <xf numFmtId="170" fontId="8" fillId="20" borderId="44" xfId="0" applyNumberFormat="1" applyFont="1" applyFill="1" applyBorder="1" applyAlignment="1">
      <alignment horizontal="center" vertical="center"/>
    </xf>
    <xf numFmtId="0" fontId="8" fillId="20" borderId="44" xfId="0" applyFont="1" applyFill="1" applyBorder="1"/>
    <xf numFmtId="171" fontId="8" fillId="20" borderId="44" xfId="0" applyNumberFormat="1" applyFont="1" applyFill="1" applyBorder="1" applyAlignment="1">
      <alignment horizontal="center" vertical="center"/>
    </xf>
    <xf numFmtId="172" fontId="8" fillId="20" borderId="44" xfId="19" applyNumberFormat="1" applyFont="1" applyFill="1" applyBorder="1" applyAlignment="1">
      <alignment horizontal="center" vertical="center"/>
    </xf>
    <xf numFmtId="2" fontId="8" fillId="20" borderId="44" xfId="0" applyNumberFormat="1" applyFont="1" applyFill="1" applyBorder="1" applyAlignment="1">
      <alignment horizontal="center" vertical="center"/>
    </xf>
    <xf numFmtId="0" fontId="8" fillId="20" borderId="45" xfId="0" applyFont="1" applyFill="1" applyBorder="1"/>
    <xf numFmtId="0" fontId="8" fillId="20" borderId="0" xfId="0" applyFont="1" applyFill="1"/>
    <xf numFmtId="170" fontId="8" fillId="20" borderId="0" xfId="0" applyNumberFormat="1" applyFont="1" applyFill="1" applyAlignment="1">
      <alignment horizontal="center" vertical="center"/>
    </xf>
    <xf numFmtId="171" fontId="8" fillId="20" borderId="0" xfId="0" applyNumberFormat="1" applyFont="1" applyFill="1" applyAlignment="1">
      <alignment horizontal="center" vertical="center"/>
    </xf>
    <xf numFmtId="172" fontId="8" fillId="20" borderId="0" xfId="19" applyNumberFormat="1" applyFont="1" applyFill="1" applyBorder="1" applyAlignment="1">
      <alignment horizontal="center" vertical="center"/>
    </xf>
    <xf numFmtId="2" fontId="8" fillId="20" borderId="0" xfId="0" applyNumberFormat="1" applyFont="1" applyFill="1" applyAlignment="1">
      <alignment horizontal="center" vertical="center"/>
    </xf>
    <xf numFmtId="0" fontId="32" fillId="0" borderId="0" xfId="0" applyFont="1"/>
    <xf numFmtId="170" fontId="32" fillId="0" borderId="0" xfId="0" applyNumberFormat="1" applyFont="1" applyAlignment="1">
      <alignment horizontal="center" vertical="center"/>
    </xf>
    <xf numFmtId="171" fontId="32" fillId="0" borderId="0" xfId="0" applyNumberFormat="1" applyFont="1" applyAlignment="1">
      <alignment horizontal="center" vertical="center"/>
    </xf>
    <xf numFmtId="2" fontId="32" fillId="0" borderId="0" xfId="0" applyNumberFormat="1" applyFont="1" applyAlignment="1">
      <alignment horizontal="center" vertical="center"/>
    </xf>
    <xf numFmtId="172" fontId="0" fillId="0" borderId="0" xfId="19" applyNumberFormat="1" applyFont="1"/>
    <xf numFmtId="0" fontId="0" fillId="0" borderId="0" xfId="0" applyAlignment="1">
      <alignment horizontal="right"/>
    </xf>
    <xf numFmtId="0" fontId="8" fillId="17" borderId="1" xfId="0" applyFont="1" applyFill="1" applyBorder="1" applyAlignment="1">
      <alignment horizontal="center"/>
    </xf>
    <xf numFmtId="0" fontId="27" fillId="23" borderId="0" xfId="0" applyFont="1" applyFill="1" applyAlignment="1">
      <alignment horizontal="right" vertical="center"/>
    </xf>
    <xf numFmtId="0" fontId="26" fillId="23" borderId="1" xfId="0" applyFont="1" applyFill="1" applyBorder="1" applyAlignment="1">
      <alignment horizontal="left" vertical="center"/>
    </xf>
    <xf numFmtId="3" fontId="26" fillId="0" borderId="1" xfId="0" applyNumberFormat="1" applyFont="1" applyBorder="1" applyAlignment="1">
      <alignment horizontal="center" vertical="center"/>
    </xf>
    <xf numFmtId="9" fontId="26" fillId="0" borderId="1" xfId="0" applyNumberFormat="1" applyFont="1" applyBorder="1" applyAlignment="1">
      <alignment horizontal="center" vertical="center"/>
    </xf>
    <xf numFmtId="0" fontId="27" fillId="13" borderId="0" xfId="0" applyFont="1" applyFill="1" applyAlignment="1">
      <alignment horizontal="right"/>
    </xf>
    <xf numFmtId="0" fontId="26" fillId="13" borderId="1" xfId="0" applyFont="1" applyFill="1" applyBorder="1"/>
    <xf numFmtId="0" fontId="27" fillId="24" borderId="0" xfId="0" applyFont="1" applyFill="1" applyAlignment="1">
      <alignment horizontal="right"/>
    </xf>
    <xf numFmtId="0" fontId="26" fillId="24" borderId="1" xfId="0" applyFont="1" applyFill="1" applyBorder="1"/>
    <xf numFmtId="0" fontId="27" fillId="0" borderId="0" xfId="0" applyFont="1" applyAlignment="1">
      <alignment horizontal="right"/>
    </xf>
    <xf numFmtId="0" fontId="26" fillId="0" borderId="1" xfId="0" applyFont="1" applyBorder="1"/>
    <xf numFmtId="49" fontId="32" fillId="2" borderId="16" xfId="19" applyNumberFormat="1" applyFont="1" applyFill="1" applyBorder="1" applyAlignment="1">
      <alignment horizontal="center" vertical="center"/>
    </xf>
    <xf numFmtId="49" fontId="32" fillId="2" borderId="1" xfId="19" applyNumberFormat="1" applyFont="1" applyFill="1" applyBorder="1" applyAlignment="1">
      <alignment horizontal="center" vertical="center"/>
    </xf>
    <xf numFmtId="3" fontId="32" fillId="2" borderId="1" xfId="19" applyNumberFormat="1" applyFont="1" applyFill="1" applyBorder="1" applyAlignment="1">
      <alignment horizontal="center" vertical="center"/>
    </xf>
    <xf numFmtId="175" fontId="32" fillId="2" borderId="1" xfId="1" applyNumberFormat="1" applyFont="1" applyFill="1" applyBorder="1" applyAlignment="1">
      <alignment horizontal="center" vertical="center"/>
    </xf>
    <xf numFmtId="172" fontId="32" fillId="2" borderId="1" xfId="19" applyNumberFormat="1" applyFont="1" applyFill="1" applyBorder="1" applyAlignment="1">
      <alignment horizontal="center" vertical="center"/>
    </xf>
    <xf numFmtId="176" fontId="32" fillId="2" borderId="1" xfId="19" applyNumberFormat="1" applyFont="1" applyFill="1" applyBorder="1" applyAlignment="1">
      <alignment horizontal="center" vertical="center"/>
    </xf>
    <xf numFmtId="177" fontId="32" fillId="2" borderId="1" xfId="20" applyNumberFormat="1" applyFont="1" applyFill="1" applyBorder="1" applyAlignment="1">
      <alignment horizontal="center" vertical="center"/>
    </xf>
    <xf numFmtId="5" fontId="32" fillId="2" borderId="1" xfId="20" applyNumberFormat="1" applyFont="1" applyFill="1" applyBorder="1" applyAlignment="1">
      <alignment horizontal="center" vertical="center"/>
    </xf>
    <xf numFmtId="5" fontId="32" fillId="2" borderId="1" xfId="19" applyNumberFormat="1" applyFont="1" applyFill="1" applyBorder="1" applyAlignment="1">
      <alignment horizontal="center" vertical="center"/>
    </xf>
    <xf numFmtId="178" fontId="32" fillId="2" borderId="1" xfId="19" applyNumberFormat="1" applyFont="1" applyFill="1" applyBorder="1" applyAlignment="1">
      <alignment horizontal="center" vertical="center"/>
    </xf>
    <xf numFmtId="179" fontId="32" fillId="2" borderId="1" xfId="19" applyNumberFormat="1" applyFont="1" applyFill="1" applyBorder="1" applyAlignment="1">
      <alignment horizontal="center" vertical="center"/>
    </xf>
    <xf numFmtId="0" fontId="26" fillId="0" borderId="0" xfId="0" applyFont="1" applyAlignment="1">
      <alignment horizontal="center" vertical="center"/>
    </xf>
    <xf numFmtId="9" fontId="26" fillId="0" borderId="0" xfId="1" applyFont="1" applyAlignment="1">
      <alignment horizontal="center" vertical="center"/>
    </xf>
    <xf numFmtId="0" fontId="26" fillId="25" borderId="16" xfId="0" applyFont="1" applyFill="1" applyBorder="1" applyAlignment="1">
      <alignment horizontal="center" vertical="center"/>
    </xf>
    <xf numFmtId="49" fontId="34" fillId="0" borderId="1" xfId="19" applyNumberFormat="1" applyFont="1" applyFill="1" applyBorder="1" applyAlignment="1">
      <alignment horizontal="center" vertical="center"/>
    </xf>
    <xf numFmtId="49" fontId="34" fillId="0" borderId="1" xfId="19" applyNumberFormat="1" applyFont="1" applyFill="1" applyBorder="1" applyAlignment="1">
      <alignment horizontal="center" vertical="center" wrapText="1"/>
    </xf>
    <xf numFmtId="49" fontId="26" fillId="0" borderId="1" xfId="19" applyNumberFormat="1" applyFont="1" applyFill="1" applyBorder="1" applyAlignment="1">
      <alignment horizontal="center" vertical="center"/>
    </xf>
    <xf numFmtId="3" fontId="34" fillId="0" borderId="1" xfId="19" applyNumberFormat="1" applyFont="1" applyFill="1" applyBorder="1" applyAlignment="1">
      <alignment horizontal="center" vertical="center"/>
    </xf>
    <xf numFmtId="16" fontId="34" fillId="0" borderId="1" xfId="19" applyNumberFormat="1" applyFont="1" applyFill="1" applyBorder="1" applyAlignment="1">
      <alignment horizontal="center" vertical="center"/>
    </xf>
    <xf numFmtId="177" fontId="26" fillId="0" borderId="1" xfId="20" quotePrefix="1" applyNumberFormat="1" applyFont="1" applyFill="1" applyBorder="1" applyAlignment="1">
      <alignment horizontal="center" vertical="center"/>
    </xf>
    <xf numFmtId="175" fontId="26" fillId="0" borderId="1" xfId="0" applyNumberFormat="1" applyFont="1" applyBorder="1" applyAlignment="1">
      <alignment horizontal="center" vertical="center"/>
    </xf>
    <xf numFmtId="9" fontId="26" fillId="0" borderId="1" xfId="1" quotePrefix="1" applyFont="1" applyFill="1" applyBorder="1" applyAlignment="1">
      <alignment horizontal="center" vertical="center"/>
    </xf>
    <xf numFmtId="172" fontId="26" fillId="0" borderId="1" xfId="19" quotePrefix="1" applyNumberFormat="1" applyFont="1" applyFill="1" applyBorder="1" applyAlignment="1">
      <alignment horizontal="center" vertical="center"/>
    </xf>
    <xf numFmtId="177" fontId="26" fillId="0" borderId="1" xfId="20" applyNumberFormat="1" applyFont="1" applyFill="1" applyBorder="1" applyAlignment="1">
      <alignment horizontal="center" vertical="center"/>
    </xf>
    <xf numFmtId="5" fontId="26" fillId="0" borderId="1" xfId="0" applyNumberFormat="1" applyFont="1" applyBorder="1" applyAlignment="1">
      <alignment horizontal="center" vertical="center"/>
    </xf>
    <xf numFmtId="178" fontId="26" fillId="0" borderId="1" xfId="19" applyNumberFormat="1" applyFont="1" applyFill="1" applyBorder="1" applyAlignment="1">
      <alignment horizontal="center" vertical="center"/>
    </xf>
    <xf numFmtId="9" fontId="26" fillId="0" borderId="1" xfId="1" applyFont="1" applyFill="1" applyBorder="1" applyAlignment="1">
      <alignment horizontal="center" vertical="center"/>
    </xf>
    <xf numFmtId="0" fontId="34" fillId="0" borderId="0" xfId="0" applyFont="1" applyAlignment="1">
      <alignment horizontal="center" vertical="center"/>
    </xf>
    <xf numFmtId="0" fontId="32" fillId="22" borderId="4" xfId="0" applyFont="1" applyFill="1" applyBorder="1" applyAlignment="1">
      <alignment horizontal="center" vertical="center"/>
    </xf>
    <xf numFmtId="0" fontId="26" fillId="22" borderId="4" xfId="0" applyFont="1" applyFill="1" applyBorder="1" applyAlignment="1">
      <alignment horizontal="center" vertical="center"/>
    </xf>
    <xf numFmtId="0" fontId="32" fillId="22" borderId="4" xfId="19" applyNumberFormat="1" applyFont="1" applyFill="1" applyBorder="1" applyAlignment="1">
      <alignment horizontal="center" vertical="center"/>
    </xf>
    <xf numFmtId="49" fontId="32" fillId="22" borderId="4" xfId="19" applyNumberFormat="1" applyFont="1" applyFill="1" applyBorder="1" applyAlignment="1">
      <alignment horizontal="center" vertical="center"/>
    </xf>
    <xf numFmtId="49" fontId="32" fillId="22" borderId="16" xfId="19" applyNumberFormat="1" applyFont="1" applyFill="1" applyBorder="1" applyAlignment="1">
      <alignment horizontal="center" vertical="center"/>
    </xf>
    <xf numFmtId="49" fontId="32" fillId="22" borderId="16" xfId="19" applyNumberFormat="1" applyFont="1" applyFill="1" applyBorder="1" applyAlignment="1">
      <alignment horizontal="center" vertical="center" wrapText="1"/>
    </xf>
    <xf numFmtId="49" fontId="32" fillId="22" borderId="1" xfId="19" applyNumberFormat="1" applyFont="1" applyFill="1" applyBorder="1" applyAlignment="1">
      <alignment horizontal="center" vertical="center"/>
    </xf>
    <xf numFmtId="3" fontId="32" fillId="22" borderId="1" xfId="19" applyNumberFormat="1" applyFont="1" applyFill="1" applyBorder="1" applyAlignment="1">
      <alignment horizontal="center" vertical="center"/>
    </xf>
    <xf numFmtId="175" fontId="32" fillId="22" borderId="1" xfId="1" applyNumberFormat="1" applyFont="1" applyFill="1" applyBorder="1" applyAlignment="1">
      <alignment horizontal="center" vertical="center"/>
    </xf>
    <xf numFmtId="177" fontId="32" fillId="22" borderId="1" xfId="20" quotePrefix="1" applyNumberFormat="1" applyFont="1" applyFill="1" applyBorder="1" applyAlignment="1">
      <alignment horizontal="center" vertical="center"/>
    </xf>
    <xf numFmtId="177" fontId="32" fillId="22" borderId="1" xfId="20" applyNumberFormat="1" applyFont="1" applyFill="1" applyBorder="1" applyAlignment="1">
      <alignment horizontal="center" vertical="center"/>
    </xf>
    <xf numFmtId="5" fontId="32" fillId="22" borderId="1" xfId="0" applyNumberFormat="1" applyFont="1" applyFill="1" applyBorder="1" applyAlignment="1">
      <alignment horizontal="center" vertical="center"/>
    </xf>
    <xf numFmtId="9" fontId="32" fillId="22" borderId="1" xfId="1" applyFont="1" applyFill="1" applyBorder="1" applyAlignment="1">
      <alignment horizontal="center" vertical="center"/>
    </xf>
    <xf numFmtId="172" fontId="26" fillId="0" borderId="0" xfId="0" applyNumberFormat="1" applyFont="1" applyAlignment="1">
      <alignment horizontal="center" vertical="center"/>
    </xf>
    <xf numFmtId="0" fontId="34" fillId="0" borderId="0" xfId="0" applyFont="1" applyAlignment="1">
      <alignment horizontal="left" vertical="center"/>
    </xf>
    <xf numFmtId="0" fontId="26" fillId="23" borderId="16" xfId="0" applyFont="1" applyFill="1" applyBorder="1" applyAlignment="1">
      <alignment horizontal="center" vertical="center"/>
    </xf>
    <xf numFmtId="0" fontId="26" fillId="10" borderId="1" xfId="0" applyFont="1" applyFill="1" applyBorder="1" applyAlignment="1">
      <alignment horizontal="center" vertical="center"/>
    </xf>
    <xf numFmtId="49" fontId="34" fillId="26" borderId="1" xfId="19" applyNumberFormat="1" applyFont="1" applyFill="1" applyBorder="1" applyAlignment="1">
      <alignment horizontal="center" vertical="center" wrapText="1"/>
    </xf>
    <xf numFmtId="49" fontId="34" fillId="26" borderId="1" xfId="19" applyNumberFormat="1" applyFont="1" applyFill="1" applyBorder="1" applyAlignment="1">
      <alignment horizontal="center" vertical="center"/>
    </xf>
    <xf numFmtId="49" fontId="26" fillId="26" borderId="1" xfId="19" applyNumberFormat="1" applyFont="1" applyFill="1" applyBorder="1" applyAlignment="1">
      <alignment horizontal="center" vertical="center"/>
    </xf>
    <xf numFmtId="49" fontId="35" fillId="26" borderId="1" xfId="21" applyNumberFormat="1" applyFont="1" applyFill="1" applyBorder="1" applyAlignment="1">
      <alignment horizontal="center" vertical="center" wrapText="1"/>
    </xf>
    <xf numFmtId="3" fontId="34" fillId="26" borderId="1" xfId="19" applyNumberFormat="1" applyFont="1" applyFill="1" applyBorder="1" applyAlignment="1">
      <alignment horizontal="center" vertical="center"/>
    </xf>
    <xf numFmtId="16" fontId="34" fillId="26" borderId="1" xfId="19" applyNumberFormat="1" applyFont="1" applyFill="1" applyBorder="1" applyAlignment="1">
      <alignment horizontal="center" vertical="center"/>
    </xf>
    <xf numFmtId="177" fontId="26" fillId="26" borderId="1" xfId="20" quotePrefix="1" applyNumberFormat="1" applyFont="1" applyFill="1" applyBorder="1" applyAlignment="1">
      <alignment horizontal="center" vertical="center"/>
    </xf>
    <xf numFmtId="175" fontId="26" fillId="26" borderId="1" xfId="0" applyNumberFormat="1" applyFont="1" applyFill="1" applyBorder="1" applyAlignment="1">
      <alignment horizontal="center" vertical="center"/>
    </xf>
    <xf numFmtId="9" fontId="34" fillId="26" borderId="1" xfId="1" applyFont="1" applyFill="1" applyBorder="1" applyAlignment="1">
      <alignment horizontal="center" vertical="center"/>
    </xf>
    <xf numFmtId="172" fontId="34" fillId="26" borderId="1" xfId="19" applyNumberFormat="1" applyFont="1" applyFill="1" applyBorder="1" applyAlignment="1">
      <alignment horizontal="center" vertical="center"/>
    </xf>
    <xf numFmtId="177" fontId="26" fillId="26" borderId="1" xfId="20" applyNumberFormat="1" applyFont="1" applyFill="1" applyBorder="1" applyAlignment="1">
      <alignment horizontal="center" vertical="center"/>
    </xf>
    <xf numFmtId="5" fontId="26" fillId="26" borderId="1" xfId="0" applyNumberFormat="1" applyFont="1" applyFill="1" applyBorder="1" applyAlignment="1">
      <alignment horizontal="center" vertical="center"/>
    </xf>
    <xf numFmtId="178" fontId="26" fillId="26" borderId="1" xfId="19" applyNumberFormat="1" applyFont="1" applyFill="1" applyBorder="1" applyAlignment="1">
      <alignment horizontal="center" vertical="center"/>
    </xf>
    <xf numFmtId="9" fontId="26" fillId="26" borderId="1" xfId="1" applyFont="1" applyFill="1" applyBorder="1" applyAlignment="1">
      <alignment horizontal="center" vertical="center"/>
    </xf>
    <xf numFmtId="49" fontId="35" fillId="0" borderId="1" xfId="21" applyNumberFormat="1" applyFont="1" applyFill="1" applyBorder="1" applyAlignment="1">
      <alignment horizontal="center" vertical="center" wrapText="1"/>
    </xf>
    <xf numFmtId="49" fontId="35" fillId="0" borderId="1" xfId="21" applyNumberFormat="1" applyFont="1" applyBorder="1" applyAlignment="1">
      <alignment horizontal="center" vertical="center" wrapText="1"/>
    </xf>
    <xf numFmtId="49" fontId="34" fillId="0" borderId="18" xfId="19" applyNumberFormat="1" applyFont="1" applyFill="1" applyBorder="1" applyAlignment="1">
      <alignment horizontal="center" vertical="center"/>
    </xf>
    <xf numFmtId="0" fontId="34" fillId="0" borderId="18" xfId="19" applyNumberFormat="1" applyFont="1" applyFill="1" applyBorder="1" applyAlignment="1">
      <alignment horizontal="center" vertical="center"/>
    </xf>
    <xf numFmtId="10" fontId="26" fillId="0" borderId="1" xfId="0" applyNumberFormat="1" applyFont="1" applyBorder="1" applyAlignment="1">
      <alignment horizontal="center" vertical="center"/>
    </xf>
    <xf numFmtId="0" fontId="26" fillId="0" borderId="0" xfId="0" applyFont="1" applyAlignment="1">
      <alignment horizontal="left" vertical="center"/>
    </xf>
    <xf numFmtId="0" fontId="34" fillId="0" borderId="1" xfId="19" applyNumberFormat="1" applyFont="1" applyFill="1" applyBorder="1" applyAlignment="1">
      <alignment horizontal="center" vertical="center"/>
    </xf>
    <xf numFmtId="175" fontId="26" fillId="0" borderId="1" xfId="1" applyNumberFormat="1" applyFont="1" applyFill="1" applyBorder="1" applyAlignment="1">
      <alignment horizontal="center" vertical="center"/>
    </xf>
    <xf numFmtId="172" fontId="32" fillId="22" borderId="1" xfId="19" applyNumberFormat="1" applyFont="1" applyFill="1" applyBorder="1" applyAlignment="1">
      <alignment horizontal="center" vertical="center"/>
    </xf>
    <xf numFmtId="5" fontId="32" fillId="22" borderId="1" xfId="20" applyNumberFormat="1" applyFont="1" applyFill="1" applyBorder="1" applyAlignment="1">
      <alignment horizontal="center" vertical="center"/>
    </xf>
    <xf numFmtId="9" fontId="34" fillId="0" borderId="1" xfId="1" applyFont="1" applyFill="1" applyBorder="1" applyAlignment="1">
      <alignment horizontal="center" vertical="center"/>
    </xf>
    <xf numFmtId="172" fontId="34" fillId="0" borderId="1" xfId="19" applyNumberFormat="1" applyFont="1" applyFill="1" applyBorder="1" applyAlignment="1">
      <alignment horizontal="center" vertical="center"/>
    </xf>
    <xf numFmtId="1" fontId="26" fillId="0" borderId="0" xfId="0" applyNumberFormat="1" applyFont="1" applyAlignment="1">
      <alignment horizontal="left" vertical="center"/>
    </xf>
    <xf numFmtId="0" fontId="26" fillId="13" borderId="16" xfId="0" applyFont="1" applyFill="1" applyBorder="1" applyAlignment="1">
      <alignment horizontal="center" vertical="center"/>
    </xf>
    <xf numFmtId="0" fontId="26" fillId="15" borderId="16" xfId="0" applyFont="1" applyFill="1" applyBorder="1" applyAlignment="1">
      <alignment horizontal="center" vertical="center"/>
    </xf>
    <xf numFmtId="0" fontId="26" fillId="0" borderId="16" xfId="0" applyFont="1" applyBorder="1" applyAlignment="1">
      <alignment horizontal="center" vertical="center"/>
    </xf>
    <xf numFmtId="0" fontId="32" fillId="22" borderId="46" xfId="0" applyFont="1" applyFill="1" applyBorder="1" applyAlignment="1">
      <alignment horizontal="center" vertical="center"/>
    </xf>
    <xf numFmtId="0" fontId="26" fillId="22" borderId="46" xfId="0" applyFont="1" applyFill="1" applyBorder="1" applyAlignment="1">
      <alignment horizontal="center" vertical="center"/>
    </xf>
    <xf numFmtId="0" fontId="32" fillId="22" borderId="46" xfId="19" applyNumberFormat="1" applyFont="1" applyFill="1" applyBorder="1" applyAlignment="1">
      <alignment horizontal="center" vertical="center"/>
    </xf>
    <xf numFmtId="49" fontId="32" fillId="22" borderId="46" xfId="19" applyNumberFormat="1" applyFont="1" applyFill="1" applyBorder="1" applyAlignment="1">
      <alignment horizontal="center" vertical="center"/>
    </xf>
    <xf numFmtId="49" fontId="32" fillId="22" borderId="47" xfId="19" applyNumberFormat="1" applyFont="1" applyFill="1" applyBorder="1" applyAlignment="1">
      <alignment horizontal="center" vertical="center"/>
    </xf>
    <xf numFmtId="49" fontId="32" fillId="22" borderId="47" xfId="19" applyNumberFormat="1" applyFont="1" applyFill="1" applyBorder="1" applyAlignment="1">
      <alignment horizontal="center" vertical="center" wrapText="1"/>
    </xf>
    <xf numFmtId="49" fontId="32" fillId="22" borderId="18" xfId="19" applyNumberFormat="1" applyFont="1" applyFill="1" applyBorder="1" applyAlignment="1">
      <alignment horizontal="center" vertical="center"/>
    </xf>
    <xf numFmtId="3" fontId="32" fillId="22" borderId="18" xfId="19" applyNumberFormat="1" applyFont="1" applyFill="1" applyBorder="1" applyAlignment="1">
      <alignment horizontal="center" vertical="center"/>
    </xf>
    <xf numFmtId="175" fontId="32" fillId="22" borderId="18" xfId="1" applyNumberFormat="1" applyFont="1" applyFill="1" applyBorder="1" applyAlignment="1">
      <alignment horizontal="center" vertical="center"/>
    </xf>
    <xf numFmtId="177" fontId="32" fillId="22" borderId="18" xfId="20" quotePrefix="1" applyNumberFormat="1" applyFont="1" applyFill="1" applyBorder="1" applyAlignment="1">
      <alignment horizontal="center" vertical="center"/>
    </xf>
    <xf numFmtId="172" fontId="32" fillId="22" borderId="18" xfId="19" applyNumberFormat="1" applyFont="1" applyFill="1" applyBorder="1" applyAlignment="1">
      <alignment horizontal="center" vertical="center"/>
    </xf>
    <xf numFmtId="177" fontId="32" fillId="22" borderId="18" xfId="20" applyNumberFormat="1" applyFont="1" applyFill="1" applyBorder="1" applyAlignment="1">
      <alignment horizontal="center" vertical="center"/>
    </xf>
    <xf numFmtId="5" fontId="32" fillId="22" borderId="18" xfId="20" applyNumberFormat="1" applyFont="1" applyFill="1" applyBorder="1" applyAlignment="1">
      <alignment horizontal="center" vertical="center"/>
    </xf>
    <xf numFmtId="5" fontId="32" fillId="22" borderId="18" xfId="0" applyNumberFormat="1" applyFont="1" applyFill="1" applyBorder="1" applyAlignment="1">
      <alignment horizontal="center" vertical="center"/>
    </xf>
    <xf numFmtId="9" fontId="32" fillId="22" borderId="18" xfId="1" applyFont="1" applyFill="1" applyBorder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0" fontId="26" fillId="0" borderId="1" xfId="19" applyNumberFormat="1" applyFont="1" applyBorder="1" applyAlignment="1">
      <alignment horizontal="center" vertical="center"/>
    </xf>
    <xf numFmtId="49" fontId="26" fillId="0" borderId="1" xfId="19" applyNumberFormat="1" applyFont="1" applyBorder="1" applyAlignment="1">
      <alignment horizontal="center" vertical="center"/>
    </xf>
    <xf numFmtId="3" fontId="26" fillId="0" borderId="1" xfId="19" applyNumberFormat="1" applyFont="1" applyBorder="1" applyAlignment="1">
      <alignment horizontal="center" vertical="center"/>
    </xf>
    <xf numFmtId="16" fontId="34" fillId="0" borderId="1" xfId="19" applyNumberFormat="1" applyFont="1" applyBorder="1" applyAlignment="1">
      <alignment horizontal="center" vertical="center"/>
    </xf>
    <xf numFmtId="177" fontId="26" fillId="0" borderId="1" xfId="20" quotePrefix="1" applyNumberFormat="1" applyFont="1" applyBorder="1" applyAlignment="1">
      <alignment horizontal="center" vertical="center"/>
    </xf>
    <xf numFmtId="175" fontId="26" fillId="0" borderId="1" xfId="1" applyNumberFormat="1" applyFont="1" applyBorder="1" applyAlignment="1">
      <alignment horizontal="center" vertical="center"/>
    </xf>
    <xf numFmtId="172" fontId="26" fillId="0" borderId="1" xfId="19" applyNumberFormat="1" applyFont="1" applyBorder="1" applyAlignment="1">
      <alignment horizontal="center" vertical="center"/>
    </xf>
    <xf numFmtId="1" fontId="26" fillId="0" borderId="1" xfId="20" applyNumberFormat="1" applyFont="1" applyBorder="1" applyAlignment="1">
      <alignment horizontal="center" vertical="center"/>
    </xf>
    <xf numFmtId="5" fontId="26" fillId="0" borderId="1" xfId="20" applyNumberFormat="1" applyFont="1" applyBorder="1" applyAlignment="1">
      <alignment horizontal="center" vertical="center"/>
    </xf>
    <xf numFmtId="9" fontId="26" fillId="0" borderId="17" xfId="1" applyFont="1" applyBorder="1" applyAlignment="1">
      <alignment horizontal="center" vertical="center"/>
    </xf>
    <xf numFmtId="0" fontId="32" fillId="22" borderId="1" xfId="0" applyFont="1" applyFill="1" applyBorder="1" applyAlignment="1">
      <alignment horizontal="center" vertical="center"/>
    </xf>
    <xf numFmtId="0" fontId="26" fillId="22" borderId="1" xfId="0" applyFont="1" applyFill="1" applyBorder="1" applyAlignment="1">
      <alignment horizontal="center" vertical="center"/>
    </xf>
    <xf numFmtId="0" fontId="32" fillId="22" borderId="1" xfId="19" applyNumberFormat="1" applyFont="1" applyFill="1" applyBorder="1" applyAlignment="1">
      <alignment horizontal="center" vertical="center"/>
    </xf>
    <xf numFmtId="49" fontId="32" fillId="22" borderId="1" xfId="19" applyNumberFormat="1" applyFont="1" applyFill="1" applyBorder="1" applyAlignment="1">
      <alignment horizontal="center" vertical="center" wrapText="1"/>
    </xf>
    <xf numFmtId="3" fontId="32" fillId="22" borderId="17" xfId="19" applyNumberFormat="1" applyFont="1" applyFill="1" applyBorder="1" applyAlignment="1">
      <alignment horizontal="center" vertical="center"/>
    </xf>
    <xf numFmtId="9" fontId="26" fillId="0" borderId="0" xfId="1" applyFont="1" applyBorder="1" applyAlignment="1">
      <alignment horizontal="center" vertical="center"/>
    </xf>
    <xf numFmtId="0" fontId="31" fillId="2" borderId="0" xfId="0" applyFont="1" applyFill="1" applyAlignment="1">
      <alignment horizontal="center" vertical="center"/>
    </xf>
    <xf numFmtId="49" fontId="31" fillId="2" borderId="0" xfId="0" applyNumberFormat="1" applyFont="1" applyFill="1" applyAlignment="1">
      <alignment horizontal="center" vertical="center"/>
    </xf>
    <xf numFmtId="172" fontId="31" fillId="2" borderId="0" xfId="19" applyNumberFormat="1" applyFont="1" applyFill="1" applyAlignment="1">
      <alignment horizontal="center" vertical="center"/>
    </xf>
    <xf numFmtId="1" fontId="31" fillId="2" borderId="0" xfId="0" applyNumberFormat="1" applyFont="1" applyFill="1" applyAlignment="1">
      <alignment horizontal="center" vertical="center"/>
    </xf>
    <xf numFmtId="5" fontId="31" fillId="2" borderId="0" xfId="0" applyNumberFormat="1" applyFont="1" applyFill="1" applyAlignment="1">
      <alignment horizontal="center" vertical="center"/>
    </xf>
    <xf numFmtId="9" fontId="31" fillId="2" borderId="1" xfId="1" applyFont="1" applyFill="1" applyBorder="1" applyAlignment="1">
      <alignment horizontal="center" vertical="center"/>
    </xf>
    <xf numFmtId="49" fontId="26" fillId="0" borderId="0" xfId="0" applyNumberFormat="1" applyFont="1" applyAlignment="1">
      <alignment horizontal="center" vertical="center"/>
    </xf>
    <xf numFmtId="172" fontId="26" fillId="0" borderId="0" xfId="19" applyNumberFormat="1" applyFont="1" applyAlignment="1">
      <alignment horizontal="center" vertical="center"/>
    </xf>
    <xf numFmtId="3" fontId="26" fillId="0" borderId="0" xfId="0" applyNumberFormat="1" applyFont="1" applyAlignment="1">
      <alignment horizontal="center" vertical="center"/>
    </xf>
    <xf numFmtId="3" fontId="26" fillId="0" borderId="0" xfId="0" applyNumberFormat="1" applyFont="1" applyAlignment="1">
      <alignment horizontal="left" vertical="center"/>
    </xf>
    <xf numFmtId="1" fontId="26" fillId="0" borderId="0" xfId="0" applyNumberFormat="1" applyFont="1" applyAlignment="1">
      <alignment horizontal="center" vertical="center"/>
    </xf>
    <xf numFmtId="0" fontId="36" fillId="27" borderId="18" xfId="0" applyFont="1" applyFill="1" applyBorder="1" applyAlignment="1">
      <alignment horizontal="center" vertical="center" wrapText="1"/>
    </xf>
    <xf numFmtId="0" fontId="36" fillId="27" borderId="1" xfId="0" applyFont="1" applyFill="1" applyBorder="1" applyAlignment="1">
      <alignment horizontal="center" vertical="center" wrapText="1"/>
    </xf>
    <xf numFmtId="0" fontId="37" fillId="0" borderId="0" xfId="0" applyFont="1" applyAlignment="1">
      <alignment wrapText="1"/>
    </xf>
    <xf numFmtId="0" fontId="37" fillId="0" borderId="1" xfId="0" applyFont="1" applyBorder="1" applyAlignment="1">
      <alignment horizontal="center" vertical="center" wrapText="1"/>
    </xf>
    <xf numFmtId="0" fontId="37" fillId="0" borderId="16" xfId="0" applyFont="1" applyBorder="1" applyAlignment="1">
      <alignment horizontal="center" vertical="center" wrapText="1"/>
    </xf>
    <xf numFmtId="0" fontId="37" fillId="0" borderId="1" xfId="0" applyFont="1" applyBorder="1" applyAlignment="1">
      <alignment horizontal="left" vertical="center" wrapText="1"/>
    </xf>
    <xf numFmtId="0" fontId="37" fillId="0" borderId="0" xfId="0" applyFont="1" applyAlignment="1">
      <alignment horizontal="left" vertical="top" wrapText="1"/>
    </xf>
    <xf numFmtId="0" fontId="37" fillId="0" borderId="0" xfId="0" applyFont="1" applyAlignment="1">
      <alignment horizontal="center" vertical="center" wrapText="1"/>
    </xf>
    <xf numFmtId="0" fontId="37" fillId="0" borderId="0" xfId="0" applyFont="1" applyAlignment="1">
      <alignment vertical="top" wrapText="1"/>
    </xf>
    <xf numFmtId="0" fontId="38" fillId="25" borderId="18" xfId="0" applyFont="1" applyFill="1" applyBorder="1"/>
    <xf numFmtId="0" fontId="26" fillId="28" borderId="49" xfId="0" applyFont="1" applyFill="1" applyBorder="1" applyAlignment="1">
      <alignment vertical="center"/>
    </xf>
    <xf numFmtId="0" fontId="26" fillId="28" borderId="40" xfId="0" applyFont="1" applyFill="1" applyBorder="1" applyAlignment="1">
      <alignment vertical="center"/>
    </xf>
    <xf numFmtId="0" fontId="26" fillId="28" borderId="50" xfId="0" applyFont="1" applyFill="1" applyBorder="1" applyAlignment="1">
      <alignment vertical="center"/>
    </xf>
    <xf numFmtId="0" fontId="26" fillId="28" borderId="51" xfId="0" applyFont="1" applyFill="1" applyBorder="1" applyAlignment="1">
      <alignment vertical="center"/>
    </xf>
    <xf numFmtId="0" fontId="26" fillId="28" borderId="52" xfId="0" applyFont="1" applyFill="1" applyBorder="1" applyAlignment="1">
      <alignment vertical="center"/>
    </xf>
    <xf numFmtId="0" fontId="26" fillId="28" borderId="53" xfId="0" applyFont="1" applyFill="1" applyBorder="1" applyAlignment="1">
      <alignment vertical="center"/>
    </xf>
    <xf numFmtId="0" fontId="26" fillId="13" borderId="54" xfId="0" applyFont="1" applyFill="1" applyBorder="1" applyAlignment="1">
      <alignment vertical="center"/>
    </xf>
    <xf numFmtId="0" fontId="26" fillId="13" borderId="55" xfId="0" applyFont="1" applyFill="1" applyBorder="1" applyAlignment="1">
      <alignment vertical="center"/>
    </xf>
    <xf numFmtId="0" fontId="26" fillId="13" borderId="56" xfId="0" applyFont="1" applyFill="1" applyBorder="1" applyAlignment="1">
      <alignment vertical="center"/>
    </xf>
    <xf numFmtId="0" fontId="26" fillId="13" borderId="57" xfId="0" applyFont="1" applyFill="1" applyBorder="1" applyAlignment="1">
      <alignment vertical="center"/>
    </xf>
    <xf numFmtId="0" fontId="26" fillId="13" borderId="23" xfId="0" applyFont="1" applyFill="1" applyBorder="1" applyAlignment="1">
      <alignment vertical="center"/>
    </xf>
    <xf numFmtId="0" fontId="26" fillId="13" borderId="58" xfId="0" applyFont="1" applyFill="1" applyBorder="1" applyAlignment="1">
      <alignment vertical="center"/>
    </xf>
    <xf numFmtId="0" fontId="26" fillId="13" borderId="51" xfId="0" applyFont="1" applyFill="1" applyBorder="1" applyAlignment="1">
      <alignment vertical="center"/>
    </xf>
    <xf numFmtId="0" fontId="26" fillId="13" borderId="25" xfId="0" applyFont="1" applyFill="1" applyBorder="1" applyAlignment="1">
      <alignment vertical="center"/>
    </xf>
    <xf numFmtId="0" fontId="26" fillId="13" borderId="53" xfId="0" applyFont="1" applyFill="1" applyBorder="1" applyAlignment="1">
      <alignment vertical="center"/>
    </xf>
    <xf numFmtId="0" fontId="26" fillId="15" borderId="54" xfId="0" applyFont="1" applyFill="1" applyBorder="1" applyAlignment="1">
      <alignment vertical="center"/>
    </xf>
    <xf numFmtId="0" fontId="26" fillId="15" borderId="56" xfId="0" applyFont="1" applyFill="1" applyBorder="1" applyAlignment="1">
      <alignment vertical="center"/>
    </xf>
    <xf numFmtId="0" fontId="26" fillId="15" borderId="57" xfId="0" applyFont="1" applyFill="1" applyBorder="1" applyAlignment="1">
      <alignment vertical="center"/>
    </xf>
    <xf numFmtId="0" fontId="26" fillId="15" borderId="58" xfId="0" applyFont="1" applyFill="1" applyBorder="1" applyAlignment="1">
      <alignment vertical="center"/>
    </xf>
    <xf numFmtId="0" fontId="26" fillId="15" borderId="51" xfId="0" applyFont="1" applyFill="1" applyBorder="1" applyAlignment="1">
      <alignment vertical="center"/>
    </xf>
    <xf numFmtId="0" fontId="26" fillId="15" borderId="53" xfId="0" applyFont="1" applyFill="1" applyBorder="1" applyAlignment="1">
      <alignment vertical="center"/>
    </xf>
    <xf numFmtId="0" fontId="26" fillId="0" borderId="49" xfId="0" applyFont="1" applyBorder="1"/>
    <xf numFmtId="0" fontId="26" fillId="0" borderId="57" xfId="0" applyFont="1" applyBorder="1"/>
    <xf numFmtId="0" fontId="26" fillId="29" borderId="57" xfId="0" applyFont="1" applyFill="1" applyBorder="1"/>
    <xf numFmtId="0" fontId="26" fillId="0" borderId="51" xfId="0" applyFont="1" applyBorder="1"/>
    <xf numFmtId="0" fontId="26" fillId="29" borderId="49" xfId="0" applyFont="1" applyFill="1" applyBorder="1"/>
    <xf numFmtId="0" fontId="26" fillId="29" borderId="51" xfId="0" applyFont="1" applyFill="1" applyBorder="1"/>
    <xf numFmtId="180" fontId="34" fillId="0" borderId="1" xfId="19" applyNumberFormat="1" applyFont="1" applyFill="1" applyBorder="1" applyAlignment="1">
      <alignment horizontal="center" vertical="center"/>
    </xf>
    <xf numFmtId="180" fontId="32" fillId="22" borderId="4" xfId="19" applyNumberFormat="1" applyFont="1" applyFill="1" applyBorder="1" applyAlignment="1">
      <alignment horizontal="center" vertical="center"/>
    </xf>
    <xf numFmtId="180" fontId="34" fillId="26" borderId="1" xfId="19" applyNumberFormat="1" applyFont="1" applyFill="1" applyBorder="1" applyAlignment="1">
      <alignment horizontal="center" vertical="center"/>
    </xf>
    <xf numFmtId="180" fontId="26" fillId="26" borderId="1" xfId="19" applyNumberFormat="1" applyFont="1" applyFill="1" applyBorder="1" applyAlignment="1">
      <alignment horizontal="center" vertical="center"/>
    </xf>
    <xf numFmtId="180" fontId="34" fillId="0" borderId="18" xfId="19" applyNumberFormat="1" applyFont="1" applyFill="1" applyBorder="1" applyAlignment="1">
      <alignment horizontal="center" vertical="center"/>
    </xf>
    <xf numFmtId="180" fontId="32" fillId="22" borderId="46" xfId="19" applyNumberFormat="1" applyFont="1" applyFill="1" applyBorder="1" applyAlignment="1">
      <alignment horizontal="center" vertical="center"/>
    </xf>
    <xf numFmtId="180" fontId="26" fillId="0" borderId="1" xfId="19" applyNumberFormat="1" applyFont="1" applyBorder="1" applyAlignment="1">
      <alignment horizontal="center" vertical="center"/>
    </xf>
    <xf numFmtId="180" fontId="32" fillId="22" borderId="1" xfId="19" applyNumberFormat="1" applyFont="1" applyFill="1" applyBorder="1" applyAlignment="1">
      <alignment horizontal="center" vertical="center"/>
    </xf>
    <xf numFmtId="180" fontId="31" fillId="2" borderId="0" xfId="0" applyNumberFormat="1" applyFont="1" applyFill="1" applyAlignment="1">
      <alignment horizontal="center" vertical="center"/>
    </xf>
    <xf numFmtId="9" fontId="31" fillId="2" borderId="0" xfId="1" applyFont="1" applyFill="1" applyAlignment="1">
      <alignment horizontal="center" vertical="center"/>
    </xf>
    <xf numFmtId="0" fontId="28" fillId="0" borderId="1" xfId="0" applyFont="1" applyBorder="1" applyAlignment="1">
      <alignment horizontal="center"/>
    </xf>
    <xf numFmtId="0" fontId="30" fillId="0" borderId="0" xfId="0" applyFont="1"/>
    <xf numFmtId="0" fontId="0" fillId="0" borderId="0" xfId="0" applyAlignment="1">
      <alignment vertical="center" wrapText="1"/>
    </xf>
    <xf numFmtId="9" fontId="0" fillId="0" borderId="0" xfId="0" applyNumberFormat="1"/>
    <xf numFmtId="0" fontId="28" fillId="4" borderId="1" xfId="0" applyFont="1" applyFill="1" applyBorder="1"/>
    <xf numFmtId="170" fontId="26" fillId="0" borderId="1" xfId="0" applyNumberFormat="1" applyFont="1" applyBorder="1" applyAlignment="1">
      <alignment horizontal="center" vertical="center"/>
    </xf>
    <xf numFmtId="1" fontId="26" fillId="0" borderId="1" xfId="0" applyNumberFormat="1" applyFont="1" applyBorder="1" applyAlignment="1">
      <alignment horizontal="center" vertical="center"/>
    </xf>
    <xf numFmtId="171" fontId="26" fillId="0" borderId="1" xfId="0" applyNumberFormat="1" applyFont="1" applyBorder="1" applyAlignment="1">
      <alignment horizontal="center" vertical="center"/>
    </xf>
    <xf numFmtId="173" fontId="34" fillId="0" borderId="18" xfId="0" applyNumberFormat="1" applyFont="1" applyBorder="1" applyAlignment="1">
      <alignment horizontal="center" vertical="center"/>
    </xf>
    <xf numFmtId="0" fontId="28" fillId="4" borderId="8" xfId="0" applyFont="1" applyFill="1" applyBorder="1"/>
    <xf numFmtId="0" fontId="32" fillId="2" borderId="49" xfId="0" applyFont="1" applyFill="1" applyBorder="1" applyAlignment="1">
      <alignment horizontal="center" vertical="center" wrapText="1"/>
    </xf>
    <xf numFmtId="0" fontId="32" fillId="2" borderId="40" xfId="0" applyFont="1" applyFill="1" applyBorder="1" applyAlignment="1">
      <alignment horizontal="center" vertical="center" wrapText="1"/>
    </xf>
    <xf numFmtId="0" fontId="32" fillId="30" borderId="49" xfId="0" applyFont="1" applyFill="1" applyBorder="1" applyAlignment="1">
      <alignment horizontal="center" vertical="center" wrapText="1"/>
    </xf>
    <xf numFmtId="0" fontId="32" fillId="30" borderId="40" xfId="0" applyFont="1" applyFill="1" applyBorder="1" applyAlignment="1">
      <alignment horizontal="center" vertical="center" wrapText="1"/>
    </xf>
    <xf numFmtId="0" fontId="8" fillId="2" borderId="17" xfId="0" applyFont="1" applyFill="1" applyBorder="1"/>
    <xf numFmtId="164" fontId="0" fillId="0" borderId="57" xfId="0" applyNumberFormat="1" applyBorder="1" applyAlignment="1">
      <alignment horizontal="center" vertical="center"/>
    </xf>
    <xf numFmtId="9" fontId="0" fillId="0" borderId="23" xfId="1" applyFont="1" applyBorder="1" applyAlignment="1">
      <alignment horizontal="center" vertical="center"/>
    </xf>
    <xf numFmtId="181" fontId="0" fillId="0" borderId="0" xfId="0" applyNumberFormat="1"/>
    <xf numFmtId="164" fontId="0" fillId="0" borderId="51" xfId="0" applyNumberFormat="1" applyBorder="1" applyAlignment="1">
      <alignment horizontal="center" vertical="center"/>
    </xf>
    <xf numFmtId="9" fontId="0" fillId="0" borderId="25" xfId="1" applyFont="1" applyBorder="1" applyAlignment="1">
      <alignment horizontal="center" vertical="center"/>
    </xf>
    <xf numFmtId="182" fontId="0" fillId="0" borderId="0" xfId="0" applyNumberFormat="1"/>
    <xf numFmtId="170" fontId="26" fillId="0" borderId="1" xfId="0" quotePrefix="1" applyNumberFormat="1" applyFont="1" applyBorder="1" applyAlignment="1">
      <alignment horizontal="center" vertical="center"/>
    </xf>
    <xf numFmtId="1" fontId="26" fillId="0" borderId="1" xfId="0" quotePrefix="1" applyNumberFormat="1" applyFont="1" applyBorder="1" applyAlignment="1">
      <alignment horizontal="center" vertical="center"/>
    </xf>
    <xf numFmtId="0" fontId="32" fillId="22" borderId="18" xfId="0" applyFont="1" applyFill="1" applyBorder="1" applyAlignment="1">
      <alignment horizontal="center" vertical="center"/>
    </xf>
    <xf numFmtId="0" fontId="26" fillId="22" borderId="18" xfId="0" applyFont="1" applyFill="1" applyBorder="1" applyAlignment="1">
      <alignment horizontal="center" vertical="center"/>
    </xf>
    <xf numFmtId="0" fontId="32" fillId="22" borderId="18" xfId="19" applyNumberFormat="1" applyFont="1" applyFill="1" applyBorder="1" applyAlignment="1">
      <alignment horizontal="center" vertical="center"/>
    </xf>
    <xf numFmtId="3" fontId="32" fillId="22" borderId="48" xfId="19" applyNumberFormat="1" applyFont="1" applyFill="1" applyBorder="1" applyAlignment="1">
      <alignment horizontal="center" vertical="center"/>
    </xf>
    <xf numFmtId="0" fontId="40" fillId="31" borderId="60" xfId="0" applyFont="1" applyFill="1" applyBorder="1" applyAlignment="1">
      <alignment horizontal="center" vertical="center"/>
    </xf>
    <xf numFmtId="0" fontId="28" fillId="10" borderId="61" xfId="0" applyFont="1" applyFill="1" applyBorder="1" applyAlignment="1">
      <alignment horizontal="center" vertical="center"/>
    </xf>
    <xf numFmtId="175" fontId="28" fillId="0" borderId="61" xfId="0" applyNumberFormat="1" applyFont="1" applyBorder="1" applyAlignment="1">
      <alignment horizontal="center" vertical="center"/>
    </xf>
    <xf numFmtId="5" fontId="28" fillId="0" borderId="61" xfId="0" applyNumberFormat="1" applyFont="1" applyBorder="1" applyAlignment="1">
      <alignment horizontal="center" vertical="center"/>
    </xf>
    <xf numFmtId="0" fontId="26" fillId="0" borderId="63" xfId="0" applyFont="1" applyBorder="1" applyAlignment="1">
      <alignment horizontal="center" vertical="center"/>
    </xf>
    <xf numFmtId="1" fontId="41" fillId="31" borderId="64" xfId="0" applyNumberFormat="1" applyFont="1" applyFill="1" applyBorder="1" applyAlignment="1">
      <alignment horizontal="left" vertical="center"/>
    </xf>
    <xf numFmtId="9" fontId="31" fillId="2" borderId="7" xfId="1" applyFont="1" applyFill="1" applyBorder="1" applyAlignment="1">
      <alignment horizontal="center" vertical="center"/>
    </xf>
    <xf numFmtId="43" fontId="0" fillId="0" borderId="0" xfId="0" applyNumberFormat="1"/>
    <xf numFmtId="49" fontId="39" fillId="0" borderId="61" xfId="19" applyNumberFormat="1" applyFont="1" applyFill="1" applyBorder="1" applyAlignment="1">
      <alignment horizontal="center" vertical="center"/>
    </xf>
    <xf numFmtId="49" fontId="28" fillId="0" borderId="61" xfId="19" applyNumberFormat="1" applyFont="1" applyFill="1" applyBorder="1" applyAlignment="1">
      <alignment horizontal="center" vertical="center"/>
    </xf>
    <xf numFmtId="3" fontId="39" fillId="0" borderId="61" xfId="19" applyNumberFormat="1" applyFont="1" applyFill="1" applyBorder="1" applyAlignment="1">
      <alignment horizontal="center" vertical="center"/>
    </xf>
    <xf numFmtId="16" fontId="39" fillId="0" borderId="61" xfId="19" applyNumberFormat="1" applyFont="1" applyFill="1" applyBorder="1" applyAlignment="1">
      <alignment horizontal="center" vertical="center"/>
    </xf>
    <xf numFmtId="177" fontId="28" fillId="0" borderId="61" xfId="20" quotePrefix="1" applyNumberFormat="1" applyFont="1" applyFill="1" applyBorder="1" applyAlignment="1">
      <alignment horizontal="center" vertical="center"/>
    </xf>
    <xf numFmtId="172" fontId="28" fillId="0" borderId="61" xfId="19" quotePrefix="1" applyNumberFormat="1" applyFont="1" applyFill="1" applyBorder="1" applyAlignment="1">
      <alignment horizontal="center" vertical="center"/>
    </xf>
    <xf numFmtId="177" fontId="28" fillId="0" borderId="61" xfId="20" applyNumberFormat="1" applyFont="1" applyFill="1" applyBorder="1" applyAlignment="1">
      <alignment horizontal="center" vertical="center"/>
    </xf>
    <xf numFmtId="178" fontId="28" fillId="0" borderId="61" xfId="19" applyNumberFormat="1" applyFont="1" applyFill="1" applyBorder="1" applyAlignment="1">
      <alignment horizontal="center" vertical="center"/>
    </xf>
    <xf numFmtId="9" fontId="28" fillId="0" borderId="62" xfId="1" applyFont="1" applyFill="1" applyBorder="1" applyAlignment="1">
      <alignment horizontal="center" vertical="center"/>
    </xf>
    <xf numFmtId="5" fontId="34" fillId="0" borderId="0" xfId="0" applyNumberFormat="1" applyFont="1" applyAlignment="1">
      <alignment horizontal="left" vertical="center"/>
    </xf>
    <xf numFmtId="5" fontId="26" fillId="0" borderId="0" xfId="0" applyNumberFormat="1" applyFont="1" applyAlignment="1">
      <alignment horizontal="center" vertical="center"/>
    </xf>
    <xf numFmtId="5" fontId="26" fillId="0" borderId="0" xfId="0" applyNumberFormat="1" applyFont="1" applyAlignment="1">
      <alignment horizontal="left" vertical="center"/>
    </xf>
    <xf numFmtId="0" fontId="32" fillId="22" borderId="0" xfId="0" applyFont="1" applyFill="1" applyAlignment="1">
      <alignment horizontal="center" vertical="center"/>
    </xf>
    <xf numFmtId="0" fontId="26" fillId="22" borderId="0" xfId="0" applyFont="1" applyFill="1" applyAlignment="1">
      <alignment horizontal="center" vertical="center"/>
    </xf>
    <xf numFmtId="0" fontId="32" fillId="22" borderId="0" xfId="19" applyNumberFormat="1" applyFont="1" applyFill="1" applyBorder="1" applyAlignment="1">
      <alignment horizontal="center" vertical="center"/>
    </xf>
    <xf numFmtId="49" fontId="32" fillId="22" borderId="0" xfId="19" applyNumberFormat="1" applyFont="1" applyFill="1" applyBorder="1" applyAlignment="1">
      <alignment horizontal="center" vertical="center"/>
    </xf>
    <xf numFmtId="180" fontId="32" fillId="22" borderId="0" xfId="19" applyNumberFormat="1" applyFont="1" applyFill="1" applyBorder="1" applyAlignment="1">
      <alignment horizontal="center" vertical="center"/>
    </xf>
    <xf numFmtId="49" fontId="32" fillId="22" borderId="0" xfId="19" applyNumberFormat="1" applyFont="1" applyFill="1" applyBorder="1" applyAlignment="1">
      <alignment horizontal="center" vertical="center" wrapText="1"/>
    </xf>
    <xf numFmtId="3" fontId="32" fillId="22" borderId="0" xfId="19" applyNumberFormat="1" applyFont="1" applyFill="1" applyBorder="1" applyAlignment="1">
      <alignment horizontal="center" vertical="center"/>
    </xf>
    <xf numFmtId="175" fontId="32" fillId="22" borderId="0" xfId="1" applyNumberFormat="1" applyFont="1" applyFill="1" applyBorder="1" applyAlignment="1">
      <alignment horizontal="center" vertical="center"/>
    </xf>
    <xf numFmtId="177" fontId="32" fillId="22" borderId="0" xfId="20" quotePrefix="1" applyNumberFormat="1" applyFont="1" applyFill="1" applyBorder="1" applyAlignment="1">
      <alignment horizontal="center" vertical="center"/>
    </xf>
    <xf numFmtId="172" fontId="32" fillId="22" borderId="0" xfId="19" applyNumberFormat="1" applyFont="1" applyFill="1" applyBorder="1" applyAlignment="1">
      <alignment horizontal="center" vertical="center"/>
    </xf>
    <xf numFmtId="177" fontId="32" fillId="22" borderId="0" xfId="20" applyNumberFormat="1" applyFont="1" applyFill="1" applyBorder="1" applyAlignment="1">
      <alignment horizontal="center" vertical="center"/>
    </xf>
    <xf numFmtId="5" fontId="32" fillId="22" borderId="0" xfId="20" applyNumberFormat="1" applyFont="1" applyFill="1" applyBorder="1" applyAlignment="1">
      <alignment horizontal="center" vertical="center"/>
    </xf>
    <xf numFmtId="5" fontId="32" fillId="22" borderId="0" xfId="0" applyNumberFormat="1" applyFont="1" applyFill="1" applyAlignment="1">
      <alignment horizontal="center" vertical="center"/>
    </xf>
    <xf numFmtId="3" fontId="0" fillId="0" borderId="0" xfId="0" applyNumberFormat="1"/>
    <xf numFmtId="172" fontId="0" fillId="0" borderId="0" xfId="0" applyNumberFormat="1"/>
    <xf numFmtId="164" fontId="0" fillId="0" borderId="0" xfId="0" applyNumberFormat="1"/>
    <xf numFmtId="175" fontId="0" fillId="0" borderId="0" xfId="1" applyNumberFormat="1" applyFont="1"/>
    <xf numFmtId="0" fontId="44" fillId="0" borderId="7" xfId="0" applyFont="1" applyBorder="1"/>
    <xf numFmtId="0" fontId="26" fillId="0" borderId="0" xfId="0" applyFont="1" applyAlignment="1">
      <alignment vertical="center"/>
    </xf>
    <xf numFmtId="0" fontId="45" fillId="0" borderId="0" xfId="0" applyFont="1"/>
    <xf numFmtId="0" fontId="15" fillId="32" borderId="18" xfId="0" applyFont="1" applyFill="1" applyBorder="1" applyAlignment="1">
      <alignment horizontal="center"/>
    </xf>
    <xf numFmtId="0" fontId="15" fillId="33" borderId="18" xfId="0" applyFont="1" applyFill="1" applyBorder="1" applyAlignment="1">
      <alignment horizontal="center"/>
    </xf>
    <xf numFmtId="0" fontId="15" fillId="33" borderId="1" xfId="0" applyFont="1" applyFill="1" applyBorder="1" applyAlignment="1">
      <alignment horizontal="center"/>
    </xf>
    <xf numFmtId="0" fontId="46" fillId="0" borderId="0" xfId="0" applyFont="1"/>
    <xf numFmtId="0" fontId="47" fillId="0" borderId="1" xfId="0" applyFont="1" applyBorder="1"/>
    <xf numFmtId="0" fontId="29" fillId="34" borderId="1" xfId="0" applyFont="1" applyFill="1" applyBorder="1"/>
    <xf numFmtId="170" fontId="46" fillId="0" borderId="1" xfId="0" applyNumberFormat="1" applyFont="1" applyBorder="1" applyAlignment="1">
      <alignment horizontal="center" vertical="center"/>
    </xf>
    <xf numFmtId="1" fontId="46" fillId="0" borderId="1" xfId="0" applyNumberFormat="1" applyFont="1" applyBorder="1" applyAlignment="1">
      <alignment horizontal="center" vertical="center"/>
    </xf>
    <xf numFmtId="171" fontId="46" fillId="0" borderId="1" xfId="0" applyNumberFormat="1" applyFont="1" applyBorder="1" applyAlignment="1">
      <alignment horizontal="center" vertical="center"/>
    </xf>
    <xf numFmtId="172" fontId="46" fillId="0" borderId="1" xfId="19" applyNumberFormat="1" applyFont="1" applyFill="1" applyBorder="1" applyAlignment="1">
      <alignment horizontal="center" vertical="center"/>
    </xf>
    <xf numFmtId="9" fontId="46" fillId="0" borderId="1" xfId="1" applyFont="1" applyFill="1" applyBorder="1" applyAlignment="1">
      <alignment horizontal="center" vertical="center"/>
    </xf>
    <xf numFmtId="171" fontId="46" fillId="0" borderId="1" xfId="0" applyNumberFormat="1" applyFont="1" applyBorder="1" applyAlignment="1">
      <alignment horizontal="center"/>
    </xf>
    <xf numFmtId="0" fontId="47" fillId="0" borderId="0" xfId="0" applyFont="1"/>
    <xf numFmtId="170" fontId="46" fillId="0" borderId="1" xfId="0" quotePrefix="1" applyNumberFormat="1" applyFont="1" applyBorder="1" applyAlignment="1">
      <alignment horizontal="center" vertical="center"/>
    </xf>
    <xf numFmtId="1" fontId="46" fillId="0" borderId="1" xfId="0" quotePrefix="1" applyNumberFormat="1" applyFont="1" applyBorder="1" applyAlignment="1">
      <alignment horizontal="center" vertical="center"/>
    </xf>
    <xf numFmtId="173" fontId="48" fillId="0" borderId="18" xfId="0" applyNumberFormat="1" applyFont="1" applyBorder="1" applyAlignment="1">
      <alignment horizontal="center" vertical="center"/>
    </xf>
    <xf numFmtId="0" fontId="29" fillId="34" borderId="8" xfId="0" applyFont="1" applyFill="1" applyBorder="1"/>
    <xf numFmtId="0" fontId="49" fillId="35" borderId="8" xfId="0" applyFont="1" applyFill="1" applyBorder="1"/>
    <xf numFmtId="170" fontId="49" fillId="35" borderId="18" xfId="0" applyNumberFormat="1" applyFont="1" applyFill="1" applyBorder="1" applyAlignment="1">
      <alignment horizontal="center" vertical="center"/>
    </xf>
    <xf numFmtId="1" fontId="49" fillId="35" borderId="18" xfId="0" applyNumberFormat="1" applyFont="1" applyFill="1" applyBorder="1" applyAlignment="1">
      <alignment horizontal="center" vertical="center"/>
    </xf>
    <xf numFmtId="171" fontId="49" fillId="35" borderId="18" xfId="0" applyNumberFormat="1" applyFont="1" applyFill="1" applyBorder="1" applyAlignment="1">
      <alignment horizontal="center" vertical="center"/>
    </xf>
    <xf numFmtId="172" fontId="49" fillId="35" borderId="18" xfId="19" applyNumberFormat="1" applyFont="1" applyFill="1" applyBorder="1" applyAlignment="1">
      <alignment horizontal="center" vertical="center"/>
    </xf>
    <xf numFmtId="9" fontId="49" fillId="35" borderId="18" xfId="1" applyFont="1" applyFill="1" applyBorder="1" applyAlignment="1">
      <alignment horizontal="center" vertical="center"/>
    </xf>
    <xf numFmtId="0" fontId="50" fillId="36" borderId="1" xfId="0" applyFont="1" applyFill="1" applyBorder="1"/>
    <xf numFmtId="170" fontId="50" fillId="36" borderId="1" xfId="0" applyNumberFormat="1" applyFont="1" applyFill="1" applyBorder="1" applyAlignment="1">
      <alignment horizontal="center" vertical="center"/>
    </xf>
    <xf numFmtId="171" fontId="50" fillId="36" borderId="1" xfId="0" applyNumberFormat="1" applyFont="1" applyFill="1" applyBorder="1" applyAlignment="1">
      <alignment horizontal="center" vertical="center"/>
    </xf>
    <xf numFmtId="172" fontId="50" fillId="36" borderId="1" xfId="19" applyNumberFormat="1" applyFont="1" applyFill="1" applyBorder="1" applyAlignment="1">
      <alignment horizontal="center" vertical="center"/>
    </xf>
    <xf numFmtId="2" fontId="50" fillId="36" borderId="1" xfId="0" applyNumberFormat="1" applyFont="1" applyFill="1" applyBorder="1" applyAlignment="1">
      <alignment horizontal="center" vertical="center"/>
    </xf>
    <xf numFmtId="172" fontId="46" fillId="0" borderId="0" xfId="19" applyNumberFormat="1" applyFont="1" applyFill="1" applyBorder="1"/>
    <xf numFmtId="0" fontId="50" fillId="36" borderId="18" xfId="0" applyFont="1" applyFill="1" applyBorder="1"/>
    <xf numFmtId="170" fontId="50" fillId="36" borderId="18" xfId="0" applyNumberFormat="1" applyFont="1" applyFill="1" applyBorder="1" applyAlignment="1">
      <alignment horizontal="center" vertical="center"/>
    </xf>
    <xf numFmtId="173" fontId="50" fillId="36" borderId="18" xfId="0" applyNumberFormat="1" applyFont="1" applyFill="1" applyBorder="1" applyAlignment="1">
      <alignment horizontal="center" vertical="center"/>
    </xf>
    <xf numFmtId="2" fontId="50" fillId="36" borderId="18" xfId="0" applyNumberFormat="1" applyFont="1" applyFill="1" applyBorder="1" applyAlignment="1">
      <alignment horizontal="center" vertical="center"/>
    </xf>
    <xf numFmtId="172" fontId="50" fillId="36" borderId="18" xfId="19" applyNumberFormat="1" applyFont="1" applyFill="1" applyBorder="1" applyAlignment="1">
      <alignment horizontal="center" vertical="center"/>
    </xf>
    <xf numFmtId="170" fontId="50" fillId="36" borderId="0" xfId="0" applyNumberFormat="1" applyFont="1" applyFill="1" applyAlignment="1">
      <alignment horizontal="center" vertical="center"/>
    </xf>
    <xf numFmtId="0" fontId="50" fillId="36" borderId="0" xfId="0" applyFont="1" applyFill="1"/>
    <xf numFmtId="174" fontId="50" fillId="36" borderId="0" xfId="0" applyNumberFormat="1" applyFont="1" applyFill="1" applyAlignment="1">
      <alignment horizontal="center" vertical="center"/>
    </xf>
    <xf numFmtId="172" fontId="50" fillId="36" borderId="0" xfId="19" applyNumberFormat="1" applyFont="1" applyFill="1" applyBorder="1" applyAlignment="1">
      <alignment horizontal="center" vertical="center"/>
    </xf>
    <xf numFmtId="2" fontId="50" fillId="36" borderId="0" xfId="0" applyNumberFormat="1" applyFont="1" applyFill="1" applyAlignment="1">
      <alignment horizontal="center" vertical="center"/>
    </xf>
    <xf numFmtId="0" fontId="15" fillId="36" borderId="42" xfId="0" applyFont="1" applyFill="1" applyBorder="1"/>
    <xf numFmtId="170" fontId="15" fillId="36" borderId="44" xfId="0" applyNumberFormat="1" applyFont="1" applyFill="1" applyBorder="1" applyAlignment="1">
      <alignment horizontal="center" vertical="center"/>
    </xf>
    <xf numFmtId="0" fontId="15" fillId="36" borderId="44" xfId="0" applyFont="1" applyFill="1" applyBorder="1"/>
    <xf numFmtId="171" fontId="15" fillId="36" borderId="44" xfId="0" applyNumberFormat="1" applyFont="1" applyFill="1" applyBorder="1" applyAlignment="1">
      <alignment horizontal="center" vertical="center"/>
    </xf>
    <xf numFmtId="172" fontId="15" fillId="36" borderId="44" xfId="19" applyNumberFormat="1" applyFont="1" applyFill="1" applyBorder="1" applyAlignment="1">
      <alignment horizontal="center" vertical="center"/>
    </xf>
    <xf numFmtId="2" fontId="15" fillId="36" borderId="44" xfId="0" applyNumberFormat="1" applyFont="1" applyFill="1" applyBorder="1" applyAlignment="1">
      <alignment horizontal="center" vertical="center"/>
    </xf>
    <xf numFmtId="0" fontId="15" fillId="36" borderId="45" xfId="0" applyFont="1" applyFill="1" applyBorder="1"/>
    <xf numFmtId="0" fontId="15" fillId="36" borderId="0" xfId="0" applyFont="1" applyFill="1"/>
    <xf numFmtId="170" fontId="15" fillId="36" borderId="0" xfId="0" applyNumberFormat="1" applyFont="1" applyFill="1" applyAlignment="1">
      <alignment horizontal="center" vertical="center"/>
    </xf>
    <xf numFmtId="171" fontId="15" fillId="36" borderId="0" xfId="0" applyNumberFormat="1" applyFont="1" applyFill="1" applyAlignment="1">
      <alignment horizontal="center" vertical="center"/>
    </xf>
    <xf numFmtId="172" fontId="15" fillId="36" borderId="0" xfId="19" applyNumberFormat="1" applyFont="1" applyFill="1" applyBorder="1" applyAlignment="1">
      <alignment horizontal="center" vertical="center"/>
    </xf>
    <xf numFmtId="2" fontId="15" fillId="36" borderId="0" xfId="0" applyNumberFormat="1" applyFont="1" applyFill="1" applyAlignment="1">
      <alignment horizontal="center" vertical="center"/>
    </xf>
    <xf numFmtId="0" fontId="50" fillId="0" borderId="0" xfId="0" applyFont="1"/>
    <xf numFmtId="170" fontId="50" fillId="0" borderId="0" xfId="0" applyNumberFormat="1" applyFont="1" applyAlignment="1">
      <alignment horizontal="center" vertical="center"/>
    </xf>
    <xf numFmtId="171" fontId="50" fillId="0" borderId="0" xfId="0" applyNumberFormat="1" applyFont="1" applyAlignment="1">
      <alignment horizontal="center" vertical="center"/>
    </xf>
    <xf numFmtId="2" fontId="50" fillId="0" borderId="0" xfId="0" applyNumberFormat="1" applyFont="1" applyAlignment="1">
      <alignment horizontal="center" vertical="center"/>
    </xf>
    <xf numFmtId="0" fontId="13" fillId="0" borderId="0" xfId="0" applyFont="1"/>
    <xf numFmtId="2" fontId="51" fillId="0" borderId="0" xfId="0" applyNumberFormat="1" applyFont="1" applyAlignment="1">
      <alignment horizontal="center" vertical="center"/>
    </xf>
    <xf numFmtId="1" fontId="43" fillId="0" borderId="0" xfId="0" applyNumberFormat="1" applyFont="1" applyAlignment="1">
      <alignment horizontal="center" vertical="center"/>
    </xf>
    <xf numFmtId="183" fontId="0" fillId="0" borderId="0" xfId="0" applyNumberFormat="1"/>
    <xf numFmtId="9" fontId="26" fillId="0" borderId="0" xfId="0" applyNumberFormat="1" applyFont="1" applyAlignment="1">
      <alignment horizontal="center" vertical="center"/>
    </xf>
    <xf numFmtId="172" fontId="43" fillId="0" borderId="0" xfId="19" applyNumberFormat="1" applyFont="1" applyAlignment="1">
      <alignment horizontal="center" vertical="center"/>
    </xf>
    <xf numFmtId="0" fontId="39" fillId="0" borderId="1" xfId="0" applyFont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6" fontId="26" fillId="0" borderId="0" xfId="0" applyNumberFormat="1" applyFont="1" applyAlignment="1">
      <alignment horizontal="center" vertical="center"/>
    </xf>
    <xf numFmtId="49" fontId="43" fillId="22" borderId="16" xfId="19" applyNumberFormat="1" applyFont="1" applyFill="1" applyBorder="1" applyAlignment="1">
      <alignment horizontal="center" vertical="center" wrapText="1"/>
    </xf>
    <xf numFmtId="49" fontId="43" fillId="22" borderId="47" xfId="19" applyNumberFormat="1" applyFont="1" applyFill="1" applyBorder="1" applyAlignment="1">
      <alignment horizontal="center" vertical="center" wrapText="1"/>
    </xf>
    <xf numFmtId="49" fontId="43" fillId="22" borderId="18" xfId="19" applyNumberFormat="1" applyFont="1" applyFill="1" applyBorder="1" applyAlignment="1">
      <alignment horizontal="center" vertical="center" wrapText="1"/>
    </xf>
    <xf numFmtId="49" fontId="39" fillId="0" borderId="1" xfId="19" applyNumberFormat="1" applyFont="1" applyFill="1" applyBorder="1" applyAlignment="1">
      <alignment horizontal="center" vertical="center"/>
    </xf>
    <xf numFmtId="0" fontId="34" fillId="2" borderId="0" xfId="0" applyFont="1" applyFill="1" applyAlignment="1">
      <alignment horizontal="center" vertical="center"/>
    </xf>
    <xf numFmtId="49" fontId="34" fillId="26" borderId="1" xfId="21" applyNumberFormat="1" applyFont="1" applyFill="1" applyBorder="1" applyAlignment="1">
      <alignment horizontal="center" vertical="center" wrapText="1"/>
    </xf>
    <xf numFmtId="49" fontId="34" fillId="0" borderId="1" xfId="21" applyNumberFormat="1" applyFont="1" applyFill="1" applyBorder="1" applyAlignment="1">
      <alignment horizontal="center" vertical="center" wrapText="1"/>
    </xf>
    <xf numFmtId="49" fontId="34" fillId="0" borderId="1" xfId="21" applyNumberFormat="1" applyFont="1" applyBorder="1" applyAlignment="1">
      <alignment horizontal="center" vertical="center" wrapText="1"/>
    </xf>
    <xf numFmtId="0" fontId="26" fillId="15" borderId="1" xfId="0" applyFont="1" applyFill="1" applyBorder="1" applyAlignment="1">
      <alignment horizontal="center" vertical="center"/>
    </xf>
    <xf numFmtId="0" fontId="32" fillId="20" borderId="0" xfId="0" applyFont="1" applyFill="1"/>
    <xf numFmtId="170" fontId="32" fillId="20" borderId="0" xfId="0" applyNumberFormat="1" applyFont="1" applyFill="1" applyAlignment="1">
      <alignment horizontal="center" vertical="center"/>
    </xf>
    <xf numFmtId="172" fontId="32" fillId="20" borderId="0" xfId="19" applyNumberFormat="1" applyFont="1" applyFill="1" applyBorder="1" applyAlignment="1">
      <alignment horizontal="center" vertical="center"/>
    </xf>
    <xf numFmtId="2" fontId="32" fillId="20" borderId="0" xfId="0" applyNumberFormat="1" applyFont="1" applyFill="1" applyAlignment="1">
      <alignment horizontal="center" vertical="center"/>
    </xf>
    <xf numFmtId="174" fontId="32" fillId="20" borderId="18" xfId="0" applyNumberFormat="1" applyFont="1" applyFill="1" applyBorder="1" applyAlignment="1">
      <alignment horizontal="center" vertical="center"/>
    </xf>
    <xf numFmtId="181" fontId="13" fillId="0" borderId="0" xfId="0" applyNumberFormat="1" applyFont="1"/>
    <xf numFmtId="174" fontId="13" fillId="0" borderId="0" xfId="0" applyNumberFormat="1" applyFont="1"/>
    <xf numFmtId="9" fontId="26" fillId="0" borderId="0" xfId="0" applyNumberFormat="1" applyFont="1" applyAlignment="1">
      <alignment horizontal="left" vertical="center"/>
    </xf>
    <xf numFmtId="181" fontId="0" fillId="0" borderId="0" xfId="1" applyNumberFormat="1" applyFont="1"/>
    <xf numFmtId="172" fontId="31" fillId="0" borderId="0" xfId="19" applyNumberFormat="1" applyFont="1" applyFill="1" applyAlignment="1">
      <alignment horizontal="center" vertical="center"/>
    </xf>
    <xf numFmtId="172" fontId="26" fillId="0" borderId="17" xfId="19" applyNumberFormat="1" applyFont="1" applyBorder="1" applyAlignment="1">
      <alignment horizontal="center" vertical="center"/>
    </xf>
    <xf numFmtId="172" fontId="26" fillId="0" borderId="16" xfId="19" applyNumberFormat="1" applyFont="1" applyBorder="1" applyAlignment="1">
      <alignment horizontal="center" vertical="center"/>
    </xf>
    <xf numFmtId="172" fontId="26" fillId="0" borderId="0" xfId="19" applyNumberFormat="1" applyFont="1" applyBorder="1" applyAlignment="1">
      <alignment horizontal="center" vertical="center"/>
    </xf>
    <xf numFmtId="9" fontId="26" fillId="0" borderId="0" xfId="1" applyFont="1" applyAlignment="1">
      <alignment horizontal="left" vertical="center"/>
    </xf>
    <xf numFmtId="9" fontId="34" fillId="0" borderId="0" xfId="1" applyFont="1" applyAlignment="1">
      <alignment horizontal="left" vertical="center"/>
    </xf>
    <xf numFmtId="184" fontId="26" fillId="0" borderId="0" xfId="0" applyNumberFormat="1" applyFont="1" applyAlignment="1">
      <alignment horizontal="center" vertical="center"/>
    </xf>
    <xf numFmtId="177" fontId="26" fillId="0" borderId="0" xfId="0" applyNumberFormat="1" applyFont="1" applyAlignment="1">
      <alignment horizontal="center" vertical="center"/>
    </xf>
    <xf numFmtId="49" fontId="34" fillId="15" borderId="1" xfId="19" applyNumberFormat="1" applyFont="1" applyFill="1" applyBorder="1" applyAlignment="1">
      <alignment horizontal="center" vertical="center" wrapText="1"/>
    </xf>
    <xf numFmtId="2" fontId="26" fillId="0" borderId="0" xfId="0" applyNumberFormat="1" applyFont="1" applyAlignment="1">
      <alignment horizontal="center" vertical="center"/>
    </xf>
    <xf numFmtId="0" fontId="8" fillId="16" borderId="17" xfId="0" applyFont="1" applyFill="1" applyBorder="1" applyAlignment="1">
      <alignment horizontal="center"/>
    </xf>
    <xf numFmtId="0" fontId="8" fillId="16" borderId="4" xfId="0" applyFont="1" applyFill="1" applyBorder="1" applyAlignment="1">
      <alignment horizontal="center"/>
    </xf>
    <xf numFmtId="0" fontId="8" fillId="16" borderId="16" xfId="0" applyFont="1" applyFill="1" applyBorder="1" applyAlignment="1">
      <alignment horizontal="center"/>
    </xf>
    <xf numFmtId="172" fontId="31" fillId="2" borderId="0" xfId="19" applyNumberFormat="1" applyFont="1" applyFill="1" applyAlignment="1">
      <alignment horizontal="center" vertical="center"/>
    </xf>
    <xf numFmtId="0" fontId="26" fillId="0" borderId="38" xfId="0" applyFont="1" applyBorder="1" applyAlignment="1">
      <alignment horizontal="center" vertical="center"/>
    </xf>
    <xf numFmtId="0" fontId="26" fillId="0" borderId="59" xfId="0" applyFont="1" applyBorder="1" applyAlignment="1">
      <alignment horizontal="center" vertical="center"/>
    </xf>
    <xf numFmtId="0" fontId="26" fillId="0" borderId="52" xfId="0" applyFont="1" applyBorder="1" applyAlignment="1">
      <alignment horizontal="center" vertical="center"/>
    </xf>
    <xf numFmtId="0" fontId="36" fillId="27" borderId="18" xfId="0" applyFont="1" applyFill="1" applyBorder="1" applyAlignment="1">
      <alignment horizontal="center" vertical="center" wrapText="1"/>
    </xf>
    <xf numFmtId="0" fontId="36" fillId="27" borderId="7" xfId="0" applyFont="1" applyFill="1" applyBorder="1" applyAlignment="1">
      <alignment horizontal="center" vertical="center" wrapText="1"/>
    </xf>
    <xf numFmtId="0" fontId="36" fillId="2" borderId="1" xfId="0" applyFont="1" applyFill="1" applyBorder="1" applyAlignment="1">
      <alignment horizontal="center" wrapText="1"/>
    </xf>
    <xf numFmtId="0" fontId="37" fillId="21" borderId="44" xfId="0" applyFont="1" applyFill="1" applyBorder="1" applyAlignment="1">
      <alignment horizontal="center" vertical="center" wrapText="1"/>
    </xf>
    <xf numFmtId="0" fontId="37" fillId="21" borderId="45" xfId="0" applyFont="1" applyFill="1" applyBorder="1" applyAlignment="1">
      <alignment horizontal="center" vertical="center" wrapText="1"/>
    </xf>
    <xf numFmtId="0" fontId="26" fillId="0" borderId="0" xfId="0" applyFont="1" applyAlignment="1">
      <alignment horizontal="center" vertical="center" wrapText="1"/>
    </xf>
    <xf numFmtId="0" fontId="26" fillId="0" borderId="0" xfId="0" applyFont="1" applyAlignment="1">
      <alignment horizontal="center" vertical="center"/>
    </xf>
    <xf numFmtId="0" fontId="28" fillId="0" borderId="0" xfId="0" applyFont="1" applyAlignment="1">
      <alignment horizontal="left" vertical="center" wrapText="1"/>
    </xf>
    <xf numFmtId="0" fontId="28" fillId="0" borderId="0" xfId="0" applyFont="1" applyAlignment="1">
      <alignment horizontal="left" vertical="center"/>
    </xf>
    <xf numFmtId="0" fontId="8" fillId="8" borderId="12" xfId="8" applyFont="1" applyFill="1" applyBorder="1" applyAlignment="1">
      <alignment horizontal="center"/>
    </xf>
    <xf numFmtId="0" fontId="8" fillId="8" borderId="13" xfId="8" applyFont="1" applyFill="1" applyBorder="1" applyAlignment="1">
      <alignment horizontal="center"/>
    </xf>
    <xf numFmtId="0" fontId="8" fillId="8" borderId="5" xfId="8" applyFont="1" applyFill="1" applyBorder="1" applyAlignment="1">
      <alignment horizontal="center"/>
    </xf>
    <xf numFmtId="0" fontId="8" fillId="8" borderId="14" xfId="8" applyFont="1" applyFill="1" applyBorder="1" applyAlignment="1">
      <alignment horizontal="center"/>
    </xf>
    <xf numFmtId="0" fontId="8" fillId="8" borderId="1" xfId="0" applyFont="1" applyFill="1" applyBorder="1" applyAlignment="1">
      <alignment horizontal="center"/>
    </xf>
    <xf numFmtId="0" fontId="8" fillId="8" borderId="5" xfId="0" applyFont="1" applyFill="1" applyBorder="1" applyAlignment="1">
      <alignment horizontal="center"/>
    </xf>
    <xf numFmtId="0" fontId="8" fillId="8" borderId="17" xfId="0" applyFont="1" applyFill="1" applyBorder="1" applyAlignment="1">
      <alignment horizontal="center"/>
    </xf>
    <xf numFmtId="0" fontId="8" fillId="8" borderId="16" xfId="0" applyFont="1" applyFill="1" applyBorder="1" applyAlignment="1">
      <alignment horizontal="center"/>
    </xf>
    <xf numFmtId="0" fontId="8" fillId="8" borderId="15" xfId="9" applyFont="1" applyFill="1" applyBorder="1" applyAlignment="1">
      <alignment horizontal="center"/>
    </xf>
    <xf numFmtId="0" fontId="8" fillId="8" borderId="5" xfId="9" applyFont="1" applyFill="1" applyBorder="1" applyAlignment="1">
      <alignment horizontal="center"/>
    </xf>
    <xf numFmtId="0" fontId="8" fillId="8" borderId="12" xfId="9" applyFont="1" applyFill="1" applyBorder="1" applyAlignment="1">
      <alignment horizontal="center"/>
    </xf>
    <xf numFmtId="0" fontId="8" fillId="8" borderId="13" xfId="9" applyFont="1" applyFill="1" applyBorder="1" applyAlignment="1">
      <alignment horizontal="center"/>
    </xf>
  </cellXfs>
  <cellStyles count="23">
    <cellStyle name="1" xfId="2" xr:uid="{E2B4028C-793F-4430-B9F6-56717B1BCE35}"/>
    <cellStyle name="10" xfId="18" xr:uid="{49129ED1-4C01-4B17-8261-74AF01C43DB5}"/>
    <cellStyle name="12" xfId="13" xr:uid="{7B7F5249-7C7D-4040-ACA2-CBC6F3B17814}"/>
    <cellStyle name="3" xfId="3" xr:uid="{F24D1EA3-1C04-4BED-B85C-46BDE9E817EC}"/>
    <cellStyle name="7" xfId="4" xr:uid="{E2228F01-AB9A-4804-8035-4A88F9D6B274}"/>
    <cellStyle name="8" xfId="5" xr:uid="{202466EE-8155-409E-9132-A0C82CF559B8}"/>
    <cellStyle name="aa" xfId="12" xr:uid="{8C94A74B-ABAE-407A-9EAB-D60F128FB9FE}"/>
    <cellStyle name="ab" xfId="6" xr:uid="{8210B539-1E9C-45A3-A209-8CA4532E657A}"/>
    <cellStyle name="ac" xfId="10" xr:uid="{E5C06354-8ADB-472F-92A0-11EB3D315A3D}"/>
    <cellStyle name="ae" xfId="11" xr:uid="{74F5188C-CB84-47BD-A418-976AD9877D14}"/>
    <cellStyle name="Comma" xfId="19" builtinId="3"/>
    <cellStyle name="Comma 2" xfId="7" xr:uid="{D13C2983-1FC6-4069-A7D5-7ECDA42C2206}"/>
    <cellStyle name="Comma 2 2" xfId="15" xr:uid="{1EA31E6F-DE26-4C80-9BF5-E65FC83EA33F}"/>
    <cellStyle name="Comma 2 2 2" xfId="17" xr:uid="{A2BC27A3-3C84-4212-AAA7-8F510BE9586A}"/>
    <cellStyle name="Comma 2 3" xfId="16" xr:uid="{507ED67B-FE90-4E80-BDA9-CF4ABB697118}"/>
    <cellStyle name="Comma 3 2 10" xfId="22" xr:uid="{46982EE3-5B5A-43DD-A470-9A1389D5E381}"/>
    <cellStyle name="Currency" xfId="20" builtinId="4"/>
    <cellStyle name="Hyperlink" xfId="21" builtinId="8"/>
    <cellStyle name="Normal" xfId="0" builtinId="0"/>
    <cellStyle name="Normal 2" xfId="8" xr:uid="{17F3D2BB-A86D-447E-BD39-C638773D93AA}"/>
    <cellStyle name="Normal 2 2" xfId="9" xr:uid="{2BFA78EE-E44C-4962-80FD-83481D09682C}"/>
    <cellStyle name="Normal 2 2 2 2 2 2 2 2" xfId="14" xr:uid="{2A85718B-D267-4476-AA1D-CAD484AFF54A}"/>
    <cellStyle name="Percent" xfId="1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pivotCacheDefinition" Target="pivotCache/pivotCacheDefinition1.xml"/><Relationship Id="rId50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4</xdr:row>
      <xdr:rowOff>0</xdr:rowOff>
    </xdr:from>
    <xdr:to>
      <xdr:col>11</xdr:col>
      <xdr:colOff>304800</xdr:colOff>
      <xdr:row>5</xdr:row>
      <xdr:rowOff>120650</xdr:rowOff>
    </xdr:to>
    <xdr:sp macro="" textlink="">
      <xdr:nvSpPr>
        <xdr:cNvPr id="7169" name="AutoShape 1">
          <a:extLst>
            <a:ext uri="{FF2B5EF4-FFF2-40B4-BE49-F238E27FC236}">
              <a16:creationId xmlns:a16="http://schemas.microsoft.com/office/drawing/2014/main" id="{092CDA42-E656-E8AA-5142-AEC14BE97859}"/>
            </a:ext>
          </a:extLst>
        </xdr:cNvPr>
        <xdr:cNvSpPr>
          <a:spLocks noChangeAspect="1" noChangeArrowheads="1"/>
        </xdr:cNvSpPr>
      </xdr:nvSpPr>
      <xdr:spPr bwMode="auto">
        <a:xfrm>
          <a:off x="8172450" y="23939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15</xdr:col>
      <xdr:colOff>0</xdr:colOff>
      <xdr:row>4</xdr:row>
      <xdr:rowOff>0</xdr:rowOff>
    </xdr:from>
    <xdr:to>
      <xdr:col>15</xdr:col>
      <xdr:colOff>304800</xdr:colOff>
      <xdr:row>5</xdr:row>
      <xdr:rowOff>120649</xdr:rowOff>
    </xdr:to>
    <xdr:sp macro="" textlink="">
      <xdr:nvSpPr>
        <xdr:cNvPr id="7170" name="AutoShape 2">
          <a:extLst>
            <a:ext uri="{FF2B5EF4-FFF2-40B4-BE49-F238E27FC236}">
              <a16:creationId xmlns:a16="http://schemas.microsoft.com/office/drawing/2014/main" id="{CA008217-7150-9527-3829-8985BF3C31EA}"/>
            </a:ext>
          </a:extLst>
        </xdr:cNvPr>
        <xdr:cNvSpPr>
          <a:spLocks noChangeAspect="1" noChangeArrowheads="1"/>
        </xdr:cNvSpPr>
      </xdr:nvSpPr>
      <xdr:spPr bwMode="auto">
        <a:xfrm>
          <a:off x="12700000" y="4051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11</xdr:col>
      <xdr:colOff>0</xdr:colOff>
      <xdr:row>4</xdr:row>
      <xdr:rowOff>0</xdr:rowOff>
    </xdr:from>
    <xdr:ext cx="304800" cy="300566"/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C6EAEE8C-7EB6-43FC-BD28-B7B788DCE63C}"/>
            </a:ext>
          </a:extLst>
        </xdr:cNvPr>
        <xdr:cNvSpPr>
          <a:spLocks noChangeAspect="1" noChangeArrowheads="1"/>
        </xdr:cNvSpPr>
      </xdr:nvSpPr>
      <xdr:spPr bwMode="auto">
        <a:xfrm>
          <a:off x="8223250" y="2338917"/>
          <a:ext cx="304800" cy="3005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hikary, Soumendu (BLR-INA)" refreshedDate="45446.576175810187" createdVersion="8" refreshedVersion="8" minRefreshableVersion="3" recordCount="231" xr:uid="{20A0E340-6CB2-4057-9A01-3F199DE31E8D}">
  <cacheSource type="worksheet">
    <worksheetSource ref="B1:I197" sheet="Digital Plan - UPI"/>
  </cacheSource>
  <cacheFields count="8">
    <cacheField name="Markets " numFmtId="0">
      <sharedItems/>
    </cacheField>
    <cacheField name="Input" numFmtId="0">
      <sharedItems containsBlank="1"/>
    </cacheField>
    <cacheField name="Publisher" numFmtId="0">
      <sharedItems containsBlank="1" count="19">
        <s v="Connected TV PMP"/>
        <s v="YouTube "/>
        <s v="Meta"/>
        <s v="DSP "/>
        <s v="Mediakart"/>
        <s v="Dailyhunt"/>
        <s v="Inshorts"/>
        <s v="Mcanvas"/>
        <s v="Mygate"/>
        <s v="NobrokerHood"/>
        <s v="Total"/>
        <s v="PMP OTT"/>
        <s v="Sakshi"/>
        <s v="Zee Digital"/>
        <s v="Digital Turbine"/>
        <s v="DSP DMP"/>
        <s v="Meta DMP"/>
        <m/>
        <s v="Meta - 1P"/>
      </sharedItems>
    </cacheField>
    <cacheField name="Creative" numFmtId="0">
      <sharedItems containsBlank="1" count="3">
        <s v="Video"/>
        <s v="Static"/>
        <m/>
      </sharedItems>
    </cacheField>
    <cacheField name="Genres " numFmtId="0">
      <sharedItems containsBlank="1"/>
    </cacheField>
    <cacheField name="Platform" numFmtId="49">
      <sharedItems containsBlank="1" count="4">
        <s v="CTV"/>
        <s v="Mobile "/>
        <s v="Mobile"/>
        <m/>
      </sharedItems>
    </cacheField>
    <cacheField name="Section" numFmtId="49">
      <sharedItems containsBlank="1" count="4">
        <s v="Instream"/>
        <s v="Instream "/>
        <s v="ROS"/>
        <m/>
      </sharedItems>
    </cacheField>
    <cacheField name="Ad Unit" numFmtId="49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1">
  <r>
    <s v="Telengana - Seg A"/>
    <s v="Core - CTV"/>
    <x v="0"/>
    <x v="0"/>
    <s v="Entertainment "/>
    <x v="0"/>
    <x v="0"/>
    <s v="Video-15 Sec "/>
  </r>
  <r>
    <s v="Telengana - Seg A"/>
    <s v="Core - CTV"/>
    <x v="0"/>
    <x v="0"/>
    <s v="Entertainment "/>
    <x v="0"/>
    <x v="0"/>
    <s v="Bumper - 6 Sec"/>
  </r>
  <r>
    <s v="Telengana - Seg A"/>
    <s v="Core - CTV"/>
    <x v="1"/>
    <x v="0"/>
    <s v="Entertainment "/>
    <x v="0"/>
    <x v="0"/>
    <s v="NonSkip-15 Sec  "/>
  </r>
  <r>
    <s v="Telengana - Seg A"/>
    <s v="Core - CTV"/>
    <x v="1"/>
    <x v="0"/>
    <s v="Entertainment "/>
    <x v="0"/>
    <x v="0"/>
    <s v="Bumper - 6 Sec"/>
  </r>
  <r>
    <s v="Telengana - Seg A"/>
    <s v="Core"/>
    <x v="2"/>
    <x v="0"/>
    <s v="Entertainment "/>
    <x v="1"/>
    <x v="1"/>
    <s v="Instream - 15 Sec"/>
  </r>
  <r>
    <s v="Telengana - Seg A"/>
    <s v="Core"/>
    <x v="1"/>
    <x v="0"/>
    <s v="Entertainment "/>
    <x v="1"/>
    <x v="1"/>
    <s v="Bumper - 6 Sec"/>
  </r>
  <r>
    <s v="Telengana - Seg A"/>
    <s v="Core"/>
    <x v="3"/>
    <x v="1"/>
    <s v="Network "/>
    <x v="2"/>
    <x v="2"/>
    <s v="Large Formats"/>
  </r>
  <r>
    <s v="Telengana - Seg A"/>
    <s v="Core"/>
    <x v="4"/>
    <x v="1"/>
    <s v="Network "/>
    <x v="1"/>
    <x v="2"/>
    <s v="Interstitial Static banner"/>
  </r>
  <r>
    <s v="Telengana - Seg A"/>
    <s v="Core"/>
    <x v="5"/>
    <x v="1"/>
    <s v="News"/>
    <x v="1"/>
    <x v="2"/>
    <s v="Page Insert - Innovation"/>
  </r>
  <r>
    <s v="Telengana - Seg A"/>
    <s v="Core"/>
    <x v="6"/>
    <x v="1"/>
    <s v="News"/>
    <x v="1"/>
    <x v="2"/>
    <s v="Interstitial banner"/>
  </r>
  <r>
    <s v="Telengana - Seg A"/>
    <s v="Core"/>
    <x v="7"/>
    <x v="1"/>
    <s v="Network "/>
    <x v="1"/>
    <x v="2"/>
    <s v="Single Screen Interstitial "/>
  </r>
  <r>
    <s v="Hyderabad - Seg A"/>
    <s v="Core"/>
    <x v="8"/>
    <x v="1"/>
    <s v="Community"/>
    <x v="1"/>
    <x v="2"/>
    <s v="PAC"/>
  </r>
  <r>
    <s v="Hyderabad - Seg A"/>
    <s v="Core"/>
    <x v="9"/>
    <x v="1"/>
    <s v="Community"/>
    <x v="1"/>
    <x v="2"/>
    <s v="PAC"/>
  </r>
  <r>
    <s v="Telengana - Seg A"/>
    <m/>
    <x v="10"/>
    <x v="2"/>
    <m/>
    <x v="3"/>
    <x v="3"/>
    <m/>
  </r>
  <r>
    <s v="Telengana - Seg B"/>
    <s v="Core"/>
    <x v="11"/>
    <x v="0"/>
    <s v="Entertainment "/>
    <x v="2"/>
    <x v="0"/>
    <s v="Video-15 Sec "/>
  </r>
  <r>
    <s v="Telengana - Seg B"/>
    <s v="Core"/>
    <x v="11"/>
    <x v="0"/>
    <s v="Entertainment "/>
    <x v="2"/>
    <x v="0"/>
    <s v="Bumper - 6 Sec"/>
  </r>
  <r>
    <s v="Telengana - Seg B"/>
    <s v="Core"/>
    <x v="1"/>
    <x v="0"/>
    <s v="Entertainment "/>
    <x v="2"/>
    <x v="0"/>
    <s v="NonSkip-15 Sec  "/>
  </r>
  <r>
    <s v="Telengana - Seg B"/>
    <s v="Core"/>
    <x v="1"/>
    <x v="0"/>
    <s v="Entertainment "/>
    <x v="2"/>
    <x v="0"/>
    <s v="Bumper - 6 Sec"/>
  </r>
  <r>
    <s v="Telengana - Seg B"/>
    <s v="Core"/>
    <x v="3"/>
    <x v="1"/>
    <s v="Network "/>
    <x v="2"/>
    <x v="2"/>
    <s v="Large Formats"/>
  </r>
  <r>
    <s v="Telengana - Seg B"/>
    <s v="Core"/>
    <x v="4"/>
    <x v="1"/>
    <s v="Network "/>
    <x v="1"/>
    <x v="2"/>
    <s v="Interstitial Static banner"/>
  </r>
  <r>
    <s v="Telengana - Seg B"/>
    <s v="Core"/>
    <x v="5"/>
    <x v="1"/>
    <s v="News"/>
    <x v="1"/>
    <x v="2"/>
    <s v="Page Insert - Innovation"/>
  </r>
  <r>
    <s v="Telengana - Seg B"/>
    <s v="Core"/>
    <x v="12"/>
    <x v="1"/>
    <s v="News"/>
    <x v="2"/>
    <x v="2"/>
    <s v="Standard Banners"/>
  </r>
  <r>
    <s v="Telengana - Seg B"/>
    <m/>
    <x v="10"/>
    <x v="2"/>
    <m/>
    <x v="3"/>
    <x v="3"/>
    <m/>
  </r>
  <r>
    <s v="Bangalore - Seg A"/>
    <s v="Core - CTV"/>
    <x v="0"/>
    <x v="0"/>
    <s v="Entertainment "/>
    <x v="0"/>
    <x v="0"/>
    <s v="Video-15 Sec "/>
  </r>
  <r>
    <s v="Bangalore - Seg A"/>
    <s v="Core - CTV"/>
    <x v="0"/>
    <x v="0"/>
    <s v="Entertainment "/>
    <x v="0"/>
    <x v="0"/>
    <s v="Bumper - 6 Sec"/>
  </r>
  <r>
    <s v="Bangalore - Seg A"/>
    <s v="Core - CTV"/>
    <x v="1"/>
    <x v="0"/>
    <s v="Entertainment "/>
    <x v="0"/>
    <x v="0"/>
    <s v="NonSkip-15 Sec  "/>
  </r>
  <r>
    <s v="Bangalore - Seg A"/>
    <s v="Core - CTV"/>
    <x v="1"/>
    <x v="0"/>
    <s v="Entertainment "/>
    <x v="0"/>
    <x v="0"/>
    <s v="Bumper - 6 Sec"/>
  </r>
  <r>
    <s v="Bangalore - Seg A"/>
    <s v="Core"/>
    <x v="2"/>
    <x v="0"/>
    <s v="Entertainment "/>
    <x v="1"/>
    <x v="1"/>
    <s v="Instream - 15 Sec"/>
  </r>
  <r>
    <s v="Bangalore - Seg A"/>
    <s v="Core"/>
    <x v="1"/>
    <x v="0"/>
    <s v="Entertainment "/>
    <x v="1"/>
    <x v="1"/>
    <s v="Bumper - 6 Sec"/>
  </r>
  <r>
    <s v="Bangalore - Seg A"/>
    <s v="Core"/>
    <x v="3"/>
    <x v="1"/>
    <s v="Network "/>
    <x v="2"/>
    <x v="2"/>
    <s v="Large Formats"/>
  </r>
  <r>
    <s v="Bangalore - Seg A"/>
    <s v="Core"/>
    <x v="4"/>
    <x v="1"/>
    <s v="Network "/>
    <x v="1"/>
    <x v="2"/>
    <s v="Interstitial Static banner"/>
  </r>
  <r>
    <s v="Bangalore - Seg A"/>
    <s v="Core"/>
    <x v="5"/>
    <x v="1"/>
    <s v="News"/>
    <x v="1"/>
    <x v="2"/>
    <s v="Page Insert - Innovation"/>
  </r>
  <r>
    <s v="Bangalore - Seg A"/>
    <s v="Core"/>
    <x v="6"/>
    <x v="1"/>
    <s v="News"/>
    <x v="1"/>
    <x v="2"/>
    <s v="Interstitial banner"/>
  </r>
  <r>
    <s v="Bangalore - Seg A"/>
    <s v="Core"/>
    <x v="7"/>
    <x v="1"/>
    <s v="Network "/>
    <x v="1"/>
    <x v="2"/>
    <s v="Single Screen Interstitial "/>
  </r>
  <r>
    <s v="Bangalore - Seg A"/>
    <s v="Core"/>
    <x v="8"/>
    <x v="1"/>
    <s v="Community"/>
    <x v="1"/>
    <x v="2"/>
    <s v="PAC"/>
  </r>
  <r>
    <s v="Bangalore - Seg A"/>
    <s v="Core"/>
    <x v="9"/>
    <x v="1"/>
    <s v="Community"/>
    <x v="1"/>
    <x v="2"/>
    <s v="PAC"/>
  </r>
  <r>
    <s v="Bangalore - Seg A"/>
    <m/>
    <x v="10"/>
    <x v="2"/>
    <m/>
    <x v="3"/>
    <x v="3"/>
    <m/>
  </r>
  <r>
    <s v="Bangalore - Seg B"/>
    <s v="Core"/>
    <x v="11"/>
    <x v="0"/>
    <s v="Entertainment "/>
    <x v="2"/>
    <x v="0"/>
    <s v="Video-15 Sec "/>
  </r>
  <r>
    <s v="Bangalore - Seg B"/>
    <s v="Core"/>
    <x v="11"/>
    <x v="0"/>
    <s v="Entertainment "/>
    <x v="2"/>
    <x v="0"/>
    <s v="Bumper - 6 Sec"/>
  </r>
  <r>
    <s v="Bangalore - Seg B"/>
    <s v="Core"/>
    <x v="1"/>
    <x v="0"/>
    <s v="Entertainment "/>
    <x v="2"/>
    <x v="0"/>
    <s v="NonSkip-15 Sec  "/>
  </r>
  <r>
    <s v="Bangalore - Seg B"/>
    <s v="Core"/>
    <x v="1"/>
    <x v="0"/>
    <s v="Entertainment "/>
    <x v="2"/>
    <x v="0"/>
    <s v="Bumper - 6 Sec"/>
  </r>
  <r>
    <s v="Bangalore - Seg B"/>
    <s v="Core"/>
    <x v="3"/>
    <x v="1"/>
    <s v="Network "/>
    <x v="2"/>
    <x v="2"/>
    <s v="Large Formats"/>
  </r>
  <r>
    <s v="Bangalore - Seg B"/>
    <s v="Core"/>
    <x v="4"/>
    <x v="1"/>
    <s v="Network "/>
    <x v="1"/>
    <x v="2"/>
    <s v="Interstitial Static banner"/>
  </r>
  <r>
    <s v="Bangalore - Seg B"/>
    <s v="Core"/>
    <x v="5"/>
    <x v="1"/>
    <s v="News"/>
    <x v="1"/>
    <x v="2"/>
    <s v="Page Insert - Innovation"/>
  </r>
  <r>
    <s v="Bangalore - Seg B"/>
    <s v="Core"/>
    <x v="13"/>
    <x v="1"/>
    <s v="News"/>
    <x v="2"/>
    <x v="2"/>
    <s v="Standard Banners"/>
  </r>
  <r>
    <s v="Bangalore - Seg B"/>
    <m/>
    <x v="10"/>
    <x v="2"/>
    <m/>
    <x v="3"/>
    <x v="3"/>
    <m/>
  </r>
  <r>
    <s v="Ahmedabad"/>
    <s v="Core - CTV"/>
    <x v="0"/>
    <x v="0"/>
    <s v="Entertainment "/>
    <x v="0"/>
    <x v="0"/>
    <s v="Video-15 Sec "/>
  </r>
  <r>
    <s v="Ahmedabad"/>
    <s v="Core - CTV"/>
    <x v="0"/>
    <x v="0"/>
    <s v="Entertainment "/>
    <x v="0"/>
    <x v="0"/>
    <s v="Bumper - 6 Sec"/>
  </r>
  <r>
    <s v="Ahmedabad"/>
    <s v="Core - CTV"/>
    <x v="1"/>
    <x v="0"/>
    <s v="Entertainment "/>
    <x v="0"/>
    <x v="0"/>
    <s v="NonSkip-15 Sec  "/>
  </r>
  <r>
    <s v="Ahmedabad"/>
    <s v="Core - CTV"/>
    <x v="1"/>
    <x v="0"/>
    <s v="Entertainment "/>
    <x v="0"/>
    <x v="0"/>
    <s v="Bumper - 6 Sec"/>
  </r>
  <r>
    <s v="Ahmedabad"/>
    <s v="Core"/>
    <x v="2"/>
    <x v="0"/>
    <s v="Entertainment "/>
    <x v="1"/>
    <x v="1"/>
    <s v="Instream - 15 Sec"/>
  </r>
  <r>
    <s v="Ahmedabad"/>
    <s v="Core"/>
    <x v="1"/>
    <x v="0"/>
    <s v="Entertainment "/>
    <x v="1"/>
    <x v="1"/>
    <s v="Bumper - 6 Sec"/>
  </r>
  <r>
    <s v="Ahmedabad"/>
    <s v="Core"/>
    <x v="3"/>
    <x v="1"/>
    <s v="Network "/>
    <x v="2"/>
    <x v="2"/>
    <s v="Large Formats"/>
  </r>
  <r>
    <s v="Ahmedabad"/>
    <s v="Core"/>
    <x v="4"/>
    <x v="1"/>
    <s v="Network "/>
    <x v="1"/>
    <x v="2"/>
    <s v="Interstitial Static banner"/>
  </r>
  <r>
    <s v="Ahmedabad"/>
    <s v="Core"/>
    <x v="5"/>
    <x v="1"/>
    <s v="News"/>
    <x v="1"/>
    <x v="2"/>
    <s v="Page Insert - Innovation"/>
  </r>
  <r>
    <s v="Ahmedabad"/>
    <s v="Core"/>
    <x v="6"/>
    <x v="1"/>
    <s v="News"/>
    <x v="1"/>
    <x v="2"/>
    <s v="Interstitial banner"/>
  </r>
  <r>
    <s v="Ahmedabad"/>
    <s v="Core"/>
    <x v="7"/>
    <x v="1"/>
    <s v="Network "/>
    <x v="1"/>
    <x v="2"/>
    <s v="Single Screen Interstitial "/>
  </r>
  <r>
    <s v="Ahmedabad"/>
    <s v="Core"/>
    <x v="8"/>
    <x v="1"/>
    <s v="Community"/>
    <x v="1"/>
    <x v="2"/>
    <s v="PAC"/>
  </r>
  <r>
    <s v="Ahmedabad"/>
    <s v="Core"/>
    <x v="9"/>
    <x v="1"/>
    <s v="Community"/>
    <x v="1"/>
    <x v="2"/>
    <s v="PAC"/>
  </r>
  <r>
    <s v="Ahmedabad"/>
    <m/>
    <x v="10"/>
    <x v="2"/>
    <m/>
    <x v="3"/>
    <x v="3"/>
    <m/>
  </r>
  <r>
    <s v="Chennai"/>
    <s v="Core - CTV"/>
    <x v="0"/>
    <x v="0"/>
    <s v="Entertainment "/>
    <x v="0"/>
    <x v="0"/>
    <s v="Video-15 Sec "/>
  </r>
  <r>
    <s v="Chennai"/>
    <s v="Core - CTV"/>
    <x v="0"/>
    <x v="0"/>
    <s v="Entertainment "/>
    <x v="0"/>
    <x v="0"/>
    <s v="Bumper - 6 Sec"/>
  </r>
  <r>
    <s v="Chennai"/>
    <s v="Core - CTV"/>
    <x v="1"/>
    <x v="0"/>
    <s v="Entertainment "/>
    <x v="0"/>
    <x v="0"/>
    <s v="NonSkip-15 Sec  "/>
  </r>
  <r>
    <s v="Chennai"/>
    <s v="Core - CTV"/>
    <x v="1"/>
    <x v="0"/>
    <s v="Entertainment "/>
    <x v="0"/>
    <x v="0"/>
    <s v="Bumper - 6 Sec"/>
  </r>
  <r>
    <s v="Chennai"/>
    <s v="Core"/>
    <x v="2"/>
    <x v="0"/>
    <s v="Entertainment "/>
    <x v="1"/>
    <x v="1"/>
    <s v="Instream - 15 Sec"/>
  </r>
  <r>
    <s v="Chennai"/>
    <s v="Core"/>
    <x v="1"/>
    <x v="0"/>
    <s v="Entertainment "/>
    <x v="1"/>
    <x v="1"/>
    <s v="Bumper - 6 Sec"/>
  </r>
  <r>
    <s v="Chennai"/>
    <s v="Core"/>
    <x v="3"/>
    <x v="1"/>
    <s v="Network "/>
    <x v="2"/>
    <x v="2"/>
    <s v="Large Formats"/>
  </r>
  <r>
    <s v="Chennai"/>
    <s v="Core"/>
    <x v="4"/>
    <x v="1"/>
    <s v="Network "/>
    <x v="1"/>
    <x v="2"/>
    <s v="Interstitial Static banner"/>
  </r>
  <r>
    <s v="Chennai"/>
    <s v="Core"/>
    <x v="5"/>
    <x v="1"/>
    <s v="News"/>
    <x v="1"/>
    <x v="2"/>
    <s v="Page Insert - Innovation"/>
  </r>
  <r>
    <s v="Chennai"/>
    <s v="Core"/>
    <x v="6"/>
    <x v="1"/>
    <s v="News"/>
    <x v="1"/>
    <x v="2"/>
    <s v="Interstitial banner"/>
  </r>
  <r>
    <s v="Chennai"/>
    <s v="Core"/>
    <x v="7"/>
    <x v="1"/>
    <s v="Network "/>
    <x v="1"/>
    <x v="2"/>
    <s v="Single Screen Interstitial "/>
  </r>
  <r>
    <s v="Chennai"/>
    <s v="Core"/>
    <x v="8"/>
    <x v="1"/>
    <s v="Community"/>
    <x v="1"/>
    <x v="2"/>
    <s v="PAC"/>
  </r>
  <r>
    <s v="Chennai"/>
    <s v="Core"/>
    <x v="9"/>
    <x v="1"/>
    <s v="Community"/>
    <x v="1"/>
    <x v="2"/>
    <s v="PAC"/>
  </r>
  <r>
    <s v="Chennai"/>
    <m/>
    <x v="10"/>
    <x v="2"/>
    <m/>
    <x v="3"/>
    <x v="3"/>
    <m/>
  </r>
  <r>
    <s v="Delhi + NCR"/>
    <s v="Core - CTV"/>
    <x v="0"/>
    <x v="0"/>
    <s v="Entertainment "/>
    <x v="0"/>
    <x v="0"/>
    <s v="Video-15 Sec "/>
  </r>
  <r>
    <s v="Delhi + NCR"/>
    <s v="Core - CTV"/>
    <x v="0"/>
    <x v="0"/>
    <s v="Entertainment "/>
    <x v="0"/>
    <x v="0"/>
    <s v="Bumper - 6 Sec"/>
  </r>
  <r>
    <s v="Delhi + NCR"/>
    <s v="Core - CTV"/>
    <x v="1"/>
    <x v="0"/>
    <s v="Entertainment "/>
    <x v="0"/>
    <x v="0"/>
    <s v="NonSkip-15 Sec  "/>
  </r>
  <r>
    <s v="Delhi + NCR"/>
    <s v="Core - CTV"/>
    <x v="1"/>
    <x v="0"/>
    <s v="Entertainment "/>
    <x v="0"/>
    <x v="0"/>
    <s v="Bumper - 6 Sec"/>
  </r>
  <r>
    <s v="Delhi + NCR"/>
    <s v="Core"/>
    <x v="2"/>
    <x v="0"/>
    <s v="Entertainment "/>
    <x v="1"/>
    <x v="1"/>
    <s v="Instream - 15 Sec"/>
  </r>
  <r>
    <s v="Delhi + NCR"/>
    <s v="Core"/>
    <x v="1"/>
    <x v="0"/>
    <s v="Entertainment "/>
    <x v="1"/>
    <x v="1"/>
    <s v="Bumper - 6 Sec"/>
  </r>
  <r>
    <s v="Delhi + NCR"/>
    <s v="Core"/>
    <x v="3"/>
    <x v="1"/>
    <s v="Network "/>
    <x v="2"/>
    <x v="2"/>
    <s v="Large Formats"/>
  </r>
  <r>
    <s v="Delhi + NCR"/>
    <s v="Core"/>
    <x v="4"/>
    <x v="1"/>
    <s v="Network "/>
    <x v="1"/>
    <x v="2"/>
    <s v="Interstitial Static banner"/>
  </r>
  <r>
    <s v="Delhi + NCR"/>
    <s v="Core"/>
    <x v="5"/>
    <x v="1"/>
    <s v="News"/>
    <x v="1"/>
    <x v="2"/>
    <s v="Page Insert - Innovation"/>
  </r>
  <r>
    <s v="Delhi + NCR"/>
    <s v="Core"/>
    <x v="6"/>
    <x v="1"/>
    <s v="News"/>
    <x v="1"/>
    <x v="2"/>
    <s v="Interstitial banner"/>
  </r>
  <r>
    <s v="Delhi + NCR"/>
    <s v="Core"/>
    <x v="7"/>
    <x v="1"/>
    <s v="Network "/>
    <x v="1"/>
    <x v="2"/>
    <s v="Single Screen Interstitial "/>
  </r>
  <r>
    <s v="Delhi + NCR"/>
    <s v="Core"/>
    <x v="8"/>
    <x v="1"/>
    <s v="Community"/>
    <x v="1"/>
    <x v="2"/>
    <s v="PAC"/>
  </r>
  <r>
    <s v="Delhi + NCR"/>
    <s v="Core"/>
    <x v="9"/>
    <x v="1"/>
    <s v="Community"/>
    <x v="1"/>
    <x v="2"/>
    <s v="PAC"/>
  </r>
  <r>
    <s v="Delhi + NCR"/>
    <m/>
    <x v="10"/>
    <x v="2"/>
    <m/>
    <x v="3"/>
    <x v="3"/>
    <m/>
  </r>
  <r>
    <s v="Kolkata + Howrah"/>
    <s v="Core - CTV"/>
    <x v="0"/>
    <x v="0"/>
    <s v="Entertainment "/>
    <x v="0"/>
    <x v="0"/>
    <s v="Video-15 Sec "/>
  </r>
  <r>
    <s v="Kolkata + Howrah"/>
    <s v="Core - CTV"/>
    <x v="0"/>
    <x v="0"/>
    <s v="Entertainment "/>
    <x v="0"/>
    <x v="0"/>
    <s v="Bumper - 6 Sec"/>
  </r>
  <r>
    <s v="Kolkata + Howrah"/>
    <s v="Core - CTV"/>
    <x v="1"/>
    <x v="0"/>
    <s v="Entertainment "/>
    <x v="0"/>
    <x v="0"/>
    <s v="NonSkip-15 Sec  "/>
  </r>
  <r>
    <s v="Kolkata + Howrah"/>
    <s v="Core - CTV"/>
    <x v="1"/>
    <x v="0"/>
    <s v="Entertainment "/>
    <x v="0"/>
    <x v="0"/>
    <s v="Bumper - 6 Sec"/>
  </r>
  <r>
    <s v="Kolkata + Howrah"/>
    <s v="Core"/>
    <x v="2"/>
    <x v="0"/>
    <s v="Entertainment "/>
    <x v="1"/>
    <x v="1"/>
    <s v="Instream - 15 Sec"/>
  </r>
  <r>
    <s v="Kolkata + Howrah"/>
    <s v="Core"/>
    <x v="1"/>
    <x v="0"/>
    <s v="Entertainment "/>
    <x v="1"/>
    <x v="1"/>
    <s v="Bumper - 6 Sec"/>
  </r>
  <r>
    <s v="Kolkata + Howrah"/>
    <s v="Core"/>
    <x v="3"/>
    <x v="1"/>
    <s v="Network "/>
    <x v="2"/>
    <x v="2"/>
    <s v="Large Formats"/>
  </r>
  <r>
    <s v="Kolkata + Howrah"/>
    <s v="Core"/>
    <x v="4"/>
    <x v="1"/>
    <s v="Network "/>
    <x v="1"/>
    <x v="2"/>
    <s v="Interstitial Static banner"/>
  </r>
  <r>
    <s v="Kolkata + Howrah"/>
    <s v="Core"/>
    <x v="5"/>
    <x v="1"/>
    <s v="News"/>
    <x v="1"/>
    <x v="2"/>
    <s v="Page Insert - Innovation"/>
  </r>
  <r>
    <s v="Kolkata + Howrah"/>
    <s v="Core"/>
    <x v="6"/>
    <x v="1"/>
    <s v="News"/>
    <x v="1"/>
    <x v="2"/>
    <s v="Interstitial banner"/>
  </r>
  <r>
    <s v="Kolkata + Howrah"/>
    <s v="Core"/>
    <x v="7"/>
    <x v="1"/>
    <s v="Network "/>
    <x v="1"/>
    <x v="2"/>
    <s v="Single Screen Interstitial "/>
  </r>
  <r>
    <s v="Kolkata + Howrah"/>
    <s v="Core"/>
    <x v="8"/>
    <x v="1"/>
    <s v="Community"/>
    <x v="1"/>
    <x v="2"/>
    <s v="PAC"/>
  </r>
  <r>
    <s v="Kolkata + Howrah"/>
    <s v="Core"/>
    <x v="9"/>
    <x v="1"/>
    <s v="Community"/>
    <x v="1"/>
    <x v="2"/>
    <s v="PAC"/>
  </r>
  <r>
    <s v="Kolkata + Howrah"/>
    <m/>
    <x v="10"/>
    <x v="2"/>
    <m/>
    <x v="3"/>
    <x v="3"/>
    <m/>
  </r>
  <r>
    <s v="Mumbai"/>
    <s v="Core - CTV"/>
    <x v="0"/>
    <x v="0"/>
    <s v="Entertainment "/>
    <x v="0"/>
    <x v="0"/>
    <s v="Video-15 Sec "/>
  </r>
  <r>
    <s v="Mumbai"/>
    <s v="Core - CTV"/>
    <x v="0"/>
    <x v="0"/>
    <s v="Entertainment "/>
    <x v="0"/>
    <x v="0"/>
    <s v="Bumper - 6 Sec"/>
  </r>
  <r>
    <s v="Mumbai"/>
    <s v="Core - CTV"/>
    <x v="1"/>
    <x v="0"/>
    <s v="Entertainment "/>
    <x v="0"/>
    <x v="0"/>
    <s v="NonSkip-15 Sec  "/>
  </r>
  <r>
    <s v="Mumbai"/>
    <s v="Core - CTV"/>
    <x v="1"/>
    <x v="0"/>
    <s v="Entertainment "/>
    <x v="0"/>
    <x v="0"/>
    <s v="Bumper - 6 Sec"/>
  </r>
  <r>
    <s v="Mumbai"/>
    <s v="Core"/>
    <x v="2"/>
    <x v="0"/>
    <s v="Entertainment "/>
    <x v="1"/>
    <x v="1"/>
    <s v="Instream - 15 Sec"/>
  </r>
  <r>
    <s v="Mumbai"/>
    <s v="Core"/>
    <x v="1"/>
    <x v="0"/>
    <s v="Entertainment "/>
    <x v="1"/>
    <x v="1"/>
    <s v="Bumper - 6 Sec"/>
  </r>
  <r>
    <s v="Mumbai"/>
    <s v="Core"/>
    <x v="3"/>
    <x v="1"/>
    <s v="Network "/>
    <x v="2"/>
    <x v="2"/>
    <s v="Large Formats"/>
  </r>
  <r>
    <s v="Mumbai"/>
    <s v="Core"/>
    <x v="4"/>
    <x v="1"/>
    <s v="Network "/>
    <x v="1"/>
    <x v="2"/>
    <s v="Interstitial Static banner"/>
  </r>
  <r>
    <s v="Mumbai"/>
    <s v="Core"/>
    <x v="5"/>
    <x v="1"/>
    <s v="News"/>
    <x v="1"/>
    <x v="2"/>
    <s v="Page Insert - Innovation"/>
  </r>
  <r>
    <s v="Mumbai"/>
    <s v="Core"/>
    <x v="6"/>
    <x v="1"/>
    <s v="News"/>
    <x v="1"/>
    <x v="2"/>
    <s v="Interstitial banner"/>
  </r>
  <r>
    <s v="Mumbai"/>
    <s v="Core"/>
    <x v="7"/>
    <x v="1"/>
    <s v="Network "/>
    <x v="1"/>
    <x v="2"/>
    <s v="Single Screen Interstitial "/>
  </r>
  <r>
    <s v="Mumbai"/>
    <s v="Core"/>
    <x v="8"/>
    <x v="1"/>
    <s v="Community"/>
    <x v="1"/>
    <x v="2"/>
    <s v="PAC"/>
  </r>
  <r>
    <s v="Mumbai"/>
    <s v="Core"/>
    <x v="9"/>
    <x v="1"/>
    <s v="Community"/>
    <x v="1"/>
    <x v="2"/>
    <s v="PAC"/>
  </r>
  <r>
    <s v="Mumbai"/>
    <m/>
    <x v="10"/>
    <x v="2"/>
    <m/>
    <x v="3"/>
    <x v="3"/>
    <m/>
  </r>
  <r>
    <s v="Pune"/>
    <s v="Core - CTV"/>
    <x v="0"/>
    <x v="0"/>
    <s v="Entertainment "/>
    <x v="0"/>
    <x v="0"/>
    <s v="Video-15 Sec "/>
  </r>
  <r>
    <s v="Pune"/>
    <s v="Core - CTV"/>
    <x v="0"/>
    <x v="0"/>
    <s v="Entertainment "/>
    <x v="0"/>
    <x v="0"/>
    <s v="Bumper - 6 Sec"/>
  </r>
  <r>
    <s v="Pune"/>
    <s v="Core - CTV"/>
    <x v="1"/>
    <x v="0"/>
    <s v="Entertainment "/>
    <x v="0"/>
    <x v="0"/>
    <s v="NonSkip-15 Sec  "/>
  </r>
  <r>
    <s v="Pune"/>
    <s v="Core - CTV"/>
    <x v="1"/>
    <x v="0"/>
    <s v="Entertainment "/>
    <x v="0"/>
    <x v="0"/>
    <s v="Bumper - 6 Sec"/>
  </r>
  <r>
    <s v="Pune"/>
    <s v="Core"/>
    <x v="2"/>
    <x v="0"/>
    <s v="Entertainment "/>
    <x v="1"/>
    <x v="1"/>
    <s v="Instream - 15 Sec"/>
  </r>
  <r>
    <s v="Pune"/>
    <s v="Core"/>
    <x v="1"/>
    <x v="0"/>
    <s v="Entertainment "/>
    <x v="1"/>
    <x v="1"/>
    <s v="Bumper - 6 Sec"/>
  </r>
  <r>
    <s v="Pune"/>
    <s v="Core"/>
    <x v="3"/>
    <x v="1"/>
    <s v="Network "/>
    <x v="2"/>
    <x v="2"/>
    <s v="Large Formats"/>
  </r>
  <r>
    <s v="Pune"/>
    <s v="Core"/>
    <x v="4"/>
    <x v="1"/>
    <s v="Network "/>
    <x v="1"/>
    <x v="2"/>
    <s v="Interstitial Static banner"/>
  </r>
  <r>
    <s v="Pune"/>
    <s v="Core"/>
    <x v="5"/>
    <x v="1"/>
    <s v="News"/>
    <x v="1"/>
    <x v="2"/>
    <s v="Page Insert - Innovation"/>
  </r>
  <r>
    <s v="Pune"/>
    <s v="Core"/>
    <x v="6"/>
    <x v="1"/>
    <s v="News"/>
    <x v="1"/>
    <x v="2"/>
    <s v="Interstitial banner"/>
  </r>
  <r>
    <s v="Pune"/>
    <s v="Core"/>
    <x v="7"/>
    <x v="1"/>
    <s v="Network "/>
    <x v="1"/>
    <x v="2"/>
    <s v="Single Screen Interstitial "/>
  </r>
  <r>
    <s v="Pune"/>
    <s v="Core"/>
    <x v="8"/>
    <x v="1"/>
    <s v="Community"/>
    <x v="1"/>
    <x v="2"/>
    <s v="PAC"/>
  </r>
  <r>
    <s v="Pune"/>
    <s v="Core"/>
    <x v="9"/>
    <x v="1"/>
    <s v="Community"/>
    <x v="1"/>
    <x v="2"/>
    <s v="PAC"/>
  </r>
  <r>
    <s v="Pune"/>
    <m/>
    <x v="10"/>
    <x v="2"/>
    <m/>
    <x v="3"/>
    <x v="3"/>
    <m/>
  </r>
  <r>
    <s v="Coimbatore"/>
    <s v="Core - CTV"/>
    <x v="0"/>
    <x v="0"/>
    <s v="Entertainment "/>
    <x v="0"/>
    <x v="0"/>
    <s v="Video-15 Sec "/>
  </r>
  <r>
    <s v="Coimbatore"/>
    <s v="Core - CTV"/>
    <x v="0"/>
    <x v="0"/>
    <s v="Entertainment "/>
    <x v="0"/>
    <x v="0"/>
    <s v="Bumper - 6 Sec"/>
  </r>
  <r>
    <s v="Coimbatore"/>
    <s v="Core - CTV"/>
    <x v="1"/>
    <x v="0"/>
    <s v="Entertainment "/>
    <x v="0"/>
    <x v="0"/>
    <s v="NonSkip-15 Sec  "/>
  </r>
  <r>
    <s v="Coimbatore"/>
    <s v="Core - CTV"/>
    <x v="1"/>
    <x v="0"/>
    <s v="Entertainment "/>
    <x v="0"/>
    <x v="0"/>
    <s v="Bumper - 6 Sec"/>
  </r>
  <r>
    <s v="Coimbatore"/>
    <s v="Core"/>
    <x v="2"/>
    <x v="0"/>
    <s v="Entertainment "/>
    <x v="1"/>
    <x v="1"/>
    <s v="Instream - 15 Sec"/>
  </r>
  <r>
    <s v="Coimbatore"/>
    <s v="Core"/>
    <x v="1"/>
    <x v="0"/>
    <s v="Entertainment "/>
    <x v="1"/>
    <x v="1"/>
    <s v="Bumper - 6 Sec"/>
  </r>
  <r>
    <s v="Coimbatore"/>
    <s v="Core"/>
    <x v="3"/>
    <x v="1"/>
    <s v="Network "/>
    <x v="2"/>
    <x v="2"/>
    <s v="Large Formats"/>
  </r>
  <r>
    <s v="Coimbatore"/>
    <s v="Core"/>
    <x v="4"/>
    <x v="1"/>
    <s v="Network "/>
    <x v="1"/>
    <x v="2"/>
    <s v="Interstitial Static banner"/>
  </r>
  <r>
    <s v="Coimbatore"/>
    <s v="Core"/>
    <x v="5"/>
    <x v="1"/>
    <s v="News"/>
    <x v="1"/>
    <x v="2"/>
    <s v="Page Insert - Innovation"/>
  </r>
  <r>
    <s v="Coimbatore"/>
    <m/>
    <x v="10"/>
    <x v="2"/>
    <m/>
    <x v="3"/>
    <x v="3"/>
    <m/>
  </r>
  <r>
    <s v="Jaipur"/>
    <s v="Core - CTV"/>
    <x v="0"/>
    <x v="0"/>
    <s v="Entertainment "/>
    <x v="0"/>
    <x v="0"/>
    <s v="Video-15 Sec "/>
  </r>
  <r>
    <s v="Jaipur"/>
    <s v="Core - CTV"/>
    <x v="0"/>
    <x v="0"/>
    <s v="Entertainment "/>
    <x v="0"/>
    <x v="0"/>
    <s v="Bumper - 6 Sec"/>
  </r>
  <r>
    <s v="Jaipur"/>
    <s v="Core - CTV"/>
    <x v="1"/>
    <x v="0"/>
    <s v="Entertainment "/>
    <x v="0"/>
    <x v="0"/>
    <s v="NonSkip-15 Sec  "/>
  </r>
  <r>
    <s v="Jaipur"/>
    <s v="Core - CTV"/>
    <x v="1"/>
    <x v="0"/>
    <s v="Entertainment "/>
    <x v="0"/>
    <x v="0"/>
    <s v="Bumper - 6 Sec"/>
  </r>
  <r>
    <s v="Jaipur"/>
    <s v="Core"/>
    <x v="2"/>
    <x v="0"/>
    <s v="Entertainment "/>
    <x v="1"/>
    <x v="1"/>
    <s v="Instream - 15 Sec"/>
  </r>
  <r>
    <s v="Jaipur"/>
    <s v="Core"/>
    <x v="1"/>
    <x v="0"/>
    <s v="Entertainment "/>
    <x v="1"/>
    <x v="1"/>
    <s v="Bumper - 6 Sec"/>
  </r>
  <r>
    <s v="Jaipur"/>
    <s v="Core"/>
    <x v="3"/>
    <x v="1"/>
    <s v="Network "/>
    <x v="2"/>
    <x v="2"/>
    <s v="Large Formats"/>
  </r>
  <r>
    <s v="Jaipur"/>
    <s v="Core"/>
    <x v="4"/>
    <x v="1"/>
    <s v="Network "/>
    <x v="1"/>
    <x v="2"/>
    <s v="Interstitial Static banner"/>
  </r>
  <r>
    <s v="Jaipur"/>
    <s v="Core"/>
    <x v="5"/>
    <x v="1"/>
    <s v="News"/>
    <x v="1"/>
    <x v="2"/>
    <s v="Page Insert - Innovation"/>
  </r>
  <r>
    <s v="Jaipur"/>
    <m/>
    <x v="10"/>
    <x v="2"/>
    <m/>
    <x v="3"/>
    <x v="3"/>
    <m/>
  </r>
  <r>
    <s v="Kochi"/>
    <s v="Core - CTV"/>
    <x v="0"/>
    <x v="0"/>
    <s v="Entertainment "/>
    <x v="0"/>
    <x v="0"/>
    <s v="Video-15 Sec "/>
  </r>
  <r>
    <s v="Kochi"/>
    <s v="Core - CTV"/>
    <x v="0"/>
    <x v="0"/>
    <s v="Entertainment "/>
    <x v="0"/>
    <x v="0"/>
    <s v="Bumper - 6 Sec"/>
  </r>
  <r>
    <s v="Kochi"/>
    <s v="Core - CTV"/>
    <x v="1"/>
    <x v="0"/>
    <s v="Entertainment "/>
    <x v="0"/>
    <x v="0"/>
    <s v="NonSkip-15 Sec  "/>
  </r>
  <r>
    <s v="Kochi"/>
    <s v="Core - CTV"/>
    <x v="1"/>
    <x v="0"/>
    <s v="Entertainment "/>
    <x v="0"/>
    <x v="0"/>
    <s v="Bumper - 6 Sec"/>
  </r>
  <r>
    <s v="Kochi"/>
    <s v="Core"/>
    <x v="2"/>
    <x v="0"/>
    <s v="Entertainment "/>
    <x v="1"/>
    <x v="1"/>
    <s v="Instream - 15 Sec"/>
  </r>
  <r>
    <s v="Kochi"/>
    <s v="Core"/>
    <x v="1"/>
    <x v="0"/>
    <s v="Entertainment "/>
    <x v="1"/>
    <x v="1"/>
    <s v="Bumper - 6 Sec"/>
  </r>
  <r>
    <s v="Kochi"/>
    <s v="Core"/>
    <x v="3"/>
    <x v="1"/>
    <s v="Network "/>
    <x v="2"/>
    <x v="2"/>
    <s v="Large Formats"/>
  </r>
  <r>
    <s v="Kochi"/>
    <s v="Core"/>
    <x v="4"/>
    <x v="1"/>
    <s v="Network "/>
    <x v="1"/>
    <x v="2"/>
    <s v="Interstitial Static banner"/>
  </r>
  <r>
    <s v="Kochi"/>
    <s v="Core"/>
    <x v="5"/>
    <x v="1"/>
    <s v="News"/>
    <x v="1"/>
    <x v="2"/>
    <s v="Page Insert - Innovation"/>
  </r>
  <r>
    <s v="Kochi"/>
    <m/>
    <x v="10"/>
    <x v="2"/>
    <m/>
    <x v="3"/>
    <x v="3"/>
    <m/>
  </r>
  <r>
    <s v="Lucknow"/>
    <s v="Core - CTV"/>
    <x v="0"/>
    <x v="0"/>
    <s v="Entertainment "/>
    <x v="0"/>
    <x v="0"/>
    <s v="Video-15 Sec "/>
  </r>
  <r>
    <s v="Lucknow"/>
    <s v="Core - CTV"/>
    <x v="0"/>
    <x v="0"/>
    <s v="Entertainment "/>
    <x v="0"/>
    <x v="0"/>
    <s v="Bumper - 6 Sec"/>
  </r>
  <r>
    <s v="Lucknow"/>
    <s v="Core - CTV"/>
    <x v="1"/>
    <x v="0"/>
    <s v="Entertainment "/>
    <x v="0"/>
    <x v="0"/>
    <s v="NonSkip-15 Sec  "/>
  </r>
  <r>
    <s v="Lucknow"/>
    <s v="Core - CTV"/>
    <x v="1"/>
    <x v="0"/>
    <s v="Entertainment "/>
    <x v="0"/>
    <x v="0"/>
    <s v="Bumper - 6 Sec"/>
  </r>
  <r>
    <s v="Lucknow"/>
    <s v="Core"/>
    <x v="2"/>
    <x v="0"/>
    <s v="Entertainment "/>
    <x v="1"/>
    <x v="1"/>
    <s v="Instream - 15 Sec"/>
  </r>
  <r>
    <s v="Lucknow"/>
    <s v="Core"/>
    <x v="1"/>
    <x v="0"/>
    <s v="Entertainment "/>
    <x v="1"/>
    <x v="1"/>
    <s v="Bumper - 6 Sec"/>
  </r>
  <r>
    <s v="Lucknow"/>
    <s v="Core"/>
    <x v="3"/>
    <x v="1"/>
    <s v="Network "/>
    <x v="2"/>
    <x v="2"/>
    <s v="Large Formats"/>
  </r>
  <r>
    <s v="Lucknow"/>
    <s v="Core"/>
    <x v="4"/>
    <x v="1"/>
    <s v="Network "/>
    <x v="1"/>
    <x v="2"/>
    <s v="Interstitial Static banner"/>
  </r>
  <r>
    <s v="Lucknow"/>
    <s v="Core"/>
    <x v="5"/>
    <x v="1"/>
    <s v="News"/>
    <x v="1"/>
    <x v="2"/>
    <s v="Page Insert - Innovation"/>
  </r>
  <r>
    <s v="Lucknow"/>
    <m/>
    <x v="10"/>
    <x v="2"/>
    <m/>
    <x v="3"/>
    <x v="3"/>
    <m/>
  </r>
  <r>
    <s v="Patna"/>
    <s v="Core - CTV"/>
    <x v="0"/>
    <x v="0"/>
    <s v="Entertainment "/>
    <x v="0"/>
    <x v="0"/>
    <s v="Video-15 Sec "/>
  </r>
  <r>
    <s v="Patna"/>
    <s v="Core - CTV"/>
    <x v="0"/>
    <x v="0"/>
    <s v="Entertainment "/>
    <x v="0"/>
    <x v="0"/>
    <s v="Bumper - 6 Sec"/>
  </r>
  <r>
    <s v="Patna"/>
    <s v="Core - CTV"/>
    <x v="1"/>
    <x v="0"/>
    <s v="Entertainment "/>
    <x v="0"/>
    <x v="0"/>
    <s v="NonSkip-15 Sec  "/>
  </r>
  <r>
    <s v="Patna"/>
    <s v="Core - CTV"/>
    <x v="1"/>
    <x v="0"/>
    <s v="Entertainment "/>
    <x v="0"/>
    <x v="0"/>
    <s v="Bumper - 6 Sec"/>
  </r>
  <r>
    <s v="Patna"/>
    <s v="Core"/>
    <x v="2"/>
    <x v="0"/>
    <s v="Entertainment "/>
    <x v="1"/>
    <x v="1"/>
    <s v="Instream - 15 Sec"/>
  </r>
  <r>
    <s v="Patna"/>
    <s v="Core"/>
    <x v="1"/>
    <x v="0"/>
    <s v="Entertainment "/>
    <x v="1"/>
    <x v="1"/>
    <s v="Bumper - 6 Sec"/>
  </r>
  <r>
    <s v="Patna"/>
    <s v="Core"/>
    <x v="3"/>
    <x v="1"/>
    <s v="Network "/>
    <x v="2"/>
    <x v="2"/>
    <s v="Large Formats"/>
  </r>
  <r>
    <s v="Patna"/>
    <s v="Core"/>
    <x v="4"/>
    <x v="1"/>
    <s v="Network "/>
    <x v="1"/>
    <x v="2"/>
    <s v="Interstitial Static banner"/>
  </r>
  <r>
    <s v="Patna"/>
    <s v="Core"/>
    <x v="5"/>
    <x v="1"/>
    <s v="News"/>
    <x v="1"/>
    <x v="2"/>
    <s v="Page Insert - Innovation"/>
  </r>
  <r>
    <s v="Patna"/>
    <m/>
    <x v="10"/>
    <x v="2"/>
    <m/>
    <x v="3"/>
    <x v="3"/>
    <m/>
  </r>
  <r>
    <s v="Surat"/>
    <s v="Core - CTV"/>
    <x v="0"/>
    <x v="0"/>
    <s v="Entertainment "/>
    <x v="0"/>
    <x v="0"/>
    <s v="Video-15 Sec "/>
  </r>
  <r>
    <s v="Surat"/>
    <s v="Core - CTV"/>
    <x v="0"/>
    <x v="0"/>
    <s v="Entertainment "/>
    <x v="0"/>
    <x v="0"/>
    <s v="Bumper - 6 Sec"/>
  </r>
  <r>
    <s v="Surat"/>
    <s v="Core - CTV"/>
    <x v="1"/>
    <x v="0"/>
    <s v="Entertainment "/>
    <x v="0"/>
    <x v="0"/>
    <s v="NonSkip-15 Sec  "/>
  </r>
  <r>
    <s v="Surat"/>
    <s v="Core - CTV"/>
    <x v="1"/>
    <x v="0"/>
    <s v="Entertainment "/>
    <x v="0"/>
    <x v="0"/>
    <s v="Bumper - 6 Sec"/>
  </r>
  <r>
    <s v="Surat"/>
    <s v="Core"/>
    <x v="2"/>
    <x v="0"/>
    <s v="Entertainment "/>
    <x v="1"/>
    <x v="1"/>
    <s v="Instream - 15 Sec"/>
  </r>
  <r>
    <s v="Surat"/>
    <s v="Core"/>
    <x v="1"/>
    <x v="0"/>
    <s v="Entertainment "/>
    <x v="1"/>
    <x v="1"/>
    <s v="Bumper - 6 Sec"/>
  </r>
  <r>
    <s v="Surat"/>
    <s v="Core"/>
    <x v="3"/>
    <x v="1"/>
    <s v="Network "/>
    <x v="2"/>
    <x v="2"/>
    <s v="Large Formats"/>
  </r>
  <r>
    <s v="Surat"/>
    <s v="Core"/>
    <x v="4"/>
    <x v="1"/>
    <s v="Network "/>
    <x v="1"/>
    <x v="2"/>
    <s v="Interstitial Static banner"/>
  </r>
  <r>
    <s v="Surat"/>
    <s v="Core"/>
    <x v="5"/>
    <x v="1"/>
    <s v="News"/>
    <x v="1"/>
    <x v="2"/>
    <s v="Page Insert - Innovation"/>
  </r>
  <r>
    <s v="Surat"/>
    <m/>
    <x v="10"/>
    <x v="2"/>
    <m/>
    <x v="3"/>
    <x v="3"/>
    <m/>
  </r>
  <r>
    <s v="Visakhapatnam"/>
    <s v="Core - CTV"/>
    <x v="0"/>
    <x v="0"/>
    <s v="Entertainment "/>
    <x v="0"/>
    <x v="0"/>
    <s v="Video-15 Sec "/>
  </r>
  <r>
    <s v="Visakhapatnam"/>
    <s v="Core - CTV"/>
    <x v="0"/>
    <x v="0"/>
    <s v="Entertainment "/>
    <x v="0"/>
    <x v="0"/>
    <s v="Bumper - 6 Sec"/>
  </r>
  <r>
    <s v="Visakhapatnam"/>
    <s v="Core - CTV"/>
    <x v="1"/>
    <x v="0"/>
    <s v="Entertainment "/>
    <x v="0"/>
    <x v="0"/>
    <s v="NonSkip-15 Sec  "/>
  </r>
  <r>
    <s v="Visakhapatnam"/>
    <s v="Core - CTV"/>
    <x v="1"/>
    <x v="0"/>
    <s v="Entertainment "/>
    <x v="0"/>
    <x v="0"/>
    <s v="Bumper - 6 Sec"/>
  </r>
  <r>
    <s v="Visakhapatnam"/>
    <s v="Core"/>
    <x v="2"/>
    <x v="0"/>
    <s v="Entertainment "/>
    <x v="1"/>
    <x v="1"/>
    <s v="Instream - 15 Sec"/>
  </r>
  <r>
    <s v="Visakhapatnam"/>
    <s v="Core"/>
    <x v="1"/>
    <x v="0"/>
    <s v="Entertainment "/>
    <x v="1"/>
    <x v="1"/>
    <s v="Bumper - 6 Sec"/>
  </r>
  <r>
    <s v="Visakhapatnam"/>
    <s v="Core"/>
    <x v="3"/>
    <x v="1"/>
    <s v="Network "/>
    <x v="2"/>
    <x v="2"/>
    <s v="Large Formats"/>
  </r>
  <r>
    <s v="Visakhapatnam"/>
    <s v="Core"/>
    <x v="4"/>
    <x v="1"/>
    <s v="Network "/>
    <x v="1"/>
    <x v="2"/>
    <s v="Interstitial Static banner"/>
  </r>
  <r>
    <s v="Visakhapatnam"/>
    <s v="Core"/>
    <x v="5"/>
    <x v="1"/>
    <s v="News"/>
    <x v="1"/>
    <x v="2"/>
    <s v="Page Insert - Innovation"/>
  </r>
  <r>
    <s v="Visakhapatnam"/>
    <m/>
    <x v="10"/>
    <x v="2"/>
    <m/>
    <x v="3"/>
    <x v="3"/>
    <m/>
  </r>
  <r>
    <s v="Rest of T57 - Hindi"/>
    <s v="Core - CTV"/>
    <x v="0"/>
    <x v="0"/>
    <s v="Entertainment "/>
    <x v="0"/>
    <x v="0"/>
    <s v="Video-15 Sec "/>
  </r>
  <r>
    <s v="Rest of T57 - Hindi"/>
    <s v="Core - CTV"/>
    <x v="0"/>
    <x v="0"/>
    <s v="Entertainment "/>
    <x v="0"/>
    <x v="0"/>
    <s v="Bumper - 6 Sec"/>
  </r>
  <r>
    <s v="Rest of T57 - Hindi"/>
    <s v="Core - CTV"/>
    <x v="1"/>
    <x v="0"/>
    <s v="Entertainment "/>
    <x v="0"/>
    <x v="0"/>
    <s v="NonSkip-15 Sec  "/>
  </r>
  <r>
    <s v="Rest of T57 - Hindi"/>
    <s v="Core - CTV"/>
    <x v="1"/>
    <x v="0"/>
    <s v="Entertainment "/>
    <x v="0"/>
    <x v="0"/>
    <s v="Bumper - 6 Sec"/>
  </r>
  <r>
    <s v="Rest of T57 - Hindi"/>
    <s v="Core"/>
    <x v="2"/>
    <x v="0"/>
    <s v="Entertainment "/>
    <x v="1"/>
    <x v="1"/>
    <s v="Instream - 15 Sec"/>
  </r>
  <r>
    <s v="Rest of T57 - Hindi"/>
    <s v="Core"/>
    <x v="1"/>
    <x v="0"/>
    <s v="Entertainment "/>
    <x v="1"/>
    <x v="1"/>
    <s v="Bumper - 6 Sec"/>
  </r>
  <r>
    <s v="Rest of T57 - Tamil"/>
    <s v="Core - CTV"/>
    <x v="0"/>
    <x v="0"/>
    <s v="Entertainment "/>
    <x v="0"/>
    <x v="0"/>
    <s v="Video-15 Sec "/>
  </r>
  <r>
    <s v="Rest of T57 - Tamil"/>
    <s v="Core - CTV"/>
    <x v="0"/>
    <x v="0"/>
    <s v="Entertainment "/>
    <x v="0"/>
    <x v="0"/>
    <s v="Bumper - 6 Sec"/>
  </r>
  <r>
    <s v="Rest of T57 - Tamil"/>
    <s v="Core - CTV"/>
    <x v="1"/>
    <x v="0"/>
    <s v="Entertainment "/>
    <x v="0"/>
    <x v="0"/>
    <s v="NonSkip-15 Sec  "/>
  </r>
  <r>
    <s v="Rest of T57 - Tamil"/>
    <s v="Core - CTV"/>
    <x v="1"/>
    <x v="0"/>
    <s v="Entertainment "/>
    <x v="0"/>
    <x v="0"/>
    <s v="Bumper - 6 Sec"/>
  </r>
  <r>
    <s v="Rest of T57 - Tamil"/>
    <s v="Core"/>
    <x v="2"/>
    <x v="0"/>
    <s v="Entertainment "/>
    <x v="1"/>
    <x v="1"/>
    <s v="Instream - 15 Sec"/>
  </r>
  <r>
    <s v="Rest of T57 - Tamil"/>
    <s v="Core"/>
    <x v="1"/>
    <x v="0"/>
    <s v="Entertainment "/>
    <x v="1"/>
    <x v="1"/>
    <s v="Bumper - 6 Sec"/>
  </r>
  <r>
    <s v="Rest of T57 - Telugu"/>
    <s v="Core - CTV"/>
    <x v="0"/>
    <x v="0"/>
    <s v="Entertainment "/>
    <x v="0"/>
    <x v="0"/>
    <s v="Video-15 Sec "/>
  </r>
  <r>
    <s v="Rest of T57 - Telugu"/>
    <s v="Core - CTV"/>
    <x v="0"/>
    <x v="0"/>
    <s v="Entertainment "/>
    <x v="0"/>
    <x v="0"/>
    <s v="Bumper - 6 Sec"/>
  </r>
  <r>
    <s v="Rest of T57 - Telugu"/>
    <s v="Core - CTV"/>
    <x v="1"/>
    <x v="0"/>
    <s v="Entertainment "/>
    <x v="0"/>
    <x v="0"/>
    <s v="NonSkip-15 Sec  "/>
  </r>
  <r>
    <s v="Rest of T57 - Telugu"/>
    <s v="Core - CTV"/>
    <x v="1"/>
    <x v="0"/>
    <s v="Entertainment "/>
    <x v="0"/>
    <x v="0"/>
    <s v="Bumper - 6 Sec"/>
  </r>
  <r>
    <s v="Rest of T57 - Telugu"/>
    <s v="Core"/>
    <x v="2"/>
    <x v="0"/>
    <s v="Entertainment "/>
    <x v="1"/>
    <x v="1"/>
    <s v="Instream - 15 Sec"/>
  </r>
  <r>
    <s v="Rest of T57 - Telugu"/>
    <s v="Core"/>
    <x v="1"/>
    <x v="0"/>
    <s v="Entertainment "/>
    <x v="1"/>
    <x v="1"/>
    <s v="Bumper - 6 Sec"/>
  </r>
  <r>
    <s v="Rest of T57 - Kannada"/>
    <s v="Core - CTV"/>
    <x v="0"/>
    <x v="0"/>
    <s v="Entertainment "/>
    <x v="0"/>
    <x v="0"/>
    <s v="Video-15 Sec "/>
  </r>
  <r>
    <s v="Rest of T57 - Kannada"/>
    <s v="Core - CTV"/>
    <x v="0"/>
    <x v="0"/>
    <s v="Entertainment "/>
    <x v="0"/>
    <x v="0"/>
    <s v="Bumper - 6 Sec"/>
  </r>
  <r>
    <s v="Rest of T57 - Kannada"/>
    <s v="Core - CTV"/>
    <x v="1"/>
    <x v="0"/>
    <s v="Entertainment "/>
    <x v="0"/>
    <x v="0"/>
    <s v="NonSkip-15 Sec  "/>
  </r>
  <r>
    <s v="Rest of T57 - Kannada"/>
    <s v="Core - CTV"/>
    <x v="1"/>
    <x v="0"/>
    <s v="Entertainment "/>
    <x v="0"/>
    <x v="0"/>
    <s v="Bumper - 6 Sec"/>
  </r>
  <r>
    <s v="Rest of T57 - Kannada"/>
    <s v="Core"/>
    <x v="2"/>
    <x v="0"/>
    <s v="Entertainment "/>
    <x v="1"/>
    <x v="1"/>
    <s v="Instream - 15 Sec"/>
  </r>
  <r>
    <s v="Rest of T57 - Kannada"/>
    <s v="Core"/>
    <x v="1"/>
    <x v="0"/>
    <s v="Entertainment "/>
    <x v="1"/>
    <x v="1"/>
    <s v="Bumper - 6 Sec"/>
  </r>
  <r>
    <s v="Rest of T57"/>
    <s v="Core"/>
    <x v="3"/>
    <x v="1"/>
    <s v="Network "/>
    <x v="2"/>
    <x v="2"/>
    <s v="Large Formats"/>
  </r>
  <r>
    <s v="Rest of T57"/>
    <m/>
    <x v="10"/>
    <x v="2"/>
    <m/>
    <x v="3"/>
    <x v="3"/>
    <m/>
  </r>
  <r>
    <s v="All Geos"/>
    <s v="Core"/>
    <x v="14"/>
    <x v="1"/>
    <s v="DMP"/>
    <x v="2"/>
    <x v="2"/>
    <s v="Banners"/>
  </r>
  <r>
    <s v="All Geos"/>
    <s v="Core"/>
    <x v="15"/>
    <x v="1"/>
    <s v="DMP"/>
    <x v="2"/>
    <x v="2"/>
    <s v="Banners"/>
  </r>
  <r>
    <s v="All Geos"/>
    <s v="Core"/>
    <x v="16"/>
    <x v="1"/>
    <s v="DMP"/>
    <x v="2"/>
    <x v="2"/>
    <s v="Banners"/>
  </r>
  <r>
    <s v="DMP Test"/>
    <m/>
    <x v="17"/>
    <x v="2"/>
    <m/>
    <x v="3"/>
    <x v="3"/>
    <m/>
  </r>
  <r>
    <s v="All Geos"/>
    <s v="Core"/>
    <x v="18"/>
    <x v="1"/>
    <s v="Social"/>
    <x v="1"/>
    <x v="2"/>
    <s v="Banner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FEC379-2E04-435F-A8A9-DDFEBA03E1A1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A18" firstHeaderRow="1" firstDataRow="1" firstDataCol="1" rowPageCount="2" colPageCount="1"/>
  <pivotFields count="8">
    <pivotField showAll="0"/>
    <pivotField showAll="0"/>
    <pivotField axis="axisRow" showAll="0">
      <items count="20">
        <item x="0"/>
        <item x="5"/>
        <item x="14"/>
        <item x="3"/>
        <item x="15"/>
        <item x="6"/>
        <item x="7"/>
        <item x="4"/>
        <item x="2"/>
        <item x="18"/>
        <item x="16"/>
        <item x="8"/>
        <item x="9"/>
        <item x="11"/>
        <item x="12"/>
        <item x="10"/>
        <item x="1"/>
        <item x="13"/>
        <item x="17"/>
        <item t="default"/>
      </items>
    </pivotField>
    <pivotField axis="axisPage" showAll="0">
      <items count="4">
        <item x="1"/>
        <item x="0"/>
        <item x="2"/>
        <item t="default"/>
      </items>
    </pivotField>
    <pivotField showAll="0"/>
    <pivotField axis="axisPage" multipleItemSelectionAllowed="1" showAll="0">
      <items count="5">
        <item h="1" x="0"/>
        <item x="2"/>
        <item x="1"/>
        <item h="1" x="3"/>
        <item t="default"/>
      </items>
    </pivotField>
    <pivotField showAll="0">
      <items count="5">
        <item x="0"/>
        <item x="1"/>
        <item x="2"/>
        <item x="3"/>
        <item t="default"/>
      </items>
    </pivotField>
    <pivotField showAll="0"/>
  </pivotFields>
  <rowFields count="1">
    <field x="2"/>
  </rowFields>
  <rowItems count="14">
    <i>
      <x v="1"/>
    </i>
    <i>
      <x v="2"/>
    </i>
    <i>
      <x v="3"/>
    </i>
    <i>
      <x v="4"/>
    </i>
    <i>
      <x v="5"/>
    </i>
    <i>
      <x v="6"/>
    </i>
    <i>
      <x v="7"/>
    </i>
    <i>
      <x v="9"/>
    </i>
    <i>
      <x v="10"/>
    </i>
    <i>
      <x v="11"/>
    </i>
    <i>
      <x v="12"/>
    </i>
    <i>
      <x v="14"/>
    </i>
    <i>
      <x v="17"/>
    </i>
    <i t="grand">
      <x/>
    </i>
  </rowItems>
  <colItems count="1">
    <i/>
  </colItems>
  <pageFields count="2">
    <pageField fld="5" hier="-1"/>
    <pageField fld="3" item="0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31ABE-6B05-4C68-915F-C269600E1BC4}">
  <dimension ref="A3:T16"/>
  <sheetViews>
    <sheetView showGridLines="0" zoomScale="90" zoomScaleNormal="90" workbookViewId="0">
      <selection activeCell="I11" sqref="I11:J15"/>
    </sheetView>
  </sheetViews>
  <sheetFormatPr defaultRowHeight="14.5" x14ac:dyDescent="0.35"/>
  <cols>
    <col min="1" max="1" width="7.36328125" bestFit="1" customWidth="1"/>
    <col min="2" max="3" width="11.54296875" style="4" bestFit="1" customWidth="1"/>
    <col min="4" max="4" width="5.54296875" style="4" bestFit="1" customWidth="1"/>
    <col min="5" max="5" width="5.453125" style="4" bestFit="1" customWidth="1"/>
    <col min="6" max="6" width="8.90625" style="4"/>
    <col min="9" max="9" width="20.36328125" bestFit="1" customWidth="1"/>
    <col min="10" max="10" width="7.54296875" bestFit="1" customWidth="1"/>
    <col min="11" max="11" width="10" bestFit="1" customWidth="1"/>
    <col min="12" max="12" width="4.453125" bestFit="1" customWidth="1"/>
    <col min="13" max="13" width="12" bestFit="1" customWidth="1"/>
    <col min="14" max="14" width="11" bestFit="1" customWidth="1"/>
    <col min="15" max="15" width="2.90625" bestFit="1" customWidth="1"/>
    <col min="16" max="16" width="3.90625" bestFit="1" customWidth="1"/>
  </cols>
  <sheetData>
    <row r="3" spans="1:20" x14ac:dyDescent="0.35">
      <c r="A3" s="19" t="s">
        <v>0</v>
      </c>
      <c r="B3" s="19" t="s">
        <v>1</v>
      </c>
      <c r="C3" s="19" t="s">
        <v>2</v>
      </c>
      <c r="D3" s="19" t="s">
        <v>3</v>
      </c>
      <c r="E3" s="19" t="s">
        <v>4</v>
      </c>
    </row>
    <row r="4" spans="1:20" x14ac:dyDescent="0.35">
      <c r="A4" s="32" t="s">
        <v>5</v>
      </c>
      <c r="B4" s="2" t="e">
        <f>#REF!</f>
        <v>#REF!</v>
      </c>
      <c r="C4" s="2" t="e">
        <f>#REF!</f>
        <v>#REF!</v>
      </c>
      <c r="D4" s="11" t="e">
        <f>C4/10000000</f>
        <v>#REF!</v>
      </c>
      <c r="E4" s="3" t="e">
        <f>D4/$D$7</f>
        <v>#REF!</v>
      </c>
      <c r="H4" s="44">
        <v>0.25</v>
      </c>
      <c r="I4" s="44">
        <v>0.2</v>
      </c>
      <c r="J4" s="44">
        <v>0.2</v>
      </c>
      <c r="K4" s="44">
        <v>0.15</v>
      </c>
      <c r="L4" s="44">
        <v>0.1</v>
      </c>
      <c r="M4" s="44">
        <v>0.1</v>
      </c>
    </row>
    <row r="5" spans="1:20" x14ac:dyDescent="0.35">
      <c r="A5" s="32" t="s">
        <v>6</v>
      </c>
      <c r="B5" s="2">
        <f>+Impact!L5</f>
        <v>28294117.647058826</v>
      </c>
      <c r="C5" s="2">
        <f>+Impact!M5</f>
        <v>24050000</v>
      </c>
      <c r="D5" s="11">
        <f>C5/10000000</f>
        <v>2.4049999999999998</v>
      </c>
      <c r="E5" s="3" t="e">
        <f>D5/$D$7</f>
        <v>#REF!</v>
      </c>
      <c r="H5" s="44"/>
      <c r="I5" s="44"/>
      <c r="J5" s="44"/>
      <c r="K5" s="44"/>
      <c r="L5" s="44"/>
      <c r="M5" s="44"/>
    </row>
    <row r="6" spans="1:20" x14ac:dyDescent="0.35">
      <c r="A6" s="32" t="s">
        <v>7</v>
      </c>
      <c r="B6" s="2">
        <f>C6/0.85</f>
        <v>40738235.294117644</v>
      </c>
      <c r="C6" s="2">
        <v>34627500</v>
      </c>
      <c r="D6" s="11">
        <f>C6/10000000</f>
        <v>3.4627500000000002</v>
      </c>
      <c r="E6" s="3" t="e">
        <f>D6/$D$7</f>
        <v>#REF!</v>
      </c>
      <c r="S6">
        <v>0.27</v>
      </c>
      <c r="T6">
        <v>1.2</v>
      </c>
    </row>
    <row r="7" spans="1:20" x14ac:dyDescent="0.35">
      <c r="A7" s="19"/>
      <c r="B7" s="42" t="e">
        <f>SUM(B4:B6)</f>
        <v>#REF!</v>
      </c>
      <c r="C7" s="42" t="e">
        <f>SUM(C4:C6)</f>
        <v>#REF!</v>
      </c>
      <c r="D7" s="48" t="e">
        <f>SUM(D4:D6)</f>
        <v>#REF!</v>
      </c>
      <c r="E7" s="45" t="e">
        <f>SUM(E4:E6)</f>
        <v>#REF!</v>
      </c>
      <c r="S7">
        <v>37</v>
      </c>
      <c r="T7">
        <v>37</v>
      </c>
    </row>
    <row r="8" spans="1:20" x14ac:dyDescent="0.35">
      <c r="C8" s="4">
        <v>86916078.566252828</v>
      </c>
      <c r="D8" s="49">
        <v>13</v>
      </c>
      <c r="S8">
        <f>S7*S6</f>
        <v>9.99</v>
      </c>
      <c r="T8">
        <f>T7*T6</f>
        <v>44.4</v>
      </c>
    </row>
    <row r="9" spans="1:20" x14ac:dyDescent="0.35">
      <c r="C9" s="7" t="e">
        <f>C8-C4</f>
        <v>#REF!</v>
      </c>
      <c r="D9" s="49" t="e">
        <f>D7-D8</f>
        <v>#REF!</v>
      </c>
      <c r="M9">
        <v>1.5</v>
      </c>
    </row>
    <row r="10" spans="1:20" ht="15" thickBot="1" x14ac:dyDescent="0.4"/>
    <row r="11" spans="1:20" x14ac:dyDescent="0.35">
      <c r="I11" s="59" t="s">
        <v>8</v>
      </c>
      <c r="J11" s="60" t="s">
        <v>9</v>
      </c>
    </row>
    <row r="12" spans="1:20" x14ac:dyDescent="0.35">
      <c r="I12" s="61" t="s">
        <v>10</v>
      </c>
      <c r="J12" s="62">
        <v>408.18876938472067</v>
      </c>
      <c r="K12">
        <v>150000000</v>
      </c>
      <c r="L12">
        <f>K12/10000000</f>
        <v>15</v>
      </c>
      <c r="M12">
        <v>367477.03820000001</v>
      </c>
      <c r="N12" s="6">
        <f>M12*1000</f>
        <v>367477038.19999999</v>
      </c>
      <c r="O12" s="6">
        <f>N12/K12</f>
        <v>2.4498469213333331</v>
      </c>
      <c r="P12" s="6">
        <f>K12/M12</f>
        <v>408.18876938472067</v>
      </c>
      <c r="Q12">
        <f>P12/2.2</f>
        <v>185.54034972032755</v>
      </c>
    </row>
    <row r="13" spans="1:20" x14ac:dyDescent="0.35">
      <c r="I13" s="61" t="s">
        <v>11</v>
      </c>
      <c r="J13" s="62">
        <v>259.43454176178153</v>
      </c>
      <c r="K13">
        <v>150000000</v>
      </c>
      <c r="L13">
        <f t="shared" ref="L13:L15" si="0">K13/10000000</f>
        <v>15</v>
      </c>
      <c r="M13">
        <v>578180.52670000005</v>
      </c>
      <c r="N13" s="6">
        <f>M13*1000</f>
        <v>578180526.70000005</v>
      </c>
      <c r="O13" s="6">
        <f>N13/K13</f>
        <v>3.8545368446666668</v>
      </c>
      <c r="P13" s="6">
        <f>K13/M13</f>
        <v>259.43454176178153</v>
      </c>
      <c r="Q13">
        <f t="shared" ref="Q13:Q15" si="1">P13/2.2</f>
        <v>117.92479170990069</v>
      </c>
    </row>
    <row r="14" spans="1:20" x14ac:dyDescent="0.35">
      <c r="I14" s="61" t="s">
        <v>12</v>
      </c>
      <c r="J14" s="62">
        <v>150.1112782561388</v>
      </c>
      <c r="K14">
        <v>150000000</v>
      </c>
      <c r="L14">
        <f t="shared" si="0"/>
        <v>15</v>
      </c>
      <c r="M14">
        <v>999258.6949</v>
      </c>
      <c r="N14" s="6">
        <f t="shared" ref="N14:N15" si="2">M14*1000</f>
        <v>999258694.89999998</v>
      </c>
      <c r="O14" s="6">
        <f t="shared" ref="O14:O15" si="3">N14/K14</f>
        <v>6.6617246326666661</v>
      </c>
      <c r="P14" s="6">
        <f>K14/M14</f>
        <v>150.1112782561388</v>
      </c>
      <c r="Q14">
        <f t="shared" si="1"/>
        <v>68.232399207335817</v>
      </c>
    </row>
    <row r="15" spans="1:20" x14ac:dyDescent="0.35">
      <c r="I15" s="61" t="s">
        <v>13</v>
      </c>
      <c r="J15" s="62">
        <v>61.25093808098373</v>
      </c>
      <c r="K15">
        <v>150000000</v>
      </c>
      <c r="L15">
        <f t="shared" si="0"/>
        <v>15</v>
      </c>
      <c r="M15">
        <v>2448942.0847999998</v>
      </c>
      <c r="N15" s="6">
        <f t="shared" si="2"/>
        <v>2448942084.7999997</v>
      </c>
      <c r="O15" s="6">
        <f t="shared" si="3"/>
        <v>16.326280565333331</v>
      </c>
      <c r="P15" s="6">
        <f>K15/M15</f>
        <v>61.25093808098373</v>
      </c>
      <c r="Q15">
        <f t="shared" si="1"/>
        <v>27.84133549135624</v>
      </c>
    </row>
    <row r="16" spans="1:20" x14ac:dyDescent="0.35">
      <c r="I16" s="58"/>
    </row>
  </sheetData>
  <pageMargins left="0.7" right="0.7" top="0.75" bottom="0.75" header="0.3" footer="0.3"/>
  <pageSetup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79A8AC-CB72-4D8C-B1DD-0B7651FEEE77}">
  <sheetPr>
    <tabColor theme="9" tint="0.79998168889431442"/>
  </sheetPr>
  <dimension ref="A1:C2"/>
  <sheetViews>
    <sheetView workbookViewId="0">
      <selection activeCell="G11" sqref="G11"/>
    </sheetView>
  </sheetViews>
  <sheetFormatPr defaultRowHeight="14.5" x14ac:dyDescent="0.35"/>
  <cols>
    <col min="1" max="1" width="16.81640625" customWidth="1"/>
    <col min="2" max="2" width="12.6328125" bestFit="1" customWidth="1"/>
    <col min="3" max="3" width="11.08984375" bestFit="1" customWidth="1"/>
  </cols>
  <sheetData>
    <row r="1" spans="1:3" x14ac:dyDescent="0.35">
      <c r="B1" s="14" t="s">
        <v>223</v>
      </c>
      <c r="C1" s="14" t="s">
        <v>570</v>
      </c>
    </row>
    <row r="2" spans="1:3" x14ac:dyDescent="0.35">
      <c r="A2" s="201" t="s">
        <v>224</v>
      </c>
      <c r="B2" s="542" t="s">
        <v>568</v>
      </c>
      <c r="C2" s="414" t="s">
        <v>569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1DEE0-C8EC-4AA9-BDFA-83585F59CA17}">
  <sheetPr>
    <tabColor theme="9" tint="0.79998168889431442"/>
  </sheetPr>
  <dimension ref="A2:J6"/>
  <sheetViews>
    <sheetView workbookViewId="0">
      <selection activeCell="A5" sqref="A5:A6"/>
    </sheetView>
  </sheetViews>
  <sheetFormatPr defaultColWidth="8.81640625" defaultRowHeight="13" x14ac:dyDescent="0.35"/>
  <cols>
    <col min="1" max="2" width="17.81640625" style="479" customWidth="1"/>
    <col min="3" max="3" width="13.81640625" style="479" customWidth="1"/>
    <col min="4" max="4" width="13.08984375" style="479" customWidth="1"/>
    <col min="5" max="5" width="10.1796875" style="479" customWidth="1"/>
    <col min="6" max="6" width="10.453125" style="479" customWidth="1"/>
    <col min="7" max="7" width="8.1796875" style="479" customWidth="1"/>
    <col min="8" max="16384" width="8.81640625" style="479"/>
  </cols>
  <sheetData>
    <row r="2" spans="1:10" x14ac:dyDescent="0.35">
      <c r="C2" s="479" t="s">
        <v>535</v>
      </c>
      <c r="D2" s="479" t="s">
        <v>536</v>
      </c>
      <c r="E2" s="479" t="s">
        <v>537</v>
      </c>
      <c r="F2" s="479" t="s">
        <v>538</v>
      </c>
      <c r="G2" s="479" t="s">
        <v>539</v>
      </c>
      <c r="H2" s="479" t="s">
        <v>540</v>
      </c>
      <c r="I2" s="479" t="s">
        <v>541</v>
      </c>
      <c r="J2" s="479" t="s">
        <v>542</v>
      </c>
    </row>
    <row r="3" spans="1:10" ht="42" customHeight="1" x14ac:dyDescent="0.35">
      <c r="A3" s="587" t="s">
        <v>547</v>
      </c>
      <c r="B3" s="479" t="s">
        <v>549</v>
      </c>
      <c r="C3" s="588" t="s">
        <v>548</v>
      </c>
      <c r="D3" s="589"/>
      <c r="E3" s="588" t="s">
        <v>548</v>
      </c>
      <c r="F3" s="588"/>
      <c r="G3" s="588"/>
      <c r="H3" s="586" t="s">
        <v>553</v>
      </c>
      <c r="I3" s="586"/>
      <c r="J3" s="586"/>
    </row>
    <row r="4" spans="1:10" x14ac:dyDescent="0.35">
      <c r="A4" s="587"/>
      <c r="B4" s="479" t="s">
        <v>550</v>
      </c>
      <c r="C4" s="587" t="s">
        <v>551</v>
      </c>
      <c r="D4" s="587"/>
      <c r="E4" s="587" t="s">
        <v>552</v>
      </c>
      <c r="F4" s="587"/>
      <c r="G4" s="587"/>
      <c r="H4" s="587" t="s">
        <v>554</v>
      </c>
      <c r="I4" s="587"/>
      <c r="J4" s="587"/>
    </row>
    <row r="5" spans="1:10" ht="38.5" customHeight="1" x14ac:dyDescent="0.35">
      <c r="A5" s="586" t="s">
        <v>555</v>
      </c>
      <c r="B5" s="479" t="s">
        <v>549</v>
      </c>
      <c r="C5" s="588" t="s">
        <v>548</v>
      </c>
      <c r="D5" s="589"/>
      <c r="E5" s="588" t="s">
        <v>548</v>
      </c>
      <c r="F5" s="588"/>
      <c r="G5" s="588"/>
      <c r="H5" s="586" t="s">
        <v>553</v>
      </c>
      <c r="I5" s="586"/>
      <c r="J5" s="586"/>
    </row>
    <row r="6" spans="1:10" ht="24.5" customHeight="1" x14ac:dyDescent="0.35">
      <c r="A6" s="587"/>
      <c r="B6" s="479" t="s">
        <v>550</v>
      </c>
      <c r="C6" s="587" t="s">
        <v>556</v>
      </c>
      <c r="D6" s="587"/>
      <c r="E6" s="587" t="s">
        <v>552</v>
      </c>
      <c r="F6" s="587"/>
      <c r="G6" s="587"/>
      <c r="H6" s="587" t="s">
        <v>554</v>
      </c>
      <c r="I6" s="587"/>
      <c r="J6" s="587"/>
    </row>
  </sheetData>
  <mergeCells count="14">
    <mergeCell ref="H3:J3"/>
    <mergeCell ref="H4:J4"/>
    <mergeCell ref="A5:A6"/>
    <mergeCell ref="C5:D5"/>
    <mergeCell ref="E5:G5"/>
    <mergeCell ref="H5:J5"/>
    <mergeCell ref="C6:D6"/>
    <mergeCell ref="E6:G6"/>
    <mergeCell ref="H6:J6"/>
    <mergeCell ref="A3:A4"/>
    <mergeCell ref="C3:D3"/>
    <mergeCell ref="C4:D4"/>
    <mergeCell ref="E3:G3"/>
    <mergeCell ref="E4:G4"/>
  </mergeCells>
  <phoneticPr fontId="4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5E83EC-1A80-41F2-8B5F-6F0530395B86}">
  <sheetPr>
    <tabColor theme="4"/>
  </sheetPr>
  <dimension ref="A1:F4"/>
  <sheetViews>
    <sheetView workbookViewId="0">
      <selection activeCell="A4" sqref="A4:F4"/>
    </sheetView>
  </sheetViews>
  <sheetFormatPr defaultRowHeight="14.5" x14ac:dyDescent="0.35"/>
  <sheetData>
    <row r="1" spans="1:6" x14ac:dyDescent="0.35">
      <c r="A1" s="251" t="s">
        <v>215</v>
      </c>
      <c r="B1" s="251" t="s">
        <v>216</v>
      </c>
      <c r="C1" s="251" t="s">
        <v>217</v>
      </c>
      <c r="D1" s="251" t="s">
        <v>218</v>
      </c>
      <c r="E1" s="251" t="s">
        <v>219</v>
      </c>
      <c r="F1" s="251" t="s">
        <v>220</v>
      </c>
    </row>
    <row r="2" spans="1:6" x14ac:dyDescent="0.35">
      <c r="A2" s="475" t="e">
        <f>#REF!</f>
        <v>#REF!</v>
      </c>
    </row>
    <row r="3" spans="1:6" x14ac:dyDescent="0.35">
      <c r="A3" s="236">
        <f>226379333.37328/6</f>
        <v>37729888.895546667</v>
      </c>
      <c r="B3" s="236">
        <f>226379333.37328/6</f>
        <v>37729888.895546667</v>
      </c>
      <c r="C3" s="236">
        <f>226379333.37328/6</f>
        <v>37729888.895546667</v>
      </c>
      <c r="D3" s="236">
        <f>226379333.37328/6</f>
        <v>37729888.895546667</v>
      </c>
      <c r="E3" s="236">
        <f t="shared" ref="E3:F3" si="0">226379333.37328/6</f>
        <v>37729888.895546667</v>
      </c>
      <c r="F3" s="236">
        <f t="shared" si="0"/>
        <v>37729888.895546667</v>
      </c>
    </row>
    <row r="4" spans="1:6" x14ac:dyDescent="0.35">
      <c r="A4" s="448" t="e">
        <f>SUM(A2:A3)/10^6</f>
        <v>#REF!</v>
      </c>
      <c r="B4" s="448">
        <f t="shared" ref="B4:F4" si="1">SUM(B2:B3)/10^6</f>
        <v>37.729888895546665</v>
      </c>
      <c r="C4" s="448">
        <f t="shared" si="1"/>
        <v>37.729888895546665</v>
      </c>
      <c r="D4" s="448">
        <f t="shared" si="1"/>
        <v>37.729888895546665</v>
      </c>
      <c r="E4" s="448">
        <f t="shared" si="1"/>
        <v>37.729888895546665</v>
      </c>
      <c r="F4" s="448">
        <f t="shared" si="1"/>
        <v>37.729888895546665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223A0-B73D-4442-8FA1-74B8EF2D237E}">
  <dimension ref="A1:O5"/>
  <sheetViews>
    <sheetView showGridLines="0" zoomScale="70" zoomScaleNormal="70" workbookViewId="0">
      <selection activeCell="I3" sqref="I3:I5"/>
    </sheetView>
  </sheetViews>
  <sheetFormatPr defaultRowHeight="14.5" x14ac:dyDescent="0.35"/>
  <cols>
    <col min="1" max="1" width="20.08984375" bestFit="1" customWidth="1"/>
    <col min="2" max="2" width="7.54296875" bestFit="1" customWidth="1"/>
    <col min="3" max="3" width="16" style="4" bestFit="1" customWidth="1"/>
    <col min="4" max="4" width="8" style="4" bestFit="1" customWidth="1"/>
    <col min="5" max="5" width="9.453125" style="4" bestFit="1" customWidth="1"/>
    <col min="6" max="6" width="8.54296875" style="4" bestFit="1" customWidth="1"/>
    <col min="7" max="7" width="9.90625" style="4" bestFit="1" customWidth="1"/>
    <col min="8" max="8" width="7.90625" style="4" bestFit="1" customWidth="1"/>
    <col min="9" max="9" width="4.453125" style="7" bestFit="1" customWidth="1"/>
    <col min="10" max="10" width="5.453125" style="7" bestFit="1" customWidth="1"/>
    <col min="11" max="11" width="4.90625" style="7" bestFit="1" customWidth="1"/>
    <col min="12" max="12" width="9.54296875" style="7" bestFit="1" customWidth="1"/>
    <col min="13" max="13" width="8.90625" style="7" bestFit="1" customWidth="1"/>
    <col min="14" max="14" width="5.453125" style="7" bestFit="1" customWidth="1"/>
    <col min="15" max="15" width="1.54296875" style="6" customWidth="1"/>
  </cols>
  <sheetData>
    <row r="1" spans="1:15" x14ac:dyDescent="0.35">
      <c r="A1" s="8"/>
      <c r="I1" s="4"/>
      <c r="J1" s="4"/>
      <c r="K1" s="4"/>
      <c r="L1" s="4"/>
      <c r="M1" s="4"/>
      <c r="N1" s="4"/>
      <c r="O1"/>
    </row>
    <row r="2" spans="1:15" x14ac:dyDescent="0.35">
      <c r="A2" s="21" t="s">
        <v>19</v>
      </c>
      <c r="B2" s="21" t="s">
        <v>227</v>
      </c>
      <c r="C2" s="19" t="s">
        <v>315</v>
      </c>
      <c r="D2" s="19" t="s">
        <v>316</v>
      </c>
      <c r="E2" s="19" t="s">
        <v>228</v>
      </c>
      <c r="F2" s="19" t="s">
        <v>229</v>
      </c>
      <c r="G2" s="19" t="s">
        <v>230</v>
      </c>
      <c r="H2" s="19" t="s">
        <v>83</v>
      </c>
      <c r="I2" s="20" t="s">
        <v>30</v>
      </c>
      <c r="J2" s="20" t="s">
        <v>231</v>
      </c>
      <c r="K2" s="20" t="s">
        <v>232</v>
      </c>
      <c r="L2" s="20" t="s">
        <v>1</v>
      </c>
      <c r="M2" s="20" t="s">
        <v>2</v>
      </c>
      <c r="N2" s="20" t="s">
        <v>317</v>
      </c>
    </row>
    <row r="3" spans="1:15" x14ac:dyDescent="0.35">
      <c r="A3" s="32" t="s">
        <v>318</v>
      </c>
      <c r="B3" s="32" t="s">
        <v>233</v>
      </c>
      <c r="C3" s="5" t="s">
        <v>319</v>
      </c>
      <c r="D3" s="5" t="s">
        <v>234</v>
      </c>
      <c r="E3" s="5">
        <v>2100</v>
      </c>
      <c r="F3" s="5">
        <v>2300</v>
      </c>
      <c r="G3" s="2">
        <f>H3/0.85</f>
        <v>294117.64705882355</v>
      </c>
      <c r="H3" s="5">
        <v>250000</v>
      </c>
      <c r="I3" s="2">
        <v>26</v>
      </c>
      <c r="J3" s="2">
        <v>37</v>
      </c>
      <c r="K3" s="2">
        <f>J3*I3</f>
        <v>962</v>
      </c>
      <c r="L3" s="2">
        <f>M3/0.85</f>
        <v>28294117.647058826</v>
      </c>
      <c r="M3" s="2">
        <f>K3*H3/10</f>
        <v>24050000</v>
      </c>
      <c r="N3" s="2">
        <f>M3/100000</f>
        <v>240.5</v>
      </c>
    </row>
    <row r="4" spans="1:15" x14ac:dyDescent="0.35">
      <c r="A4" s="35" t="str">
        <f>A3</f>
        <v>Del+Mum</v>
      </c>
      <c r="B4" s="35" t="str">
        <f>B3</f>
        <v>Colors</v>
      </c>
      <c r="C4" s="36"/>
      <c r="D4" s="36"/>
      <c r="E4" s="36"/>
      <c r="F4" s="36"/>
      <c r="G4" s="36"/>
      <c r="H4" s="36"/>
      <c r="I4" s="37">
        <v>26</v>
      </c>
      <c r="J4" s="37">
        <f>SUM(J3:J3)</f>
        <v>37</v>
      </c>
      <c r="K4" s="37">
        <f>SUM(K3:K3)</f>
        <v>962</v>
      </c>
      <c r="L4" s="37">
        <f>SUM(L3:L3)</f>
        <v>28294117.647058826</v>
      </c>
      <c r="M4" s="37">
        <f>SUM(M3:M3)</f>
        <v>24050000</v>
      </c>
      <c r="N4" s="37">
        <f>SUM(N3:N3)</f>
        <v>240.5</v>
      </c>
    </row>
    <row r="5" spans="1:15" x14ac:dyDescent="0.35">
      <c r="A5" s="21"/>
      <c r="B5" s="21"/>
      <c r="C5" s="19"/>
      <c r="D5" s="19"/>
      <c r="E5" s="19"/>
      <c r="F5" s="19"/>
      <c r="G5" s="19"/>
      <c r="H5" s="19"/>
      <c r="I5" s="20">
        <v>26</v>
      </c>
      <c r="J5" s="20">
        <f>J4</f>
        <v>37</v>
      </c>
      <c r="K5" s="20">
        <f>K4</f>
        <v>962</v>
      </c>
      <c r="L5" s="20">
        <f>L4</f>
        <v>28294117.647058826</v>
      </c>
      <c r="M5" s="20">
        <f>M4</f>
        <v>24050000</v>
      </c>
      <c r="N5" s="20">
        <f>N4</f>
        <v>240.5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07A9D-8666-42A1-B32A-8AF9C7D0467B}">
  <dimension ref="A2:T10"/>
  <sheetViews>
    <sheetView showGridLines="0" zoomScale="80" zoomScaleNormal="80" workbookViewId="0">
      <selection activeCell="Q4" sqref="Q4"/>
    </sheetView>
  </sheetViews>
  <sheetFormatPr defaultRowHeight="14.5" x14ac:dyDescent="0.35"/>
  <cols>
    <col min="1" max="1" width="10" bestFit="1" customWidth="1"/>
    <col min="2" max="2" width="8.453125" style="4" bestFit="1" customWidth="1"/>
    <col min="3" max="3" width="3.54296875" style="4" bestFit="1" customWidth="1"/>
    <col min="4" max="7" width="2.90625" style="4" bestFit="1" customWidth="1"/>
    <col min="8" max="8" width="2.90625" style="4" customWidth="1"/>
    <col min="9" max="9" width="0.90625" style="4" customWidth="1"/>
    <col min="10" max="10" width="7.453125" bestFit="1" customWidth="1"/>
    <col min="11" max="11" width="0.90625" customWidth="1"/>
    <col min="12" max="12" width="6.36328125" style="4" bestFit="1" customWidth="1"/>
    <col min="13" max="13" width="8.36328125" style="4" bestFit="1" customWidth="1"/>
    <col min="14" max="14" width="5.54296875" style="4" bestFit="1" customWidth="1"/>
    <col min="15" max="15" width="1.08984375" customWidth="1"/>
    <col min="16" max="16" width="9.453125" bestFit="1" customWidth="1"/>
    <col min="17" max="17" width="5.08984375" style="4" customWidth="1"/>
    <col min="18" max="18" width="6.453125" bestFit="1" customWidth="1"/>
    <col min="19" max="19" width="5" bestFit="1" customWidth="1"/>
    <col min="20" max="20" width="10" bestFit="1" customWidth="1"/>
  </cols>
  <sheetData>
    <row r="2" spans="1:20" x14ac:dyDescent="0.35">
      <c r="A2" s="38" t="s">
        <v>320</v>
      </c>
      <c r="B2" s="39" t="s">
        <v>322</v>
      </c>
      <c r="C2" s="39" t="s">
        <v>323</v>
      </c>
      <c r="D2" s="39" t="s">
        <v>42</v>
      </c>
      <c r="E2" s="39" t="s">
        <v>324</v>
      </c>
      <c r="F2" s="39" t="s">
        <v>43</v>
      </c>
      <c r="G2" s="39" t="s">
        <v>325</v>
      </c>
      <c r="H2" s="39" t="s">
        <v>44</v>
      </c>
      <c r="J2" s="50" t="s">
        <v>438</v>
      </c>
      <c r="L2" s="51" t="s">
        <v>439</v>
      </c>
      <c r="M2" s="51" t="s">
        <v>440</v>
      </c>
      <c r="N2" s="51" t="s">
        <v>441</v>
      </c>
      <c r="P2" s="53" t="s">
        <v>19</v>
      </c>
      <c r="Q2" s="54" t="s">
        <v>14</v>
      </c>
      <c r="R2" s="54" t="s">
        <v>15</v>
      </c>
      <c r="S2" s="54" t="s">
        <v>16</v>
      </c>
      <c r="T2" s="54" t="s">
        <v>442</v>
      </c>
    </row>
    <row r="3" spans="1:20" x14ac:dyDescent="0.35">
      <c r="A3" s="40" t="s">
        <v>20</v>
      </c>
      <c r="B3" s="41">
        <v>733.93610000000001</v>
      </c>
      <c r="C3" s="2">
        <v>10.376200000000001</v>
      </c>
      <c r="D3" s="2">
        <v>70.732600000000005</v>
      </c>
      <c r="E3" s="2">
        <v>59.351700000000001</v>
      </c>
      <c r="F3" s="2">
        <v>50.881900000000002</v>
      </c>
      <c r="G3" s="2">
        <v>44.1858</v>
      </c>
      <c r="H3" s="2">
        <v>38.684800000000003</v>
      </c>
      <c r="J3" s="2">
        <f>B3/6</f>
        <v>122.32268333333333</v>
      </c>
      <c r="L3" s="2">
        <v>2259.4699999997615</v>
      </c>
      <c r="M3" s="52">
        <v>2193.0622509999998</v>
      </c>
      <c r="N3" s="52">
        <v>1030.8611940000001</v>
      </c>
      <c r="P3" s="55" t="s">
        <v>443</v>
      </c>
      <c r="Q3" s="56">
        <v>38.336599999999997</v>
      </c>
      <c r="R3" s="43">
        <v>24</v>
      </c>
      <c r="S3" s="55"/>
      <c r="T3" s="57">
        <f>(1-(1-$Q3%)*(1-$R3%)*(1-$S3%))*100</f>
        <v>53.135815999999991</v>
      </c>
    </row>
    <row r="4" spans="1:20" x14ac:dyDescent="0.35">
      <c r="A4" s="40" t="s">
        <v>22</v>
      </c>
      <c r="B4" s="41">
        <v>778.70510000000002</v>
      </c>
      <c r="C4" s="2">
        <v>11.172000000000001</v>
      </c>
      <c r="D4" s="2">
        <v>69.701300000000003</v>
      </c>
      <c r="E4" s="2">
        <v>58.870800000000003</v>
      </c>
      <c r="F4" s="2">
        <v>50.2545</v>
      </c>
      <c r="G4" s="2">
        <v>43.034799999999997</v>
      </c>
      <c r="H4" s="2">
        <v>37.342500000000001</v>
      </c>
      <c r="J4" s="2">
        <f t="shared" ref="J4:J10" si="0">B4/6</f>
        <v>129.78418333333335</v>
      </c>
      <c r="L4" s="2">
        <v>2322.4999999999613</v>
      </c>
      <c r="M4" s="52">
        <v>1880.6905569999999</v>
      </c>
      <c r="N4" s="52">
        <v>725.16899899999999</v>
      </c>
      <c r="P4" s="55" t="s">
        <v>444</v>
      </c>
      <c r="Q4" s="56">
        <v>68.5959</v>
      </c>
      <c r="R4" s="43">
        <v>23</v>
      </c>
      <c r="S4" s="43">
        <v>13</v>
      </c>
      <c r="T4" s="57">
        <f t="shared" ref="T4:T10" si="1">(1-(1-$Q4%)*(1-$R4%)*(1-$S4%))*100</f>
        <v>78.962393410000004</v>
      </c>
    </row>
    <row r="5" spans="1:20" x14ac:dyDescent="0.35">
      <c r="A5" s="40" t="s">
        <v>24</v>
      </c>
      <c r="B5" s="41">
        <v>782.49699999999996</v>
      </c>
      <c r="C5" s="2">
        <v>9.6905000000000001</v>
      </c>
      <c r="D5" s="2">
        <v>80.748699999999999</v>
      </c>
      <c r="E5" s="2">
        <v>69.433199999999999</v>
      </c>
      <c r="F5" s="2">
        <v>59.798400000000001</v>
      </c>
      <c r="G5" s="2">
        <v>51.501399999999997</v>
      </c>
      <c r="H5" s="2">
        <v>44.489800000000002</v>
      </c>
      <c r="J5" s="2">
        <f t="shared" si="0"/>
        <v>130.41616666666667</v>
      </c>
      <c r="L5" s="2">
        <v>3431.7600000000289</v>
      </c>
      <c r="M5" s="52">
        <v>2807.0149740000002</v>
      </c>
      <c r="N5" s="52">
        <v>838.95853999999997</v>
      </c>
      <c r="P5" s="55" t="s">
        <v>445</v>
      </c>
      <c r="Q5" s="56">
        <v>72.041300000000007</v>
      </c>
      <c r="R5" s="43">
        <v>24</v>
      </c>
      <c r="S5" s="43">
        <v>12</v>
      </c>
      <c r="T5" s="57">
        <f t="shared" si="1"/>
        <v>81.301221440000006</v>
      </c>
    </row>
    <row r="6" spans="1:20" x14ac:dyDescent="0.35">
      <c r="A6" s="46" t="s">
        <v>23</v>
      </c>
      <c r="B6" s="47">
        <v>743.27769999999998</v>
      </c>
      <c r="C6" s="2">
        <v>9.5533000000000001</v>
      </c>
      <c r="D6" s="2">
        <v>77.802899999999994</v>
      </c>
      <c r="E6" s="2">
        <v>65.448700000000002</v>
      </c>
      <c r="F6" s="2">
        <v>54.929299999999998</v>
      </c>
      <c r="G6" s="2">
        <v>45.925699999999999</v>
      </c>
      <c r="H6" s="2">
        <v>38.636400000000002</v>
      </c>
      <c r="J6" s="2">
        <f t="shared" si="0"/>
        <v>123.87961666666666</v>
      </c>
      <c r="L6" s="2">
        <v>4105.74999999996</v>
      </c>
      <c r="M6" s="52">
        <v>2322.5117479999999</v>
      </c>
      <c r="N6" s="52">
        <v>1041.9471129999999</v>
      </c>
      <c r="P6" s="55" t="s">
        <v>446</v>
      </c>
      <c r="Q6" s="56">
        <v>75.352000000000004</v>
      </c>
      <c r="R6" s="43">
        <v>24</v>
      </c>
      <c r="S6" s="43">
        <v>12</v>
      </c>
      <c r="T6" s="57">
        <f t="shared" si="1"/>
        <v>83.515417600000006</v>
      </c>
    </row>
    <row r="7" spans="1:20" x14ac:dyDescent="0.35">
      <c r="A7" s="46" t="s">
        <v>25</v>
      </c>
      <c r="B7" s="47">
        <v>777.73530000000005</v>
      </c>
      <c r="C7" s="2">
        <v>10.2509</v>
      </c>
      <c r="D7" s="2">
        <v>75.87</v>
      </c>
      <c r="E7" s="2">
        <v>63.628799999999998</v>
      </c>
      <c r="F7" s="2">
        <v>54.445399999999999</v>
      </c>
      <c r="G7" s="2">
        <v>47.213299999999997</v>
      </c>
      <c r="H7" s="2">
        <v>41.414099999999998</v>
      </c>
      <c r="J7" s="2">
        <f t="shared" si="0"/>
        <v>129.62255000000002</v>
      </c>
      <c r="L7" s="2">
        <v>3873.5700000000038</v>
      </c>
      <c r="M7" s="52">
        <v>1760.0582059999999</v>
      </c>
      <c r="N7" s="52">
        <v>1014.504757</v>
      </c>
      <c r="P7" s="55" t="s">
        <v>447</v>
      </c>
      <c r="Q7" s="56">
        <v>81.838200000000001</v>
      </c>
      <c r="R7" s="43">
        <v>23</v>
      </c>
      <c r="S7" s="43">
        <v>12</v>
      </c>
      <c r="T7" s="57">
        <f t="shared" si="1"/>
        <v>87.693564320000007</v>
      </c>
    </row>
    <row r="8" spans="1:20" x14ac:dyDescent="0.35">
      <c r="A8" s="40" t="s">
        <v>21</v>
      </c>
      <c r="B8" s="41">
        <v>411.64420000000001</v>
      </c>
      <c r="C8" s="2">
        <v>6.8418000000000001</v>
      </c>
      <c r="D8" s="2">
        <v>60.165700000000001</v>
      </c>
      <c r="E8" s="2">
        <v>45.416400000000003</v>
      </c>
      <c r="F8" s="2">
        <v>35.344799999999999</v>
      </c>
      <c r="G8" s="2">
        <v>28.055099999999999</v>
      </c>
      <c r="H8" s="2">
        <v>22.651700000000002</v>
      </c>
      <c r="J8" s="2">
        <f t="shared" si="0"/>
        <v>68.607366666666664</v>
      </c>
      <c r="L8" s="2">
        <v>753.55999999999619</v>
      </c>
      <c r="M8" s="52">
        <v>2543.6600039999998</v>
      </c>
      <c r="N8" s="52">
        <v>818.44456400000001</v>
      </c>
      <c r="P8" s="55" t="s">
        <v>448</v>
      </c>
      <c r="Q8" s="56">
        <v>60.561100000000003</v>
      </c>
      <c r="R8" s="43">
        <v>23</v>
      </c>
      <c r="S8" s="43"/>
      <c r="T8" s="57">
        <f t="shared" si="1"/>
        <v>69.632047000000014</v>
      </c>
    </row>
    <row r="9" spans="1:20" x14ac:dyDescent="0.35">
      <c r="A9" s="40" t="s">
        <v>449</v>
      </c>
      <c r="B9" s="41">
        <v>734.66660000000002</v>
      </c>
      <c r="C9" s="2">
        <v>10.16</v>
      </c>
      <c r="D9" s="2">
        <v>72.3095</v>
      </c>
      <c r="E9" s="2">
        <v>60.627400000000002</v>
      </c>
      <c r="F9" s="2">
        <v>51.591700000000003</v>
      </c>
      <c r="G9" s="2">
        <v>44.260399999999997</v>
      </c>
      <c r="H9" s="2">
        <v>38.336599999999997</v>
      </c>
      <c r="J9" s="2">
        <f t="shared" si="0"/>
        <v>122.44443333333334</v>
      </c>
      <c r="L9" s="2">
        <v>2669.3799999997664</v>
      </c>
      <c r="M9" s="52">
        <v>2183.9395370000002</v>
      </c>
      <c r="N9" s="52">
        <v>924.00149599999997</v>
      </c>
      <c r="P9" s="55" t="s">
        <v>450</v>
      </c>
      <c r="Q9" s="56">
        <v>59.7517</v>
      </c>
      <c r="R9" s="43"/>
      <c r="S9" s="43">
        <v>15</v>
      </c>
      <c r="T9" s="57">
        <f t="shared" si="1"/>
        <v>65.788944999999998</v>
      </c>
    </row>
    <row r="10" spans="1:20" x14ac:dyDescent="0.35">
      <c r="A10" s="40" t="s">
        <v>451</v>
      </c>
      <c r="B10" s="41">
        <v>627.52239999999995</v>
      </c>
      <c r="C10" s="2">
        <v>9.4804999999999993</v>
      </c>
      <c r="D10" s="2">
        <v>66.190700000000007</v>
      </c>
      <c r="E10" s="2">
        <v>54.286099999999998</v>
      </c>
      <c r="F10" s="2">
        <v>45.510300000000001</v>
      </c>
      <c r="G10" s="2">
        <v>38.521599999999999</v>
      </c>
      <c r="H10" s="2">
        <v>32.997500000000002</v>
      </c>
      <c r="J10" s="2">
        <f t="shared" si="0"/>
        <v>104.58706666666666</v>
      </c>
      <c r="L10" s="2">
        <v>2220.1699999995376</v>
      </c>
      <c r="M10" s="52">
        <v>1902.474647</v>
      </c>
      <c r="N10" s="52">
        <v>848.78245000000004</v>
      </c>
      <c r="P10" s="55" t="s">
        <v>452</v>
      </c>
      <c r="Q10" s="56">
        <v>66.190700000000007</v>
      </c>
      <c r="R10" s="43">
        <v>33</v>
      </c>
      <c r="S10" s="55"/>
      <c r="T10" s="57">
        <f t="shared" si="1"/>
        <v>77.347769</v>
      </c>
    </row>
  </sheetData>
  <pageMargins left="0.7" right="0.7" top="0.75" bottom="0.75" header="0.3" footer="0.3"/>
  <pageSetup orientation="portrait" horizontalDpi="1200" verticalDpi="1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C9838-53E2-414B-B8B6-C9F030850811}">
  <sheetPr>
    <tabColor theme="7" tint="0.39997558519241921"/>
  </sheetPr>
  <dimension ref="A1:M62"/>
  <sheetViews>
    <sheetView showGridLines="0" topLeftCell="A14" zoomScale="70" zoomScaleNormal="70" workbookViewId="0">
      <selection activeCell="M21" sqref="M21"/>
    </sheetView>
  </sheetViews>
  <sheetFormatPr defaultColWidth="9.08984375" defaultRowHeight="14.5" x14ac:dyDescent="0.35"/>
  <cols>
    <col min="1" max="1" width="33" style="63" bestFit="1" customWidth="1"/>
    <col min="2" max="2" width="12.90625" style="63" bestFit="1" customWidth="1"/>
    <col min="3" max="3" width="10" style="63" bestFit="1" customWidth="1"/>
    <col min="4" max="4" width="12.08984375" style="63" bestFit="1" customWidth="1"/>
    <col min="5" max="5" width="9.08984375" style="63" bestFit="1" customWidth="1"/>
    <col min="6" max="6" width="31.54296875" style="63" bestFit="1" customWidth="1"/>
    <col min="7" max="7" width="11.54296875" style="63" bestFit="1" customWidth="1"/>
    <col min="8" max="8" width="7.453125" style="63" bestFit="1" customWidth="1"/>
    <col min="9" max="10" width="8.90625" style="63" bestFit="1" customWidth="1"/>
    <col min="11" max="11" width="9.54296875" style="64" bestFit="1" customWidth="1"/>
    <col min="12" max="12" width="14.90625" style="63" bestFit="1" customWidth="1"/>
    <col min="13" max="16384" width="9.08984375" style="63"/>
  </cols>
  <sheetData>
    <row r="1" spans="1:13" x14ac:dyDescent="0.35">
      <c r="A1" s="1" t="s">
        <v>225</v>
      </c>
    </row>
    <row r="2" spans="1:13" x14ac:dyDescent="0.35">
      <c r="A2" s="1" t="s">
        <v>28</v>
      </c>
    </row>
    <row r="3" spans="1:13" x14ac:dyDescent="0.35">
      <c r="A3" s="1" t="s">
        <v>29</v>
      </c>
    </row>
    <row r="4" spans="1:13" x14ac:dyDescent="0.35">
      <c r="A4" s="23" t="s">
        <v>226</v>
      </c>
    </row>
    <row r="5" spans="1:13" x14ac:dyDescent="0.35">
      <c r="A5" s="8" t="s">
        <v>453</v>
      </c>
    </row>
    <row r="8" spans="1:13" x14ac:dyDescent="0.35">
      <c r="A8" s="65" t="s">
        <v>454</v>
      </c>
      <c r="B8" s="590" t="s">
        <v>455</v>
      </c>
      <c r="C8" s="591"/>
      <c r="D8" s="66"/>
      <c r="E8" s="66"/>
      <c r="F8" s="65" t="s">
        <v>456</v>
      </c>
      <c r="G8" s="592" t="s">
        <v>457</v>
      </c>
      <c r="H8" s="592"/>
      <c r="I8" s="592"/>
      <c r="J8" s="592"/>
    </row>
    <row r="9" spans="1:13" x14ac:dyDescent="0.35">
      <c r="A9" s="67" t="s">
        <v>458</v>
      </c>
      <c r="B9" s="68" t="s">
        <v>340</v>
      </c>
      <c r="C9" s="68" t="s">
        <v>459</v>
      </c>
      <c r="D9" s="66"/>
      <c r="E9" s="66"/>
      <c r="F9" s="67" t="s">
        <v>458</v>
      </c>
      <c r="G9" s="68" t="s">
        <v>340</v>
      </c>
      <c r="H9" s="68" t="s">
        <v>460</v>
      </c>
      <c r="I9" s="68" t="s">
        <v>456</v>
      </c>
      <c r="J9" s="68" t="s">
        <v>459</v>
      </c>
    </row>
    <row r="10" spans="1:13" x14ac:dyDescent="0.35">
      <c r="A10" s="69" t="s">
        <v>237</v>
      </c>
      <c r="B10" s="70">
        <v>1381.13</v>
      </c>
      <c r="C10" s="70">
        <f t="shared" ref="C10:C23" si="0">B10/MAX($B$10:$B$23)*100</f>
        <v>62.192052234605434</v>
      </c>
      <c r="D10" s="71"/>
      <c r="E10" s="66"/>
      <c r="F10" s="69" t="s">
        <v>237</v>
      </c>
      <c r="G10" s="72">
        <v>0.52</v>
      </c>
      <c r="H10" s="73">
        <v>19959.060737527114</v>
      </c>
      <c r="I10" s="73">
        <f>+H10/G10</f>
        <v>38382.809110629067</v>
      </c>
      <c r="J10" s="70">
        <f t="shared" ref="J10:J23" si="1">MIN($I$10:$I$23)/I10*100</f>
        <v>35.965335486701278</v>
      </c>
      <c r="M10" s="74"/>
    </row>
    <row r="11" spans="1:13" x14ac:dyDescent="0.35">
      <c r="A11" s="69" t="s">
        <v>233</v>
      </c>
      <c r="B11" s="70">
        <v>2220.75</v>
      </c>
      <c r="C11" s="70">
        <f t="shared" si="0"/>
        <v>100</v>
      </c>
      <c r="D11" s="71"/>
      <c r="E11" s="66"/>
      <c r="F11" s="69" t="s">
        <v>233</v>
      </c>
      <c r="G11" s="72">
        <v>1.21</v>
      </c>
      <c r="H11" s="73">
        <v>19541.3785488959</v>
      </c>
      <c r="I11" s="73">
        <f t="shared" ref="I11:I23" si="2">+H11/G11</f>
        <v>16149.899627186694</v>
      </c>
      <c r="J11" s="70">
        <f t="shared" si="1"/>
        <v>85.477348989955473</v>
      </c>
    </row>
    <row r="12" spans="1:13" x14ac:dyDescent="0.35">
      <c r="A12" s="69" t="s">
        <v>236</v>
      </c>
      <c r="B12" s="70">
        <v>1840.8</v>
      </c>
      <c r="C12" s="70">
        <f t="shared" si="0"/>
        <v>82.890915231340756</v>
      </c>
      <c r="D12" s="71"/>
      <c r="E12" s="66"/>
      <c r="F12" s="69" t="s">
        <v>236</v>
      </c>
      <c r="G12" s="72">
        <v>0.94</v>
      </c>
      <c r="H12" s="73">
        <v>35458.715596330279</v>
      </c>
      <c r="I12" s="73">
        <f t="shared" si="2"/>
        <v>37722.03786843647</v>
      </c>
      <c r="J12" s="70">
        <f t="shared" si="1"/>
        <v>36.595334838494153</v>
      </c>
    </row>
    <row r="13" spans="1:13" x14ac:dyDescent="0.35">
      <c r="A13" s="69" t="s">
        <v>343</v>
      </c>
      <c r="B13" s="70">
        <v>1639.85</v>
      </c>
      <c r="C13" s="70">
        <f t="shared" si="0"/>
        <v>73.842170437915115</v>
      </c>
      <c r="D13" s="71"/>
      <c r="E13" s="66"/>
      <c r="F13" s="69" t="s">
        <v>343</v>
      </c>
      <c r="G13" s="72">
        <v>0.28999999999999998</v>
      </c>
      <c r="H13" s="73">
        <v>15269.8224852071</v>
      </c>
      <c r="I13" s="73">
        <f t="shared" si="2"/>
        <v>52654.560293817587</v>
      </c>
      <c r="J13" s="70">
        <f t="shared" si="1"/>
        <v>26.217113938142099</v>
      </c>
    </row>
    <row r="14" spans="1:13" x14ac:dyDescent="0.35">
      <c r="A14" s="69" t="s">
        <v>344</v>
      </c>
      <c r="B14" s="70">
        <v>1325.96</v>
      </c>
      <c r="C14" s="70">
        <f t="shared" si="0"/>
        <v>59.707756388607457</v>
      </c>
      <c r="D14" s="71"/>
      <c r="E14" s="66"/>
      <c r="F14" s="69" t="s">
        <v>344</v>
      </c>
      <c r="G14" s="72">
        <v>0.41</v>
      </c>
      <c r="H14" s="73">
        <v>23778.723404255299</v>
      </c>
      <c r="I14" s="73">
        <f t="shared" si="2"/>
        <v>57996.886351842193</v>
      </c>
      <c r="J14" s="70">
        <f t="shared" si="1"/>
        <v>23.80215031219414</v>
      </c>
    </row>
    <row r="15" spans="1:13" x14ac:dyDescent="0.35">
      <c r="A15" s="69" t="s">
        <v>235</v>
      </c>
      <c r="B15" s="70">
        <v>1359.08</v>
      </c>
      <c r="C15" s="70">
        <f t="shared" si="0"/>
        <v>61.19914443318698</v>
      </c>
      <c r="D15" s="71"/>
      <c r="E15" s="66"/>
      <c r="F15" s="69" t="s">
        <v>235</v>
      </c>
      <c r="G15" s="72">
        <v>0.22</v>
      </c>
      <c r="H15" s="73">
        <v>3036.9913344887354</v>
      </c>
      <c r="I15" s="73">
        <f t="shared" si="2"/>
        <v>13804.506065857888</v>
      </c>
      <c r="J15" s="70">
        <f t="shared" si="1"/>
        <v>100</v>
      </c>
    </row>
    <row r="16" spans="1:13" x14ac:dyDescent="0.35">
      <c r="A16" s="69" t="s">
        <v>348</v>
      </c>
      <c r="B16" s="70">
        <v>1433.17</v>
      </c>
      <c r="C16" s="70">
        <f t="shared" si="0"/>
        <v>64.535404705617466</v>
      </c>
      <c r="D16" s="71"/>
      <c r="E16" s="66"/>
      <c r="F16" s="69" t="s">
        <v>348</v>
      </c>
      <c r="G16" s="72">
        <v>0.17</v>
      </c>
      <c r="H16" s="73">
        <v>5018.1103315793871</v>
      </c>
      <c r="I16" s="73">
        <f t="shared" si="2"/>
        <v>29518.296068114039</v>
      </c>
      <c r="J16" s="70">
        <f t="shared" si="1"/>
        <v>46.765931319354351</v>
      </c>
    </row>
    <row r="17" spans="1:12" x14ac:dyDescent="0.35">
      <c r="A17" s="69" t="s">
        <v>349</v>
      </c>
      <c r="B17" s="70">
        <v>566.09</v>
      </c>
      <c r="C17" s="70">
        <f t="shared" si="0"/>
        <v>25.490937746256897</v>
      </c>
      <c r="D17" s="71"/>
      <c r="E17" s="66"/>
      <c r="F17" s="69" t="s">
        <v>349</v>
      </c>
      <c r="G17" s="72">
        <v>0.05</v>
      </c>
      <c r="H17" s="73">
        <v>2815.7586748951999</v>
      </c>
      <c r="I17" s="73">
        <f t="shared" si="2"/>
        <v>56315.173497903997</v>
      </c>
      <c r="J17" s="70">
        <f t="shared" si="1"/>
        <v>24.512942442362679</v>
      </c>
    </row>
    <row r="18" spans="1:12" x14ac:dyDescent="0.35">
      <c r="A18" s="69" t="s">
        <v>341</v>
      </c>
      <c r="B18" s="70">
        <v>970.87</v>
      </c>
      <c r="C18" s="70">
        <f t="shared" si="0"/>
        <v>43.718113250028146</v>
      </c>
      <c r="D18" s="71"/>
      <c r="E18" s="66"/>
      <c r="F18" s="69" t="s">
        <v>341</v>
      </c>
      <c r="G18" s="72">
        <v>0.28999999999999998</v>
      </c>
      <c r="H18" s="73">
        <v>11200</v>
      </c>
      <c r="I18" s="73">
        <f t="shared" si="2"/>
        <v>38620.689655172413</v>
      </c>
      <c r="J18" s="70">
        <f t="shared" si="1"/>
        <v>35.743810349096314</v>
      </c>
    </row>
    <row r="19" spans="1:12" x14ac:dyDescent="0.35">
      <c r="A19" s="69" t="s">
        <v>346</v>
      </c>
      <c r="B19" s="70">
        <v>747.93</v>
      </c>
      <c r="C19" s="70">
        <f t="shared" si="0"/>
        <v>33.679162445119893</v>
      </c>
      <c r="D19" s="71"/>
      <c r="E19" s="66"/>
      <c r="F19" s="69" t="s">
        <v>346</v>
      </c>
      <c r="G19" s="72">
        <v>0.08</v>
      </c>
      <c r="H19" s="73">
        <v>4500</v>
      </c>
      <c r="I19" s="73">
        <f t="shared" si="2"/>
        <v>56250</v>
      </c>
      <c r="J19" s="70">
        <f t="shared" si="1"/>
        <v>24.541344117080691</v>
      </c>
    </row>
    <row r="20" spans="1:12" x14ac:dyDescent="0.35">
      <c r="A20" s="69" t="s">
        <v>347</v>
      </c>
      <c r="B20" s="70">
        <v>670.32</v>
      </c>
      <c r="C20" s="70">
        <f t="shared" si="0"/>
        <v>30.184397163120568</v>
      </c>
      <c r="D20" s="71"/>
      <c r="E20" s="66"/>
      <c r="F20" s="69" t="s">
        <v>347</v>
      </c>
      <c r="G20" s="72">
        <v>0.05</v>
      </c>
      <c r="H20" s="73">
        <v>3473.1147540983607</v>
      </c>
      <c r="I20" s="73">
        <f t="shared" si="2"/>
        <v>69462.295081967211</v>
      </c>
      <c r="J20" s="70">
        <f t="shared" si="1"/>
        <v>19.87338029871923</v>
      </c>
    </row>
    <row r="21" spans="1:12" x14ac:dyDescent="0.35">
      <c r="A21" s="69" t="s">
        <v>350</v>
      </c>
      <c r="B21" s="70">
        <v>623.4</v>
      </c>
      <c r="C21" s="70">
        <f t="shared" si="0"/>
        <v>28.071597433299562</v>
      </c>
      <c r="D21" s="71"/>
      <c r="E21" s="66"/>
      <c r="F21" s="69" t="s">
        <v>350</v>
      </c>
      <c r="G21" s="72">
        <v>0.02</v>
      </c>
      <c r="H21" s="73">
        <v>7100</v>
      </c>
      <c r="I21" s="73">
        <f t="shared" si="2"/>
        <v>355000</v>
      </c>
      <c r="J21" s="70">
        <f t="shared" si="1"/>
        <v>3.8885932579881377</v>
      </c>
    </row>
    <row r="22" spans="1:12" x14ac:dyDescent="0.35">
      <c r="A22" s="69" t="s">
        <v>345</v>
      </c>
      <c r="B22" s="70">
        <v>751.85</v>
      </c>
      <c r="C22" s="70">
        <f t="shared" si="0"/>
        <v>33.855679387594286</v>
      </c>
      <c r="D22" s="71"/>
      <c r="E22" s="66"/>
      <c r="F22" s="69" t="s">
        <v>345</v>
      </c>
      <c r="G22" s="72">
        <v>0.1</v>
      </c>
      <c r="H22" s="73">
        <v>3300</v>
      </c>
      <c r="I22" s="73">
        <f t="shared" si="2"/>
        <v>33000</v>
      </c>
      <c r="J22" s="70">
        <f t="shared" si="1"/>
        <v>41.831836563205719</v>
      </c>
    </row>
    <row r="23" spans="1:12" x14ac:dyDescent="0.35">
      <c r="A23" s="69" t="s">
        <v>461</v>
      </c>
      <c r="B23" s="70">
        <v>661.24</v>
      </c>
      <c r="C23" s="70">
        <f t="shared" si="0"/>
        <v>29.775526286164585</v>
      </c>
      <c r="D23" s="71"/>
      <c r="E23" s="66"/>
      <c r="F23" s="75" t="s">
        <v>461</v>
      </c>
      <c r="G23" s="72">
        <v>0.04</v>
      </c>
      <c r="H23" s="73">
        <v>3500</v>
      </c>
      <c r="I23" s="73">
        <f t="shared" si="2"/>
        <v>87500</v>
      </c>
      <c r="J23" s="70">
        <f t="shared" si="1"/>
        <v>15.776578360980443</v>
      </c>
    </row>
    <row r="24" spans="1:12" x14ac:dyDescent="0.35">
      <c r="A24" s="76"/>
      <c r="B24" s="71"/>
      <c r="C24" s="71"/>
      <c r="D24" s="66"/>
      <c r="E24" s="66"/>
      <c r="F24" s="76"/>
      <c r="G24" s="77"/>
      <c r="H24" s="71"/>
      <c r="I24" s="64"/>
      <c r="J24" s="71"/>
    </row>
    <row r="25" spans="1:12" ht="15" thickBot="1" x14ac:dyDescent="0.4">
      <c r="A25" s="66"/>
      <c r="B25" s="66"/>
      <c r="C25" s="66"/>
      <c r="D25" s="66"/>
      <c r="E25" s="66"/>
      <c r="F25" s="66"/>
      <c r="G25" s="66"/>
      <c r="H25" s="66"/>
      <c r="I25" s="66"/>
      <c r="J25" s="66"/>
    </row>
    <row r="26" spans="1:12" x14ac:dyDescent="0.35">
      <c r="A26" s="65" t="s">
        <v>462</v>
      </c>
      <c r="B26" s="590" t="s">
        <v>463</v>
      </c>
      <c r="C26" s="591"/>
      <c r="D26" s="66"/>
      <c r="E26" s="66"/>
      <c r="F26" s="65"/>
      <c r="G26" s="593" t="s">
        <v>464</v>
      </c>
      <c r="H26" s="590"/>
      <c r="I26" s="590"/>
      <c r="J26" s="591"/>
    </row>
    <row r="27" spans="1:12" x14ac:dyDescent="0.35">
      <c r="A27" s="67" t="s">
        <v>458</v>
      </c>
      <c r="B27" s="68" t="s">
        <v>340</v>
      </c>
      <c r="C27" s="68" t="s">
        <v>459</v>
      </c>
      <c r="D27" s="66"/>
      <c r="E27" s="66"/>
      <c r="F27" s="67" t="s">
        <v>458</v>
      </c>
      <c r="G27" s="68" t="s">
        <v>340</v>
      </c>
      <c r="H27" s="68" t="s">
        <v>465</v>
      </c>
      <c r="I27" s="68" t="s">
        <v>466</v>
      </c>
      <c r="J27" s="68" t="s">
        <v>459</v>
      </c>
    </row>
    <row r="28" spans="1:12" x14ac:dyDescent="0.35">
      <c r="A28" s="69" t="s">
        <v>237</v>
      </c>
      <c r="B28" s="129">
        <v>1.1724537037037E-2</v>
      </c>
      <c r="C28" s="70">
        <f t="shared" ref="C28:C41" si="3">+B28/(MAX($B$28:$B$41))*100</f>
        <v>87.402933563415502</v>
      </c>
      <c r="D28" s="78"/>
      <c r="F28" s="79" t="s">
        <v>237</v>
      </c>
      <c r="G28" s="72">
        <v>4.2300000000000004</v>
      </c>
      <c r="H28" s="80">
        <v>3.39</v>
      </c>
      <c r="I28" s="73">
        <f t="shared" ref="I28:I41" si="4">G28/H28*100</f>
        <v>124.77876106194692</v>
      </c>
      <c r="J28" s="70">
        <f t="shared" ref="J28:J41" si="5">+I28/(MAX($I$28:$I$41))*100</f>
        <v>100</v>
      </c>
      <c r="L28" s="81"/>
    </row>
    <row r="29" spans="1:12" x14ac:dyDescent="0.35">
      <c r="A29" s="69" t="s">
        <v>233</v>
      </c>
      <c r="B29" s="129">
        <v>1.3148148148147999E-2</v>
      </c>
      <c r="C29" s="70">
        <f t="shared" si="3"/>
        <v>98.015530629851128</v>
      </c>
      <c r="D29" s="78"/>
      <c r="F29" s="79" t="s">
        <v>341</v>
      </c>
      <c r="G29" s="72">
        <v>2.36</v>
      </c>
      <c r="H29" s="80">
        <v>2.09</v>
      </c>
      <c r="I29" s="73">
        <f t="shared" si="4"/>
        <v>112.91866028708135</v>
      </c>
      <c r="J29" s="70">
        <f t="shared" si="5"/>
        <v>90.495096542129019</v>
      </c>
      <c r="L29" s="81"/>
    </row>
    <row r="30" spans="1:12" x14ac:dyDescent="0.35">
      <c r="A30" s="69" t="s">
        <v>236</v>
      </c>
      <c r="B30" s="129">
        <v>1.3391203703704E-2</v>
      </c>
      <c r="C30" s="70">
        <f t="shared" si="3"/>
        <v>99.827437446075308</v>
      </c>
      <c r="D30" s="125"/>
      <c r="F30" s="79" t="s">
        <v>233</v>
      </c>
      <c r="G30" s="72">
        <v>9.8000000000000007</v>
      </c>
      <c r="H30" s="80">
        <v>8.8800000000000008</v>
      </c>
      <c r="I30" s="73">
        <f t="shared" si="4"/>
        <v>110.36036036036036</v>
      </c>
      <c r="J30" s="70">
        <f t="shared" si="5"/>
        <v>88.444827806529929</v>
      </c>
      <c r="L30" s="81"/>
    </row>
    <row r="31" spans="1:12" x14ac:dyDescent="0.35">
      <c r="A31" s="69" t="s">
        <v>343</v>
      </c>
      <c r="B31" s="129">
        <v>1.0486111111111E-2</v>
      </c>
      <c r="C31" s="70">
        <f t="shared" si="3"/>
        <v>78.170836928384844</v>
      </c>
      <c r="D31" s="78"/>
      <c r="F31" s="79" t="s">
        <v>235</v>
      </c>
      <c r="G31" s="72">
        <v>1.82</v>
      </c>
      <c r="H31" s="80">
        <v>1.71</v>
      </c>
      <c r="I31" s="73">
        <f t="shared" si="4"/>
        <v>106.43274853801171</v>
      </c>
      <c r="J31" s="70">
        <f t="shared" si="5"/>
        <v>85.297167268051922</v>
      </c>
      <c r="L31" s="81"/>
    </row>
    <row r="32" spans="1:12" x14ac:dyDescent="0.35">
      <c r="A32" s="69" t="s">
        <v>344</v>
      </c>
      <c r="B32" s="129">
        <v>1.1921296296296E-2</v>
      </c>
      <c r="C32" s="70">
        <f t="shared" si="3"/>
        <v>88.869715271782823</v>
      </c>
      <c r="D32" s="78"/>
      <c r="F32" s="79" t="s">
        <v>236</v>
      </c>
      <c r="G32" s="72">
        <v>7.61</v>
      </c>
      <c r="H32" s="126">
        <v>7.57</v>
      </c>
      <c r="I32" s="73">
        <f t="shared" si="4"/>
        <v>100.52840158520475</v>
      </c>
      <c r="J32" s="70">
        <f t="shared" si="5"/>
        <v>80.565314745589617</v>
      </c>
      <c r="L32" s="81"/>
    </row>
    <row r="33" spans="1:12" x14ac:dyDescent="0.35">
      <c r="A33" s="69" t="s">
        <v>235</v>
      </c>
      <c r="B33" s="129">
        <v>1.0474537037036999E-2</v>
      </c>
      <c r="C33" s="70">
        <f t="shared" si="3"/>
        <v>78.084555651422491</v>
      </c>
      <c r="D33" s="78"/>
      <c r="F33" s="79" t="s">
        <v>343</v>
      </c>
      <c r="G33" s="72">
        <v>2.35</v>
      </c>
      <c r="H33" s="80">
        <v>2.5299999999999998</v>
      </c>
      <c r="I33" s="73">
        <f t="shared" si="4"/>
        <v>92.885375494071155</v>
      </c>
      <c r="J33" s="70">
        <f t="shared" si="5"/>
        <v>74.440052700922266</v>
      </c>
      <c r="L33" s="81"/>
    </row>
    <row r="34" spans="1:12" x14ac:dyDescent="0.35">
      <c r="A34" s="69" t="s">
        <v>348</v>
      </c>
      <c r="B34" s="129">
        <v>9.9537037037040008E-3</v>
      </c>
      <c r="C34" s="70">
        <f t="shared" si="3"/>
        <v>74.201898188094589</v>
      </c>
      <c r="D34" s="78"/>
      <c r="F34" s="79" t="s">
        <v>344</v>
      </c>
      <c r="G34" s="72">
        <v>3.34</v>
      </c>
      <c r="H34" s="80">
        <v>3.62</v>
      </c>
      <c r="I34" s="73">
        <f t="shared" si="4"/>
        <v>92.265193370165747</v>
      </c>
      <c r="J34" s="70">
        <f t="shared" si="5"/>
        <v>73.943027310842041</v>
      </c>
      <c r="L34" s="81"/>
    </row>
    <row r="35" spans="1:12" x14ac:dyDescent="0.35">
      <c r="A35" s="69" t="s">
        <v>349</v>
      </c>
      <c r="B35" s="129">
        <v>1.0034722222222001E-2</v>
      </c>
      <c r="C35" s="70">
        <f t="shared" si="3"/>
        <v>74.805867126830989</v>
      </c>
      <c r="D35" s="78"/>
      <c r="F35" s="79" t="s">
        <v>345</v>
      </c>
      <c r="G35" s="72">
        <v>0.83</v>
      </c>
      <c r="H35" s="80">
        <v>0.9</v>
      </c>
      <c r="I35" s="73">
        <f t="shared" si="4"/>
        <v>92.222222222222214</v>
      </c>
      <c r="J35" s="70">
        <f t="shared" si="5"/>
        <v>73.908589440504315</v>
      </c>
      <c r="L35" s="81"/>
    </row>
    <row r="36" spans="1:12" x14ac:dyDescent="0.35">
      <c r="A36" s="69" t="s">
        <v>341</v>
      </c>
      <c r="B36" s="129">
        <v>1.3414351851852E-2</v>
      </c>
      <c r="C36" s="70">
        <f t="shared" si="3"/>
        <v>100</v>
      </c>
      <c r="D36" s="78"/>
      <c r="F36" s="79" t="s">
        <v>346</v>
      </c>
      <c r="G36" s="72">
        <v>0.62</v>
      </c>
      <c r="H36" s="80">
        <v>0.71</v>
      </c>
      <c r="I36" s="73">
        <f t="shared" si="4"/>
        <v>87.323943661971839</v>
      </c>
      <c r="J36" s="70">
        <f t="shared" si="5"/>
        <v>69.983018679452599</v>
      </c>
      <c r="L36" s="81"/>
    </row>
    <row r="37" spans="1:12" x14ac:dyDescent="0.35">
      <c r="A37" s="69" t="s">
        <v>346</v>
      </c>
      <c r="B37" s="129">
        <v>9.8958333333329998E-3</v>
      </c>
      <c r="C37" s="70">
        <f t="shared" si="3"/>
        <v>73.770491803275391</v>
      </c>
      <c r="D37" s="78"/>
      <c r="F37" s="79" t="s">
        <v>347</v>
      </c>
      <c r="G37" s="72">
        <v>0.38</v>
      </c>
      <c r="H37" s="80">
        <v>0.5</v>
      </c>
      <c r="I37" s="73">
        <f t="shared" si="4"/>
        <v>76</v>
      </c>
      <c r="J37" s="70">
        <f t="shared" si="5"/>
        <v>60.907801418439711</v>
      </c>
      <c r="L37" s="81"/>
    </row>
    <row r="38" spans="1:12" x14ac:dyDescent="0.35">
      <c r="A38" s="69" t="s">
        <v>347</v>
      </c>
      <c r="B38" s="129">
        <v>8.9236111111110003E-3</v>
      </c>
      <c r="C38" s="70">
        <f t="shared" si="3"/>
        <v>66.522864538393605</v>
      </c>
      <c r="D38" s="78"/>
      <c r="F38" s="79" t="s">
        <v>348</v>
      </c>
      <c r="G38" s="72">
        <v>1.4</v>
      </c>
      <c r="H38" s="80">
        <v>1.89</v>
      </c>
      <c r="I38" s="73">
        <f t="shared" si="4"/>
        <v>74.074074074074076</v>
      </c>
      <c r="J38" s="70">
        <f t="shared" si="5"/>
        <v>59.36432886787496</v>
      </c>
      <c r="L38" s="81"/>
    </row>
    <row r="39" spans="1:12" x14ac:dyDescent="0.35">
      <c r="A39" s="69" t="s">
        <v>350</v>
      </c>
      <c r="B39" s="129">
        <v>7.9398148148150001E-3</v>
      </c>
      <c r="C39" s="70">
        <f t="shared" si="3"/>
        <v>59.188955996549474</v>
      </c>
      <c r="D39" s="78"/>
      <c r="F39" s="79" t="s">
        <v>349</v>
      </c>
      <c r="G39" s="72">
        <v>0.42</v>
      </c>
      <c r="H39" s="80">
        <v>0.79</v>
      </c>
      <c r="I39" s="73">
        <f t="shared" si="4"/>
        <v>53.164556962025308</v>
      </c>
      <c r="J39" s="70">
        <f t="shared" si="5"/>
        <v>42.607056288715313</v>
      </c>
      <c r="L39" s="81"/>
    </row>
    <row r="40" spans="1:12" x14ac:dyDescent="0.35">
      <c r="A40" s="69" t="s">
        <v>345</v>
      </c>
      <c r="B40" s="129">
        <v>8.5069444444439996E-3</v>
      </c>
      <c r="C40" s="70">
        <f t="shared" si="3"/>
        <v>63.416738567726782</v>
      </c>
      <c r="D40" s="78"/>
      <c r="F40" s="79" t="s">
        <v>350</v>
      </c>
      <c r="G40" s="72">
        <v>0.19</v>
      </c>
      <c r="H40" s="80">
        <v>0.37</v>
      </c>
      <c r="I40" s="73">
        <f t="shared" si="4"/>
        <v>51.351351351351347</v>
      </c>
      <c r="J40" s="70">
        <f t="shared" si="5"/>
        <v>41.153919877324121</v>
      </c>
      <c r="L40" s="81"/>
    </row>
    <row r="41" spans="1:12" x14ac:dyDescent="0.35">
      <c r="A41" s="69" t="s">
        <v>461</v>
      </c>
      <c r="B41" s="129">
        <v>9.8379629629629997E-3</v>
      </c>
      <c r="C41" s="70">
        <f t="shared" si="3"/>
        <v>73.339085418463654</v>
      </c>
      <c r="D41" s="78"/>
      <c r="F41" s="79" t="s">
        <v>461</v>
      </c>
      <c r="G41" s="72">
        <v>0.3</v>
      </c>
      <c r="H41" s="80">
        <v>0.62</v>
      </c>
      <c r="I41" s="73">
        <f t="shared" si="4"/>
        <v>48.387096774193544</v>
      </c>
      <c r="J41" s="70">
        <f t="shared" si="5"/>
        <v>38.778311599176376</v>
      </c>
      <c r="L41" s="81"/>
    </row>
    <row r="42" spans="1:12" x14ac:dyDescent="0.35">
      <c r="A42" s="76"/>
      <c r="B42" s="71"/>
      <c r="C42" s="71"/>
      <c r="D42" s="66"/>
      <c r="E42" s="66"/>
      <c r="F42" s="76"/>
      <c r="G42" s="77"/>
      <c r="H42" s="71"/>
      <c r="I42" s="64"/>
      <c r="J42" s="71"/>
    </row>
    <row r="43" spans="1:12" x14ac:dyDescent="0.35">
      <c r="A43" s="76"/>
      <c r="B43" s="71"/>
      <c r="C43" s="71"/>
      <c r="D43" s="66"/>
      <c r="E43" s="66"/>
      <c r="F43" s="76"/>
      <c r="G43" s="77"/>
      <c r="H43" s="71"/>
      <c r="I43" s="64"/>
      <c r="J43" s="71"/>
    </row>
    <row r="44" spans="1:12" x14ac:dyDescent="0.35">
      <c r="A44" s="76"/>
      <c r="B44" s="71"/>
      <c r="C44" s="71"/>
      <c r="D44" s="66"/>
      <c r="E44" s="66"/>
      <c r="F44" s="76"/>
      <c r="G44" s="77"/>
      <c r="H44" s="71"/>
      <c r="I44" s="64"/>
      <c r="J44" s="71"/>
    </row>
    <row r="46" spans="1:12" x14ac:dyDescent="0.35">
      <c r="A46" s="68" t="s">
        <v>340</v>
      </c>
      <c r="B46" s="82"/>
      <c r="C46" s="82"/>
      <c r="D46" s="82"/>
      <c r="E46" s="82"/>
      <c r="F46" s="82"/>
    </row>
    <row r="47" spans="1:12" x14ac:dyDescent="0.35">
      <c r="A47" s="83" t="s">
        <v>467</v>
      </c>
      <c r="B47" s="68">
        <v>0.3</v>
      </c>
      <c r="C47" s="68">
        <v>0.2</v>
      </c>
      <c r="D47" s="68">
        <v>0.3</v>
      </c>
      <c r="E47" s="68">
        <v>0.2</v>
      </c>
      <c r="F47" s="84"/>
    </row>
    <row r="48" spans="1:12" x14ac:dyDescent="0.35">
      <c r="A48" s="83" t="s">
        <v>458</v>
      </c>
      <c r="B48" s="84" t="s">
        <v>36</v>
      </c>
      <c r="C48" s="84" t="s">
        <v>468</v>
      </c>
      <c r="D48" s="84" t="s">
        <v>456</v>
      </c>
      <c r="E48" s="84" t="s">
        <v>469</v>
      </c>
      <c r="F48" s="84" t="s">
        <v>470</v>
      </c>
    </row>
    <row r="49" spans="1:7" x14ac:dyDescent="0.35">
      <c r="A49" s="85" t="s">
        <v>233</v>
      </c>
      <c r="B49" s="86">
        <f t="shared" ref="B49:B62" si="6">VLOOKUP(A49,$A$10:$C$23,3,0)</f>
        <v>100</v>
      </c>
      <c r="C49" s="86">
        <f t="shared" ref="C49:C62" si="7">VLOOKUP(A49,$A$28:$C$41,3,0)</f>
        <v>98.015530629851128</v>
      </c>
      <c r="D49" s="86">
        <f t="shared" ref="D49:D62" si="8">VLOOKUP(A49,$F$10:$J$23,5,0)</f>
        <v>85.477348989955473</v>
      </c>
      <c r="E49" s="86">
        <f t="shared" ref="E49:E62" si="9">VLOOKUP(A49,$F$28:$J$41,5,0)</f>
        <v>88.444827806529929</v>
      </c>
      <c r="F49" s="87">
        <f t="shared" ref="F49:F62" si="10">(B49*B$47)+(C49*C$47)+(D49*D$47)+(E49*E$47)</f>
        <v>92.935276384262863</v>
      </c>
    </row>
    <row r="50" spans="1:7" x14ac:dyDescent="0.35">
      <c r="A50" s="85" t="s">
        <v>235</v>
      </c>
      <c r="B50" s="86">
        <f t="shared" si="6"/>
        <v>61.19914443318698</v>
      </c>
      <c r="C50" s="86">
        <f t="shared" si="7"/>
        <v>78.084555651422491</v>
      </c>
      <c r="D50" s="86">
        <f t="shared" si="8"/>
        <v>100</v>
      </c>
      <c r="E50" s="86">
        <f t="shared" si="9"/>
        <v>85.297167268051922</v>
      </c>
      <c r="F50" s="87">
        <f t="shared" si="10"/>
        <v>81.036087913850977</v>
      </c>
    </row>
    <row r="51" spans="1:7" x14ac:dyDescent="0.35">
      <c r="A51" s="85" t="s">
        <v>236</v>
      </c>
      <c r="B51" s="86">
        <f t="shared" si="6"/>
        <v>82.890915231340756</v>
      </c>
      <c r="C51" s="86">
        <f t="shared" si="7"/>
        <v>99.827437446075308</v>
      </c>
      <c r="D51" s="86">
        <f t="shared" si="8"/>
        <v>36.595334838494153</v>
      </c>
      <c r="E51" s="86">
        <f t="shared" si="9"/>
        <v>80.565314745589617</v>
      </c>
      <c r="F51" s="87">
        <f t="shared" si="10"/>
        <v>71.924425459283469</v>
      </c>
    </row>
    <row r="52" spans="1:7" x14ac:dyDescent="0.35">
      <c r="A52" s="85" t="s">
        <v>237</v>
      </c>
      <c r="B52" s="86">
        <f t="shared" si="6"/>
        <v>62.192052234605434</v>
      </c>
      <c r="C52" s="86">
        <f t="shared" si="7"/>
        <v>87.402933563415502</v>
      </c>
      <c r="D52" s="86">
        <f t="shared" si="8"/>
        <v>35.965335486701278</v>
      </c>
      <c r="E52" s="86">
        <f t="shared" si="9"/>
        <v>100</v>
      </c>
      <c r="F52" s="87">
        <f t="shared" si="10"/>
        <v>66.927803029075122</v>
      </c>
    </row>
    <row r="53" spans="1:7" x14ac:dyDescent="0.35">
      <c r="A53" s="69" t="s">
        <v>341</v>
      </c>
      <c r="B53" s="87">
        <f t="shared" si="6"/>
        <v>43.718113250028146</v>
      </c>
      <c r="C53" s="87">
        <f t="shared" si="7"/>
        <v>100</v>
      </c>
      <c r="D53" s="87">
        <f t="shared" si="8"/>
        <v>35.743810349096314</v>
      </c>
      <c r="E53" s="87">
        <f t="shared" si="9"/>
        <v>90.495096542129019</v>
      </c>
      <c r="F53" s="87">
        <f t="shared" si="10"/>
        <v>61.937596388163144</v>
      </c>
    </row>
    <row r="54" spans="1:7" x14ac:dyDescent="0.35">
      <c r="A54" s="85" t="s">
        <v>343</v>
      </c>
      <c r="B54" s="86">
        <f t="shared" si="6"/>
        <v>73.842170437915115</v>
      </c>
      <c r="C54" s="86">
        <f t="shared" si="7"/>
        <v>78.170836928384844</v>
      </c>
      <c r="D54" s="86">
        <f t="shared" si="8"/>
        <v>26.217113938142099</v>
      </c>
      <c r="E54" s="86">
        <f t="shared" si="9"/>
        <v>74.440052700922266</v>
      </c>
      <c r="F54" s="87">
        <f t="shared" si="10"/>
        <v>60.539963238678581</v>
      </c>
      <c r="G54" s="88"/>
    </row>
    <row r="55" spans="1:7" x14ac:dyDescent="0.35">
      <c r="A55" s="85" t="s">
        <v>348</v>
      </c>
      <c r="B55" s="86">
        <f t="shared" si="6"/>
        <v>64.535404705617466</v>
      </c>
      <c r="C55" s="86">
        <f t="shared" si="7"/>
        <v>74.201898188094589</v>
      </c>
      <c r="D55" s="86">
        <f t="shared" si="8"/>
        <v>46.765931319354351</v>
      </c>
      <c r="E55" s="86">
        <f t="shared" si="9"/>
        <v>59.36432886787496</v>
      </c>
      <c r="F55" s="87">
        <f t="shared" si="10"/>
        <v>60.103646218685462</v>
      </c>
      <c r="G55" s="88"/>
    </row>
    <row r="56" spans="1:7" x14ac:dyDescent="0.35">
      <c r="A56" s="85" t="s">
        <v>344</v>
      </c>
      <c r="B56" s="86">
        <f t="shared" si="6"/>
        <v>59.707756388607457</v>
      </c>
      <c r="C56" s="86">
        <f t="shared" si="7"/>
        <v>88.869715271782823</v>
      </c>
      <c r="D56" s="86">
        <f t="shared" si="8"/>
        <v>23.80215031219414</v>
      </c>
      <c r="E56" s="86">
        <f t="shared" si="9"/>
        <v>73.943027310842041</v>
      </c>
      <c r="F56" s="87">
        <f t="shared" si="10"/>
        <v>57.615520526765451</v>
      </c>
      <c r="G56" s="88"/>
    </row>
    <row r="57" spans="1:7" x14ac:dyDescent="0.35">
      <c r="A57" s="69" t="s">
        <v>345</v>
      </c>
      <c r="B57" s="87">
        <f t="shared" si="6"/>
        <v>33.855679387594286</v>
      </c>
      <c r="C57" s="87">
        <f t="shared" si="7"/>
        <v>63.416738567726782</v>
      </c>
      <c r="D57" s="87">
        <f t="shared" si="8"/>
        <v>41.831836563205719</v>
      </c>
      <c r="E57" s="87">
        <f t="shared" si="9"/>
        <v>73.908589440504315</v>
      </c>
      <c r="F57" s="87">
        <f t="shared" si="10"/>
        <v>50.171320386886222</v>
      </c>
      <c r="G57" s="88"/>
    </row>
    <row r="58" spans="1:7" x14ac:dyDescent="0.35">
      <c r="A58" s="85" t="s">
        <v>346</v>
      </c>
      <c r="B58" s="86">
        <f t="shared" si="6"/>
        <v>33.679162445119893</v>
      </c>
      <c r="C58" s="86">
        <f t="shared" si="7"/>
        <v>73.770491803275391</v>
      </c>
      <c r="D58" s="86">
        <f t="shared" si="8"/>
        <v>24.541344117080691</v>
      </c>
      <c r="E58" s="86">
        <f t="shared" si="9"/>
        <v>69.983018679452599</v>
      </c>
      <c r="F58" s="87">
        <f t="shared" si="10"/>
        <v>46.216854065205766</v>
      </c>
    </row>
    <row r="59" spans="1:7" x14ac:dyDescent="0.35">
      <c r="A59" s="69" t="s">
        <v>347</v>
      </c>
      <c r="B59" s="87">
        <f t="shared" si="6"/>
        <v>30.184397163120568</v>
      </c>
      <c r="C59" s="87">
        <f t="shared" si="7"/>
        <v>66.522864538393605</v>
      </c>
      <c r="D59" s="87">
        <f t="shared" si="8"/>
        <v>19.87338029871923</v>
      </c>
      <c r="E59" s="87">
        <f t="shared" si="9"/>
        <v>60.907801418439711</v>
      </c>
      <c r="F59" s="87">
        <f t="shared" si="10"/>
        <v>40.503466429918603</v>
      </c>
    </row>
    <row r="60" spans="1:7" x14ac:dyDescent="0.35">
      <c r="A60" s="85" t="s">
        <v>349</v>
      </c>
      <c r="B60" s="86">
        <f t="shared" si="6"/>
        <v>25.490937746256897</v>
      </c>
      <c r="C60" s="86">
        <f t="shared" si="7"/>
        <v>74.805867126830989</v>
      </c>
      <c r="D60" s="86">
        <f t="shared" si="8"/>
        <v>24.512942442362679</v>
      </c>
      <c r="E60" s="86">
        <f t="shared" si="9"/>
        <v>42.607056288715313</v>
      </c>
      <c r="F60" s="87">
        <f t="shared" si="10"/>
        <v>38.48374873969513</v>
      </c>
    </row>
    <row r="61" spans="1:7" x14ac:dyDescent="0.35">
      <c r="A61" s="69" t="s">
        <v>461</v>
      </c>
      <c r="B61" s="87">
        <f t="shared" si="6"/>
        <v>29.775526286164585</v>
      </c>
      <c r="C61" s="87">
        <f t="shared" si="7"/>
        <v>73.339085418463654</v>
      </c>
      <c r="D61" s="87">
        <f t="shared" si="8"/>
        <v>15.776578360980443</v>
      </c>
      <c r="E61" s="87">
        <f t="shared" si="9"/>
        <v>38.778311599176376</v>
      </c>
      <c r="F61" s="87">
        <f t="shared" si="10"/>
        <v>36.089110797671516</v>
      </c>
    </row>
    <row r="62" spans="1:7" x14ac:dyDescent="0.35">
      <c r="A62" s="69" t="s">
        <v>350</v>
      </c>
      <c r="B62" s="87">
        <f t="shared" si="6"/>
        <v>28.071597433299562</v>
      </c>
      <c r="C62" s="87">
        <f t="shared" si="7"/>
        <v>59.188955996549474</v>
      </c>
      <c r="D62" s="87">
        <f t="shared" si="8"/>
        <v>3.8885932579881377</v>
      </c>
      <c r="E62" s="87">
        <f t="shared" si="9"/>
        <v>41.153919877324121</v>
      </c>
      <c r="F62" s="87">
        <f t="shared" si="10"/>
        <v>29.656632382161028</v>
      </c>
    </row>
  </sheetData>
  <sortState xmlns:xlrd2="http://schemas.microsoft.com/office/spreadsheetml/2017/richdata2" ref="A49:F62">
    <sortCondition descending="1" ref="F49:F62"/>
  </sortState>
  <mergeCells count="4">
    <mergeCell ref="B8:C8"/>
    <mergeCell ref="G8:J8"/>
    <mergeCell ref="B26:C26"/>
    <mergeCell ref="G26:J26"/>
  </mergeCells>
  <conditionalFormatting sqref="F49:F61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49:F6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2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6B4E01-772E-4911-AB8B-2F2BB640DC14}">
  <sheetPr>
    <tabColor theme="7" tint="0.39997558519241921"/>
  </sheetPr>
  <dimension ref="A1:L74"/>
  <sheetViews>
    <sheetView showGridLines="0" topLeftCell="A18" zoomScale="70" zoomScaleNormal="70" workbookViewId="0">
      <selection activeCell="M21" sqref="M21"/>
    </sheetView>
  </sheetViews>
  <sheetFormatPr defaultColWidth="9.08984375" defaultRowHeight="14.5" x14ac:dyDescent="0.35"/>
  <cols>
    <col min="1" max="1" width="30.08984375" style="63" bestFit="1" customWidth="1"/>
    <col min="2" max="2" width="12.453125" style="63" bestFit="1" customWidth="1"/>
    <col min="3" max="3" width="10.6328125" style="63" bestFit="1" customWidth="1"/>
    <col min="4" max="4" width="5.54296875" style="63" bestFit="1" customWidth="1"/>
    <col min="5" max="5" width="9.90625" style="63" bestFit="1" customWidth="1"/>
    <col min="6" max="6" width="23.54296875" style="63" bestFit="1" customWidth="1"/>
    <col min="7" max="7" width="11" style="63" bestFit="1" customWidth="1"/>
    <col min="8" max="8" width="5.453125" style="63" bestFit="1" customWidth="1"/>
    <col min="9" max="9" width="6.54296875" style="63" bestFit="1" customWidth="1"/>
    <col min="10" max="10" width="5.90625" style="63" bestFit="1" customWidth="1"/>
    <col min="11" max="11" width="9.54296875" style="64" bestFit="1" customWidth="1"/>
    <col min="12" max="12" width="14.90625" style="63" bestFit="1" customWidth="1"/>
    <col min="13" max="16384" width="9.08984375" style="63"/>
  </cols>
  <sheetData>
    <row r="1" spans="1:12" x14ac:dyDescent="0.35">
      <c r="A1" s="1" t="s">
        <v>225</v>
      </c>
    </row>
    <row r="2" spans="1:12" x14ac:dyDescent="0.35">
      <c r="A2" s="1" t="s">
        <v>471</v>
      </c>
    </row>
    <row r="3" spans="1:12" x14ac:dyDescent="0.35">
      <c r="A3" s="1" t="s">
        <v>29</v>
      </c>
    </row>
    <row r="4" spans="1:12" x14ac:dyDescent="0.35">
      <c r="A4" s="23" t="s">
        <v>226</v>
      </c>
    </row>
    <row r="5" spans="1:12" x14ac:dyDescent="0.35">
      <c r="A5" s="8" t="str">
        <f>'Hindi GEC'!A5</f>
        <v>Geo: Delhi</v>
      </c>
    </row>
    <row r="6" spans="1:12" ht="17.25" customHeight="1" x14ac:dyDescent="0.35">
      <c r="A6" s="8"/>
    </row>
    <row r="7" spans="1:12" ht="15" thickBot="1" x14ac:dyDescent="0.4"/>
    <row r="8" spans="1:12" x14ac:dyDescent="0.35">
      <c r="A8" s="65" t="s">
        <v>454</v>
      </c>
      <c r="B8" s="590" t="s">
        <v>455</v>
      </c>
      <c r="C8" s="591"/>
      <c r="D8" s="66"/>
      <c r="E8" s="66"/>
      <c r="F8" s="65" t="s">
        <v>456</v>
      </c>
      <c r="G8" s="592" t="s">
        <v>457</v>
      </c>
      <c r="H8" s="592"/>
      <c r="I8" s="592"/>
      <c r="J8" s="592"/>
    </row>
    <row r="9" spans="1:12" x14ac:dyDescent="0.35">
      <c r="A9" s="67" t="s">
        <v>458</v>
      </c>
      <c r="B9" s="68" t="str">
        <f>'Hindi GEC'!B9</f>
        <v>MF 22-40 A</v>
      </c>
      <c r="C9" s="68" t="s">
        <v>459</v>
      </c>
      <c r="D9" s="66"/>
      <c r="E9" s="66"/>
      <c r="F9" s="67" t="s">
        <v>458</v>
      </c>
      <c r="G9" s="68" t="str">
        <f>'Hindi GEC'!G9</f>
        <v>MF 22-40 A</v>
      </c>
      <c r="H9" s="68" t="s">
        <v>460</v>
      </c>
      <c r="I9" s="68" t="s">
        <v>456</v>
      </c>
      <c r="J9" s="68" t="s">
        <v>459</v>
      </c>
    </row>
    <row r="10" spans="1:12" x14ac:dyDescent="0.35">
      <c r="A10" s="69" t="s">
        <v>238</v>
      </c>
      <c r="B10" s="70">
        <v>2134.7800000000002</v>
      </c>
      <c r="C10" s="70">
        <f>B10/MAX($B$10:$B$28)*100</f>
        <v>87.68287974501574</v>
      </c>
      <c r="D10" s="89"/>
      <c r="E10" s="66"/>
      <c r="F10" s="69" t="s">
        <v>238</v>
      </c>
      <c r="G10" s="72">
        <v>0.18</v>
      </c>
      <c r="H10" s="73">
        <v>7058.8235294117649</v>
      </c>
      <c r="I10" s="73">
        <f t="shared" ref="I10:I28" si="0">+H10/G10</f>
        <v>39215.686274509804</v>
      </c>
      <c r="J10" s="70">
        <f>MIN($I$10:$I$28)/I10*100</f>
        <v>19.620968338557994</v>
      </c>
      <c r="L10" s="90"/>
    </row>
    <row r="11" spans="1:12" x14ac:dyDescent="0.35">
      <c r="A11" s="69" t="s">
        <v>241</v>
      </c>
      <c r="B11" s="70">
        <v>2306.85</v>
      </c>
      <c r="C11" s="70">
        <f t="shared" ref="C11:C28" si="1">B11/MAX($B$10:$B$28)*100</f>
        <v>94.750396359245244</v>
      </c>
      <c r="D11" s="89"/>
      <c r="E11" s="66"/>
      <c r="F11" s="69" t="s">
        <v>241</v>
      </c>
      <c r="G11" s="72">
        <v>0.25</v>
      </c>
      <c r="H11" s="73">
        <v>5290.480922098569</v>
      </c>
      <c r="I11" s="73">
        <f t="shared" si="0"/>
        <v>21161.923688394276</v>
      </c>
      <c r="J11" s="70">
        <f t="shared" ref="J11:J28" si="2">MIN($I$10:$I$28)/I11*100</f>
        <v>36.360103651113981</v>
      </c>
    </row>
    <row r="12" spans="1:12" x14ac:dyDescent="0.35">
      <c r="A12" s="69" t="s">
        <v>242</v>
      </c>
      <c r="B12" s="70">
        <v>2434.66</v>
      </c>
      <c r="C12" s="70">
        <f t="shared" si="1"/>
        <v>100</v>
      </c>
      <c r="D12" s="89"/>
      <c r="E12" s="66"/>
      <c r="F12" s="69" t="s">
        <v>242</v>
      </c>
      <c r="G12" s="72">
        <v>0.23</v>
      </c>
      <c r="H12" s="73">
        <v>6077.4815042950204</v>
      </c>
      <c r="I12" s="73">
        <f t="shared" si="0"/>
        <v>26423.832627369651</v>
      </c>
      <c r="J12" s="70">
        <f t="shared" si="2"/>
        <v>29.119535747058457</v>
      </c>
    </row>
    <row r="13" spans="1:12" x14ac:dyDescent="0.35">
      <c r="A13" s="69" t="s">
        <v>354</v>
      </c>
      <c r="B13" s="70">
        <v>2012.24</v>
      </c>
      <c r="C13" s="70">
        <f t="shared" si="1"/>
        <v>82.649733433005025</v>
      </c>
      <c r="D13" s="89"/>
      <c r="E13" s="66"/>
      <c r="F13" s="69" t="s">
        <v>354</v>
      </c>
      <c r="G13" s="72">
        <v>0.13</v>
      </c>
      <c r="H13" s="73">
        <v>3822.8335877862592</v>
      </c>
      <c r="I13" s="73">
        <f t="shared" si="0"/>
        <v>29406.412213740456</v>
      </c>
      <c r="J13" s="70">
        <f t="shared" si="2"/>
        <v>26.16605294023072</v>
      </c>
    </row>
    <row r="14" spans="1:12" x14ac:dyDescent="0.35">
      <c r="A14" s="69" t="s">
        <v>352</v>
      </c>
      <c r="B14" s="70">
        <v>2320.27</v>
      </c>
      <c r="C14" s="70">
        <f t="shared" si="1"/>
        <v>95.301602687849638</v>
      </c>
      <c r="D14" s="89"/>
      <c r="E14" s="66"/>
      <c r="F14" s="69" t="s">
        <v>352</v>
      </c>
      <c r="G14" s="72">
        <v>0.17</v>
      </c>
      <c r="H14" s="73">
        <v>3292.9824561403507</v>
      </c>
      <c r="I14" s="73">
        <f t="shared" si="0"/>
        <v>19370.48503611971</v>
      </c>
      <c r="J14" s="70">
        <f t="shared" si="2"/>
        <v>39.722791521854219</v>
      </c>
    </row>
    <row r="15" spans="1:12" x14ac:dyDescent="0.35">
      <c r="A15" s="69" t="s">
        <v>239</v>
      </c>
      <c r="B15" s="70">
        <v>2045.87</v>
      </c>
      <c r="C15" s="70">
        <f t="shared" si="1"/>
        <v>84.03103513426926</v>
      </c>
      <c r="D15" s="89"/>
      <c r="E15" s="66"/>
      <c r="F15" s="69" t="s">
        <v>239</v>
      </c>
      <c r="G15" s="72">
        <v>0.11</v>
      </c>
      <c r="H15" s="73"/>
      <c r="I15" s="73"/>
      <c r="J15" s="70"/>
    </row>
    <row r="16" spans="1:12" x14ac:dyDescent="0.35">
      <c r="A16" s="69" t="s">
        <v>361</v>
      </c>
      <c r="B16" s="70">
        <v>2161.4</v>
      </c>
      <c r="C16" s="70">
        <f t="shared" si="1"/>
        <v>88.776256232903165</v>
      </c>
      <c r="D16" s="89"/>
      <c r="E16" s="66"/>
      <c r="F16" s="69" t="s">
        <v>361</v>
      </c>
      <c r="G16" s="72">
        <v>0.16</v>
      </c>
      <c r="H16" s="73">
        <v>3575.3488509301997</v>
      </c>
      <c r="I16" s="73">
        <f t="shared" si="0"/>
        <v>22345.930318313749</v>
      </c>
      <c r="J16" s="70">
        <f t="shared" si="2"/>
        <v>34.433551336028856</v>
      </c>
    </row>
    <row r="17" spans="1:10" x14ac:dyDescent="0.35">
      <c r="A17" s="69" t="s">
        <v>240</v>
      </c>
      <c r="B17" s="70">
        <v>2041.48</v>
      </c>
      <c r="C17" s="70">
        <f t="shared" si="1"/>
        <v>83.850722482810752</v>
      </c>
      <c r="D17" s="89"/>
      <c r="E17" s="66"/>
      <c r="F17" s="69" t="s">
        <v>240</v>
      </c>
      <c r="G17" s="72">
        <v>0.17</v>
      </c>
      <c r="H17" s="73">
        <v>1712.6436781609195</v>
      </c>
      <c r="I17" s="73">
        <f t="shared" si="0"/>
        <v>10074.374577417173</v>
      </c>
      <c r="J17" s="70">
        <f t="shared" si="2"/>
        <v>76.376923733984142</v>
      </c>
    </row>
    <row r="18" spans="1:10" x14ac:dyDescent="0.35">
      <c r="A18" s="69" t="s">
        <v>356</v>
      </c>
      <c r="B18" s="70">
        <v>1890.96</v>
      </c>
      <c r="C18" s="70">
        <f t="shared" si="1"/>
        <v>77.668339727107693</v>
      </c>
      <c r="D18" s="89"/>
      <c r="E18" s="66"/>
      <c r="F18" s="69" t="s">
        <v>356</v>
      </c>
      <c r="G18" s="72">
        <v>0.1</v>
      </c>
      <c r="H18" s="73">
        <v>1200</v>
      </c>
      <c r="I18" s="73">
        <f t="shared" si="0"/>
        <v>12000</v>
      </c>
      <c r="J18" s="70">
        <f t="shared" si="2"/>
        <v>64.120811563915012</v>
      </c>
    </row>
    <row r="19" spans="1:10" x14ac:dyDescent="0.35">
      <c r="A19" s="69" t="s">
        <v>357</v>
      </c>
      <c r="B19" s="70">
        <v>1810.1</v>
      </c>
      <c r="C19" s="70">
        <f t="shared" si="1"/>
        <v>74.347136766530028</v>
      </c>
      <c r="D19" s="89"/>
      <c r="E19" s="66"/>
      <c r="F19" s="69" t="s">
        <v>357</v>
      </c>
      <c r="G19" s="72">
        <v>0.08</v>
      </c>
      <c r="H19" s="73">
        <v>1294.3478260869565</v>
      </c>
      <c r="I19" s="73">
        <f t="shared" si="0"/>
        <v>16179.347826086956</v>
      </c>
      <c r="J19" s="70">
        <f t="shared" si="2"/>
        <v>47.557525002729037</v>
      </c>
    </row>
    <row r="20" spans="1:10" x14ac:dyDescent="0.35">
      <c r="A20" s="69" t="s">
        <v>364</v>
      </c>
      <c r="B20" s="70">
        <v>1238.46</v>
      </c>
      <c r="C20" s="70">
        <f t="shared" si="1"/>
        <v>50.867882989821986</v>
      </c>
      <c r="D20" s="89"/>
      <c r="E20" s="66"/>
      <c r="F20" s="69" t="s">
        <v>364</v>
      </c>
      <c r="G20" s="72">
        <v>0.06</v>
      </c>
      <c r="H20" s="73">
        <v>1200</v>
      </c>
      <c r="I20" s="73">
        <f t="shared" si="0"/>
        <v>20000</v>
      </c>
      <c r="J20" s="70">
        <f t="shared" si="2"/>
        <v>38.472486938349007</v>
      </c>
    </row>
    <row r="21" spans="1:10" x14ac:dyDescent="0.35">
      <c r="A21" s="69" t="s">
        <v>359</v>
      </c>
      <c r="B21" s="70">
        <v>1733.38</v>
      </c>
      <c r="C21" s="70">
        <f t="shared" si="1"/>
        <v>71.195978083182055</v>
      </c>
      <c r="D21" s="89"/>
      <c r="E21" s="66"/>
      <c r="F21" s="69" t="s">
        <v>359</v>
      </c>
      <c r="G21" s="72">
        <v>0.1</v>
      </c>
      <c r="H21" s="73">
        <v>3000</v>
      </c>
      <c r="I21" s="73">
        <f t="shared" si="0"/>
        <v>30000</v>
      </c>
      <c r="J21" s="70">
        <f t="shared" si="2"/>
        <v>25.648324625566005</v>
      </c>
    </row>
    <row r="22" spans="1:10" x14ac:dyDescent="0.35">
      <c r="A22" s="69" t="s">
        <v>353</v>
      </c>
      <c r="B22" s="70">
        <v>1999.99</v>
      </c>
      <c r="C22" s="70">
        <f t="shared" si="1"/>
        <v>82.146583095791613</v>
      </c>
      <c r="D22" s="89"/>
      <c r="E22" s="66"/>
      <c r="F22" s="69" t="s">
        <v>353</v>
      </c>
      <c r="G22" s="72">
        <v>0.1</v>
      </c>
      <c r="H22" s="73">
        <v>1831.682119205298</v>
      </c>
      <c r="I22" s="73">
        <f t="shared" si="0"/>
        <v>18316.821192052979</v>
      </c>
      <c r="J22" s="70">
        <f t="shared" si="2"/>
        <v>42.007820609223238</v>
      </c>
    </row>
    <row r="23" spans="1:10" x14ac:dyDescent="0.35">
      <c r="A23" s="69" t="s">
        <v>351</v>
      </c>
      <c r="B23" s="70">
        <v>1904.36</v>
      </c>
      <c r="C23" s="70">
        <f t="shared" si="1"/>
        <v>78.218724585773785</v>
      </c>
      <c r="D23" s="89"/>
      <c r="E23" s="66"/>
      <c r="F23" s="69" t="s">
        <v>351</v>
      </c>
      <c r="G23" s="72">
        <v>0.13</v>
      </c>
      <c r="H23" s="73">
        <v>2580.3146584804299</v>
      </c>
      <c r="I23" s="73">
        <f t="shared" si="0"/>
        <v>19848.574296003306</v>
      </c>
      <c r="J23" s="70">
        <f t="shared" si="2"/>
        <v>38.765995345162693</v>
      </c>
    </row>
    <row r="24" spans="1:10" x14ac:dyDescent="0.35">
      <c r="A24" s="79" t="s">
        <v>360</v>
      </c>
      <c r="B24" s="70">
        <v>151.65</v>
      </c>
      <c r="C24" s="70">
        <f t="shared" si="1"/>
        <v>6.2287958072174359</v>
      </c>
      <c r="D24" s="89"/>
      <c r="E24" s="66"/>
      <c r="F24" s="79" t="s">
        <v>360</v>
      </c>
      <c r="G24" s="72">
        <v>0.01</v>
      </c>
      <c r="H24" s="73">
        <v>881.488736532811</v>
      </c>
      <c r="I24" s="73">
        <f t="shared" si="0"/>
        <v>88148.873653281102</v>
      </c>
      <c r="J24" s="70">
        <f t="shared" si="2"/>
        <v>8.7289798142342967</v>
      </c>
    </row>
    <row r="25" spans="1:10" x14ac:dyDescent="0.35">
      <c r="A25" s="69" t="s">
        <v>363</v>
      </c>
      <c r="B25" s="70">
        <v>1317.11</v>
      </c>
      <c r="C25" s="70">
        <f t="shared" si="1"/>
        <v>54.098313522216657</v>
      </c>
      <c r="D25" s="89"/>
      <c r="E25" s="66"/>
      <c r="F25" s="75" t="s">
        <v>363</v>
      </c>
      <c r="G25" s="72">
        <v>0.12</v>
      </c>
      <c r="H25" s="73">
        <v>2300</v>
      </c>
      <c r="I25" s="73">
        <f t="shared" si="0"/>
        <v>19166.666666666668</v>
      </c>
      <c r="J25" s="70">
        <f t="shared" si="2"/>
        <v>40.145203761755482</v>
      </c>
    </row>
    <row r="26" spans="1:10" x14ac:dyDescent="0.35">
      <c r="A26" s="69" t="s">
        <v>362</v>
      </c>
      <c r="B26" s="70">
        <v>1709.76</v>
      </c>
      <c r="C26" s="70">
        <f t="shared" si="1"/>
        <v>70.225822086040765</v>
      </c>
      <c r="D26" s="89"/>
      <c r="E26" s="66"/>
      <c r="F26" s="75" t="s">
        <v>362</v>
      </c>
      <c r="G26" s="72">
        <v>7.0000000000000007E-2</v>
      </c>
      <c r="H26" s="73">
        <v>3078.1395348837204</v>
      </c>
      <c r="I26" s="73">
        <f t="shared" si="0"/>
        <v>43973.42192691029</v>
      </c>
      <c r="J26" s="70">
        <f t="shared" si="2"/>
        <v>17.498063717804555</v>
      </c>
    </row>
    <row r="27" spans="1:10" x14ac:dyDescent="0.35">
      <c r="A27" s="75" t="s">
        <v>355</v>
      </c>
      <c r="B27" s="70">
        <v>1643.54</v>
      </c>
      <c r="C27" s="70">
        <f t="shared" si="1"/>
        <v>67.505935120304272</v>
      </c>
      <c r="D27" s="89"/>
      <c r="E27" s="66"/>
      <c r="F27" s="75" t="s">
        <v>355</v>
      </c>
      <c r="G27" s="72">
        <v>0.17</v>
      </c>
      <c r="H27" s="73">
        <v>5060.1623147494702</v>
      </c>
      <c r="I27" s="73">
        <f t="shared" si="0"/>
        <v>29765.660674996881</v>
      </c>
      <c r="J27" s="70">
        <f t="shared" si="2"/>
        <v>25.850248955277415</v>
      </c>
    </row>
    <row r="28" spans="1:10" x14ac:dyDescent="0.35">
      <c r="A28" s="75" t="s">
        <v>358</v>
      </c>
      <c r="B28" s="70">
        <v>1300.92</v>
      </c>
      <c r="C28" s="70">
        <f t="shared" si="1"/>
        <v>53.433333607156655</v>
      </c>
      <c r="D28" s="66"/>
      <c r="E28" s="66"/>
      <c r="F28" s="75" t="s">
        <v>358</v>
      </c>
      <c r="G28" s="72">
        <v>0.09</v>
      </c>
      <c r="H28" s="73">
        <v>692.5047648902821</v>
      </c>
      <c r="I28" s="73">
        <f t="shared" si="0"/>
        <v>7694.4973876698014</v>
      </c>
      <c r="J28" s="70">
        <f t="shared" si="2"/>
        <v>100</v>
      </c>
    </row>
    <row r="29" spans="1:10" x14ac:dyDescent="0.35">
      <c r="A29" s="76"/>
      <c r="B29" s="71"/>
      <c r="C29" s="71"/>
      <c r="D29" s="66"/>
      <c r="E29" s="66"/>
      <c r="F29" s="76"/>
      <c r="G29" s="77"/>
      <c r="H29" s="71"/>
      <c r="I29" s="64"/>
      <c r="J29" s="71"/>
    </row>
    <row r="30" spans="1:10" ht="15" thickBot="1" x14ac:dyDescent="0.4">
      <c r="A30" s="66"/>
      <c r="B30" s="66"/>
      <c r="C30" s="66"/>
      <c r="D30" s="66"/>
      <c r="E30" s="66"/>
      <c r="F30" s="66"/>
      <c r="G30" s="66"/>
      <c r="H30" s="66"/>
      <c r="I30" s="66"/>
      <c r="J30" s="66"/>
    </row>
    <row r="31" spans="1:10" x14ac:dyDescent="0.35">
      <c r="A31" s="65" t="s">
        <v>462</v>
      </c>
      <c r="B31" s="590" t="s">
        <v>463</v>
      </c>
      <c r="C31" s="591"/>
      <c r="D31" s="66"/>
      <c r="E31" s="66"/>
      <c r="F31" s="65"/>
      <c r="G31" s="593" t="s">
        <v>464</v>
      </c>
      <c r="H31" s="590"/>
      <c r="I31" s="590"/>
      <c r="J31" s="591"/>
    </row>
    <row r="32" spans="1:10" x14ac:dyDescent="0.35">
      <c r="A32" s="67" t="s">
        <v>458</v>
      </c>
      <c r="B32" s="68" t="str">
        <f>B9</f>
        <v>MF 22-40 A</v>
      </c>
      <c r="C32" s="68" t="s">
        <v>459</v>
      </c>
      <c r="D32" s="66"/>
      <c r="E32" s="66"/>
      <c r="F32" s="67" t="s">
        <v>458</v>
      </c>
      <c r="G32" s="68" t="str">
        <f>G9</f>
        <v>MF 22-40 A</v>
      </c>
      <c r="H32" s="68" t="s">
        <v>465</v>
      </c>
      <c r="I32" s="68" t="s">
        <v>466</v>
      </c>
      <c r="J32" s="68" t="s">
        <v>459</v>
      </c>
    </row>
    <row r="33" spans="1:12" x14ac:dyDescent="0.35">
      <c r="A33" s="69" t="s">
        <v>238</v>
      </c>
      <c r="B33" s="129">
        <v>8.1134259259259996E-3</v>
      </c>
      <c r="C33" s="70">
        <f>+B33/(MAX($B$33:$B$51))*100</f>
        <v>81.892523364490089</v>
      </c>
      <c r="D33" s="78"/>
      <c r="F33" s="69" t="s">
        <v>351</v>
      </c>
      <c r="G33" s="72">
        <v>1.08</v>
      </c>
      <c r="H33" s="91">
        <v>0.91</v>
      </c>
      <c r="I33" s="73">
        <f t="shared" ref="I33:I51" si="3">G33/H33*100</f>
        <v>118.68131868131869</v>
      </c>
      <c r="J33" s="70">
        <f t="shared" ref="J33:J51" si="4">+I33/(MAX($I$33:$I$51))*100</f>
        <v>100</v>
      </c>
      <c r="L33" s="81"/>
    </row>
    <row r="34" spans="1:12" x14ac:dyDescent="0.35">
      <c r="A34" s="69" t="s">
        <v>241</v>
      </c>
      <c r="B34" s="129">
        <v>8.2754629629630001E-3</v>
      </c>
      <c r="C34" s="70">
        <f t="shared" ref="C34:C51" si="5">+B34/(MAX($B$33:$B$51))*100</f>
        <v>83.528037383181371</v>
      </c>
      <c r="D34" s="78"/>
      <c r="F34" s="79" t="s">
        <v>352</v>
      </c>
      <c r="G34" s="72">
        <v>1.39</v>
      </c>
      <c r="H34" s="91">
        <v>1.25</v>
      </c>
      <c r="I34" s="73">
        <f t="shared" si="3"/>
        <v>111.19999999999999</v>
      </c>
      <c r="J34" s="70">
        <f t="shared" si="4"/>
        <v>93.696296296296282</v>
      </c>
      <c r="L34" s="81"/>
    </row>
    <row r="35" spans="1:12" x14ac:dyDescent="0.35">
      <c r="A35" s="69" t="s">
        <v>242</v>
      </c>
      <c r="B35" s="129">
        <v>8.8194444444439999E-3</v>
      </c>
      <c r="C35" s="70">
        <f t="shared" si="5"/>
        <v>89.018691588784222</v>
      </c>
      <c r="D35" s="78"/>
      <c r="F35" s="79" t="s">
        <v>241</v>
      </c>
      <c r="G35" s="72">
        <v>2.0099999999999998</v>
      </c>
      <c r="H35" s="91">
        <v>1.98</v>
      </c>
      <c r="I35" s="73">
        <f t="shared" si="3"/>
        <v>101.51515151515152</v>
      </c>
      <c r="J35" s="70">
        <f t="shared" si="4"/>
        <v>85.535914702581366</v>
      </c>
      <c r="L35" s="81"/>
    </row>
    <row r="36" spans="1:12" x14ac:dyDescent="0.35">
      <c r="A36" s="69" t="s">
        <v>354</v>
      </c>
      <c r="B36" s="129">
        <v>7.5925925925930003E-3</v>
      </c>
      <c r="C36" s="70">
        <f t="shared" si="5"/>
        <v>76.635514018698842</v>
      </c>
      <c r="D36" s="78"/>
      <c r="F36" s="79" t="s">
        <v>239</v>
      </c>
      <c r="G36" s="72">
        <v>0.89</v>
      </c>
      <c r="H36" s="91">
        <v>0.89</v>
      </c>
      <c r="I36" s="73">
        <f t="shared" si="3"/>
        <v>100</v>
      </c>
      <c r="J36" s="70">
        <f t="shared" si="4"/>
        <v>84.259259259259252</v>
      </c>
      <c r="L36" s="81"/>
    </row>
    <row r="37" spans="1:12" x14ac:dyDescent="0.35">
      <c r="A37" s="69" t="s">
        <v>352</v>
      </c>
      <c r="B37" s="129">
        <v>7.9398148148150001E-3</v>
      </c>
      <c r="C37" s="70">
        <f t="shared" si="5"/>
        <v>80.140186915893011</v>
      </c>
      <c r="D37" s="78"/>
      <c r="F37" s="69" t="s">
        <v>353</v>
      </c>
      <c r="G37" s="72">
        <v>0.84</v>
      </c>
      <c r="H37" s="91">
        <v>0.85</v>
      </c>
      <c r="I37" s="73">
        <f t="shared" si="3"/>
        <v>98.82352941176471</v>
      </c>
      <c r="J37" s="70">
        <f t="shared" si="4"/>
        <v>83.267973856209153</v>
      </c>
      <c r="L37" s="81"/>
    </row>
    <row r="38" spans="1:12" x14ac:dyDescent="0.35">
      <c r="A38" s="69" t="s">
        <v>239</v>
      </c>
      <c r="B38" s="129">
        <v>7.8009259259260002E-3</v>
      </c>
      <c r="C38" s="70">
        <f t="shared" si="5"/>
        <v>78.738317757013334</v>
      </c>
      <c r="D38" s="78"/>
      <c r="F38" s="79" t="s">
        <v>354</v>
      </c>
      <c r="G38" s="72">
        <v>1.03</v>
      </c>
      <c r="H38" s="91">
        <v>1.07</v>
      </c>
      <c r="I38" s="73">
        <f t="shared" si="3"/>
        <v>96.261682242990659</v>
      </c>
      <c r="J38" s="70">
        <f t="shared" si="4"/>
        <v>81.10938040844583</v>
      </c>
      <c r="L38" s="81"/>
    </row>
    <row r="39" spans="1:12" x14ac:dyDescent="0.35">
      <c r="A39" s="69" t="s">
        <v>361</v>
      </c>
      <c r="B39" s="129">
        <v>8.5763888888889996E-3</v>
      </c>
      <c r="C39" s="70">
        <f t="shared" si="5"/>
        <v>86.565420560752344</v>
      </c>
      <c r="D39" s="78"/>
      <c r="F39" s="79" t="s">
        <v>242</v>
      </c>
      <c r="G39" s="72">
        <v>1.86</v>
      </c>
      <c r="H39" s="91">
        <v>1.95</v>
      </c>
      <c r="I39" s="73">
        <f t="shared" si="3"/>
        <v>95.384615384615387</v>
      </c>
      <c r="J39" s="70">
        <f t="shared" si="4"/>
        <v>80.370370370370367</v>
      </c>
      <c r="L39" s="81"/>
    </row>
    <row r="40" spans="1:12" x14ac:dyDescent="0.35">
      <c r="A40" s="69" t="s">
        <v>240</v>
      </c>
      <c r="B40" s="129">
        <v>9.1203703703699995E-3</v>
      </c>
      <c r="C40" s="70">
        <f t="shared" si="5"/>
        <v>92.056074766355181</v>
      </c>
      <c r="D40" s="78"/>
      <c r="F40" s="79" t="s">
        <v>238</v>
      </c>
      <c r="G40" s="72">
        <v>1.44</v>
      </c>
      <c r="H40" s="91">
        <v>1.54</v>
      </c>
      <c r="I40" s="73">
        <f t="shared" si="3"/>
        <v>93.506493506493499</v>
      </c>
      <c r="J40" s="70">
        <f t="shared" si="4"/>
        <v>78.787878787878768</v>
      </c>
      <c r="L40" s="81"/>
    </row>
    <row r="41" spans="1:12" x14ac:dyDescent="0.35">
      <c r="A41" s="69" t="s">
        <v>356</v>
      </c>
      <c r="B41" s="129">
        <v>7.9166666666670004E-3</v>
      </c>
      <c r="C41" s="70">
        <f t="shared" si="5"/>
        <v>79.90654205608142</v>
      </c>
      <c r="D41" s="78"/>
      <c r="F41" s="79" t="s">
        <v>240</v>
      </c>
      <c r="G41" s="72">
        <v>1.35</v>
      </c>
      <c r="H41" s="91">
        <v>1.46</v>
      </c>
      <c r="I41" s="73">
        <f t="shared" si="3"/>
        <v>92.465753424657535</v>
      </c>
      <c r="J41" s="70">
        <f t="shared" si="4"/>
        <v>77.910958904109577</v>
      </c>
      <c r="L41" s="81"/>
    </row>
    <row r="42" spans="1:12" x14ac:dyDescent="0.35">
      <c r="A42" s="69" t="s">
        <v>357</v>
      </c>
      <c r="B42" s="129">
        <v>7.3726851851849996E-3</v>
      </c>
      <c r="C42" s="70">
        <f t="shared" si="5"/>
        <v>74.415887850468479</v>
      </c>
      <c r="D42" s="78"/>
      <c r="F42" s="75" t="s">
        <v>355</v>
      </c>
      <c r="G42" s="72">
        <v>1.4</v>
      </c>
      <c r="H42" s="91">
        <v>1.6</v>
      </c>
      <c r="I42" s="73">
        <f t="shared" si="3"/>
        <v>87.499999999999986</v>
      </c>
      <c r="J42" s="70">
        <f t="shared" si="4"/>
        <v>73.726851851851833</v>
      </c>
      <c r="L42" s="81"/>
    </row>
    <row r="43" spans="1:12" x14ac:dyDescent="0.35">
      <c r="A43" s="69" t="s">
        <v>364</v>
      </c>
      <c r="B43" s="129">
        <v>8.0439814814809996E-3</v>
      </c>
      <c r="C43" s="70">
        <f t="shared" si="5"/>
        <v>81.191588785045198</v>
      </c>
      <c r="D43" s="78"/>
      <c r="F43" s="69" t="s">
        <v>356</v>
      </c>
      <c r="G43" s="72">
        <v>0.79</v>
      </c>
      <c r="H43" s="91">
        <v>0.93</v>
      </c>
      <c r="I43" s="73">
        <f t="shared" si="3"/>
        <v>84.946236559139791</v>
      </c>
      <c r="J43" s="70">
        <f t="shared" si="4"/>
        <v>71.575069693349263</v>
      </c>
      <c r="L43" s="81"/>
    </row>
    <row r="44" spans="1:12" x14ac:dyDescent="0.35">
      <c r="A44" s="69" t="s">
        <v>359</v>
      </c>
      <c r="B44" s="129">
        <v>8.1365740740739993E-3</v>
      </c>
      <c r="C44" s="70">
        <f t="shared" si="5"/>
        <v>82.126168224301693</v>
      </c>
      <c r="D44" s="78"/>
      <c r="F44" s="69" t="s">
        <v>357</v>
      </c>
      <c r="G44" s="72">
        <v>0.67</v>
      </c>
      <c r="H44" s="91">
        <v>0.79</v>
      </c>
      <c r="I44" s="73">
        <f t="shared" si="3"/>
        <v>84.810126582278471</v>
      </c>
      <c r="J44" s="70">
        <f t="shared" si="4"/>
        <v>71.460384435067965</v>
      </c>
      <c r="L44" s="81"/>
    </row>
    <row r="45" spans="1:12" x14ac:dyDescent="0.35">
      <c r="A45" s="69" t="s">
        <v>353</v>
      </c>
      <c r="B45" s="129">
        <v>7.3032407407409997E-3</v>
      </c>
      <c r="C45" s="70">
        <f t="shared" si="5"/>
        <v>73.714953271033679</v>
      </c>
      <c r="D45" s="78"/>
      <c r="F45" s="75" t="s">
        <v>358</v>
      </c>
      <c r="G45" s="72">
        <v>0.74</v>
      </c>
      <c r="H45" s="91">
        <v>0.91</v>
      </c>
      <c r="I45" s="73">
        <f t="shared" si="3"/>
        <v>81.318681318681314</v>
      </c>
      <c r="J45" s="70">
        <f t="shared" si="4"/>
        <v>68.518518518518505</v>
      </c>
      <c r="L45" s="81"/>
    </row>
    <row r="46" spans="1:12" x14ac:dyDescent="0.35">
      <c r="A46" s="69" t="s">
        <v>351</v>
      </c>
      <c r="B46" s="129">
        <v>7.6851851851849999E-3</v>
      </c>
      <c r="C46" s="70">
        <f t="shared" si="5"/>
        <v>77.570093457945248</v>
      </c>
      <c r="D46" s="78"/>
      <c r="F46" s="79" t="s">
        <v>359</v>
      </c>
      <c r="G46" s="72">
        <v>0.81</v>
      </c>
      <c r="H46" s="91">
        <v>1.03</v>
      </c>
      <c r="I46" s="73">
        <f t="shared" si="3"/>
        <v>78.640776699029118</v>
      </c>
      <c r="J46" s="70">
        <f t="shared" si="4"/>
        <v>66.262135922330089</v>
      </c>
      <c r="L46" s="81"/>
    </row>
    <row r="47" spans="1:12" x14ac:dyDescent="0.35">
      <c r="A47" s="79" t="s">
        <v>360</v>
      </c>
      <c r="B47" s="129">
        <v>7.3958333333330002E-3</v>
      </c>
      <c r="C47" s="70">
        <f t="shared" si="5"/>
        <v>74.64953271028007</v>
      </c>
      <c r="D47" s="78"/>
      <c r="F47" s="79" t="s">
        <v>360</v>
      </c>
      <c r="G47" s="72">
        <v>0.11</v>
      </c>
      <c r="H47" s="91">
        <v>0.14000000000000001</v>
      </c>
      <c r="I47" s="73">
        <f t="shared" si="3"/>
        <v>78.571428571428569</v>
      </c>
      <c r="J47" s="70">
        <f t="shared" si="4"/>
        <v>66.203703703703695</v>
      </c>
      <c r="L47" s="81"/>
    </row>
    <row r="48" spans="1:12" x14ac:dyDescent="0.35">
      <c r="A48" s="69" t="s">
        <v>363</v>
      </c>
      <c r="B48" s="129">
        <v>9.9074074074070005E-3</v>
      </c>
      <c r="C48" s="70">
        <f t="shared" si="5"/>
        <v>100</v>
      </c>
      <c r="D48" s="78"/>
      <c r="F48" s="79" t="s">
        <v>361</v>
      </c>
      <c r="G48" s="72">
        <v>1.29</v>
      </c>
      <c r="H48" s="91">
        <v>1.65</v>
      </c>
      <c r="I48" s="73">
        <f t="shared" si="3"/>
        <v>78.181818181818187</v>
      </c>
      <c r="J48" s="70">
        <f t="shared" si="4"/>
        <v>65.875420875420872</v>
      </c>
      <c r="L48" s="81"/>
    </row>
    <row r="49" spans="1:12" x14ac:dyDescent="0.35">
      <c r="A49" s="69" t="s">
        <v>362</v>
      </c>
      <c r="B49" s="129">
        <v>7.3726851851849996E-3</v>
      </c>
      <c r="C49" s="70">
        <f t="shared" si="5"/>
        <v>74.415887850468479</v>
      </c>
      <c r="D49" s="78"/>
      <c r="F49" s="79" t="s">
        <v>362</v>
      </c>
      <c r="G49" s="72">
        <v>0.56999999999999995</v>
      </c>
      <c r="H49" s="91">
        <v>0.75</v>
      </c>
      <c r="I49" s="73">
        <f t="shared" si="3"/>
        <v>75.999999999999986</v>
      </c>
      <c r="J49" s="70">
        <f t="shared" si="4"/>
        <v>64.037037037037024</v>
      </c>
      <c r="L49" s="81"/>
    </row>
    <row r="50" spans="1:12" x14ac:dyDescent="0.35">
      <c r="A50" s="75" t="s">
        <v>355</v>
      </c>
      <c r="B50" s="129">
        <v>8.6226851851850007E-3</v>
      </c>
      <c r="C50" s="70">
        <f t="shared" si="5"/>
        <v>87.032710280375554</v>
      </c>
      <c r="D50" s="78"/>
      <c r="E50" s="66"/>
      <c r="F50" s="79" t="s">
        <v>363</v>
      </c>
      <c r="G50" s="72">
        <v>0.99</v>
      </c>
      <c r="H50" s="91">
        <v>1.36</v>
      </c>
      <c r="I50" s="73">
        <f t="shared" si="3"/>
        <v>72.794117647058826</v>
      </c>
      <c r="J50" s="70">
        <f t="shared" si="4"/>
        <v>61.335784313725497</v>
      </c>
      <c r="L50" s="81"/>
    </row>
    <row r="51" spans="1:12" x14ac:dyDescent="0.35">
      <c r="A51" s="75" t="s">
        <v>358</v>
      </c>
      <c r="B51" s="129">
        <v>8.8657407407410002E-3</v>
      </c>
      <c r="C51" s="70">
        <f t="shared" si="5"/>
        <v>89.485981308417507</v>
      </c>
      <c r="D51" s="66"/>
      <c r="E51" s="66"/>
      <c r="F51" s="69" t="s">
        <v>364</v>
      </c>
      <c r="G51" s="72">
        <v>0.49</v>
      </c>
      <c r="H51" s="91">
        <v>0.82</v>
      </c>
      <c r="I51" s="73">
        <f t="shared" si="3"/>
        <v>59.756097560975604</v>
      </c>
      <c r="J51" s="70">
        <f t="shared" si="4"/>
        <v>50.350045167118331</v>
      </c>
    </row>
    <row r="53" spans="1:12" x14ac:dyDescent="0.35">
      <c r="A53" s="68" t="s">
        <v>340</v>
      </c>
      <c r="B53" s="82"/>
      <c r="C53" s="82"/>
      <c r="D53" s="82"/>
      <c r="E53" s="82"/>
      <c r="F53" s="82"/>
    </row>
    <row r="54" spans="1:12" x14ac:dyDescent="0.35">
      <c r="A54" s="83" t="s">
        <v>467</v>
      </c>
      <c r="B54" s="68">
        <v>0.4</v>
      </c>
      <c r="C54" s="68">
        <v>0.2</v>
      </c>
      <c r="D54" s="68">
        <v>0.2</v>
      </c>
      <c r="E54" s="68">
        <v>0.2</v>
      </c>
      <c r="F54" s="84"/>
    </row>
    <row r="55" spans="1:12" x14ac:dyDescent="0.35">
      <c r="A55" s="83" t="s">
        <v>458</v>
      </c>
      <c r="B55" s="84" t="s">
        <v>36</v>
      </c>
      <c r="C55" s="84" t="s">
        <v>468</v>
      </c>
      <c r="D55" s="84" t="s">
        <v>456</v>
      </c>
      <c r="E55" s="84" t="s">
        <v>469</v>
      </c>
      <c r="F55" s="84" t="s">
        <v>470</v>
      </c>
    </row>
    <row r="56" spans="1:12" x14ac:dyDescent="0.35">
      <c r="A56" s="85" t="s">
        <v>240</v>
      </c>
      <c r="B56" s="86">
        <f t="shared" ref="B56:B74" si="6">VLOOKUP(A56,$A$10:$C$28,3,0)</f>
        <v>83.850722482810752</v>
      </c>
      <c r="C56" s="86">
        <f t="shared" ref="C56:C74" si="7">VLOOKUP(A56,$A$33:$C$51,3,0)</f>
        <v>92.056074766355181</v>
      </c>
      <c r="D56" s="86">
        <f t="shared" ref="D56:D74" si="8">VLOOKUP(A56,$F$10:$J$28,5,0)</f>
        <v>76.376923733984142</v>
      </c>
      <c r="E56" s="86">
        <f t="shared" ref="E56:E74" si="9">VLOOKUP(A56,$F$33:$J$51,5,0)</f>
        <v>77.910958904109577</v>
      </c>
      <c r="F56" s="87">
        <f t="shared" ref="F56:F74" si="10">(B56*B$54)+(C56*C$54)+(D56*D$54)+(E56*E$54)</f>
        <v>82.809080474014081</v>
      </c>
    </row>
    <row r="57" spans="1:12" x14ac:dyDescent="0.35">
      <c r="A57" s="85" t="s">
        <v>352</v>
      </c>
      <c r="B57" s="86">
        <f t="shared" si="6"/>
        <v>95.301602687849638</v>
      </c>
      <c r="C57" s="86">
        <f t="shared" si="7"/>
        <v>80.140186915893011</v>
      </c>
      <c r="D57" s="86">
        <f t="shared" si="8"/>
        <v>39.722791521854219</v>
      </c>
      <c r="E57" s="86">
        <f t="shared" si="9"/>
        <v>93.696296296296282</v>
      </c>
      <c r="F57" s="87">
        <f t="shared" si="10"/>
        <v>80.832496021948558</v>
      </c>
    </row>
    <row r="58" spans="1:12" x14ac:dyDescent="0.35">
      <c r="A58" s="85" t="s">
        <v>242</v>
      </c>
      <c r="B58" s="86">
        <f t="shared" si="6"/>
        <v>100</v>
      </c>
      <c r="C58" s="86">
        <f t="shared" si="7"/>
        <v>89.018691588784222</v>
      </c>
      <c r="D58" s="86">
        <f t="shared" si="8"/>
        <v>29.119535747058457</v>
      </c>
      <c r="E58" s="86">
        <f t="shared" si="9"/>
        <v>80.370370370370367</v>
      </c>
      <c r="F58" s="87">
        <f t="shared" si="10"/>
        <v>79.70171954124261</v>
      </c>
    </row>
    <row r="59" spans="1:12" x14ac:dyDescent="0.35">
      <c r="A59" s="85" t="s">
        <v>241</v>
      </c>
      <c r="B59" s="86">
        <f t="shared" si="6"/>
        <v>94.750396359245244</v>
      </c>
      <c r="C59" s="86">
        <f t="shared" si="7"/>
        <v>83.528037383181371</v>
      </c>
      <c r="D59" s="86">
        <f t="shared" si="8"/>
        <v>36.360103651113981</v>
      </c>
      <c r="E59" s="86">
        <f t="shared" si="9"/>
        <v>85.535914702581366</v>
      </c>
      <c r="F59" s="87">
        <f t="shared" si="10"/>
        <v>78.984969691073445</v>
      </c>
    </row>
    <row r="60" spans="1:12" x14ac:dyDescent="0.35">
      <c r="A60" s="85" t="s">
        <v>238</v>
      </c>
      <c r="B60" s="86">
        <f t="shared" si="6"/>
        <v>87.68287974501574</v>
      </c>
      <c r="C60" s="86">
        <f t="shared" si="7"/>
        <v>81.892523364490089</v>
      </c>
      <c r="D60" s="86">
        <f t="shared" si="8"/>
        <v>19.620968338557994</v>
      </c>
      <c r="E60" s="86">
        <f t="shared" si="9"/>
        <v>78.787878787878768</v>
      </c>
      <c r="F60" s="87">
        <f t="shared" si="10"/>
        <v>71.133425996191662</v>
      </c>
    </row>
    <row r="61" spans="1:12" x14ac:dyDescent="0.35">
      <c r="A61" s="85" t="s">
        <v>351</v>
      </c>
      <c r="B61" s="86">
        <f t="shared" si="6"/>
        <v>78.218724585773785</v>
      </c>
      <c r="C61" s="86">
        <f t="shared" si="7"/>
        <v>77.570093457945248</v>
      </c>
      <c r="D61" s="86">
        <f t="shared" si="8"/>
        <v>38.765995345162693</v>
      </c>
      <c r="E61" s="86">
        <f t="shared" si="9"/>
        <v>100</v>
      </c>
      <c r="F61" s="87">
        <f t="shared" si="10"/>
        <v>74.554707594931102</v>
      </c>
    </row>
    <row r="62" spans="1:12" x14ac:dyDescent="0.35">
      <c r="A62" s="69" t="s">
        <v>356</v>
      </c>
      <c r="B62" s="87">
        <f t="shared" si="6"/>
        <v>77.668339727107693</v>
      </c>
      <c r="C62" s="87">
        <f t="shared" si="7"/>
        <v>79.90654205608142</v>
      </c>
      <c r="D62" s="87">
        <f t="shared" si="8"/>
        <v>64.120811563915012</v>
      </c>
      <c r="E62" s="87">
        <f t="shared" si="9"/>
        <v>71.575069693349263</v>
      </c>
      <c r="F62" s="87">
        <f t="shared" si="10"/>
        <v>74.187820553512225</v>
      </c>
    </row>
    <row r="63" spans="1:12" x14ac:dyDescent="0.35">
      <c r="A63" s="69" t="s">
        <v>358</v>
      </c>
      <c r="B63" s="87">
        <f t="shared" si="6"/>
        <v>53.433333607156655</v>
      </c>
      <c r="C63" s="87">
        <f t="shared" si="7"/>
        <v>89.485981308417507</v>
      </c>
      <c r="D63" s="87">
        <f t="shared" si="8"/>
        <v>100</v>
      </c>
      <c r="E63" s="87">
        <f t="shared" si="9"/>
        <v>68.518518518518505</v>
      </c>
      <c r="F63" s="87">
        <f t="shared" si="10"/>
        <v>72.974233408249859</v>
      </c>
    </row>
    <row r="64" spans="1:12" x14ac:dyDescent="0.35">
      <c r="A64" s="85" t="s">
        <v>361</v>
      </c>
      <c r="B64" s="86">
        <f t="shared" si="6"/>
        <v>88.776256232903165</v>
      </c>
      <c r="C64" s="86">
        <f t="shared" si="7"/>
        <v>86.565420560752344</v>
      </c>
      <c r="D64" s="86">
        <f t="shared" si="8"/>
        <v>34.433551336028856</v>
      </c>
      <c r="E64" s="86">
        <f t="shared" si="9"/>
        <v>65.875420875420872</v>
      </c>
      <c r="F64" s="87">
        <f t="shared" si="10"/>
        <v>72.885381047601683</v>
      </c>
    </row>
    <row r="65" spans="1:6" x14ac:dyDescent="0.35">
      <c r="A65" s="85" t="s">
        <v>353</v>
      </c>
      <c r="B65" s="86">
        <f t="shared" si="6"/>
        <v>82.146583095791613</v>
      </c>
      <c r="C65" s="86">
        <f t="shared" si="7"/>
        <v>73.714953271033679</v>
      </c>
      <c r="D65" s="86">
        <f t="shared" si="8"/>
        <v>42.007820609223238</v>
      </c>
      <c r="E65" s="86">
        <f t="shared" si="9"/>
        <v>83.267973856209153</v>
      </c>
      <c r="F65" s="87">
        <f t="shared" si="10"/>
        <v>72.656782785609863</v>
      </c>
    </row>
    <row r="66" spans="1:6" x14ac:dyDescent="0.35">
      <c r="A66" s="85" t="s">
        <v>239</v>
      </c>
      <c r="B66" s="86">
        <f t="shared" si="6"/>
        <v>84.03103513426926</v>
      </c>
      <c r="C66" s="86">
        <f t="shared" si="7"/>
        <v>78.738317757013334</v>
      </c>
      <c r="D66" s="86">
        <f t="shared" si="8"/>
        <v>0</v>
      </c>
      <c r="E66" s="86">
        <f t="shared" si="9"/>
        <v>84.259259259259252</v>
      </c>
      <c r="F66" s="87">
        <f t="shared" si="10"/>
        <v>66.211929456962224</v>
      </c>
    </row>
    <row r="67" spans="1:6" x14ac:dyDescent="0.35">
      <c r="A67" s="85" t="s">
        <v>354</v>
      </c>
      <c r="B67" s="86">
        <f t="shared" si="6"/>
        <v>82.649733433005025</v>
      </c>
      <c r="C67" s="86">
        <f t="shared" si="7"/>
        <v>76.635514018698842</v>
      </c>
      <c r="D67" s="86">
        <f t="shared" si="8"/>
        <v>26.16605294023072</v>
      </c>
      <c r="E67" s="86">
        <f t="shared" si="9"/>
        <v>81.10938040844583</v>
      </c>
      <c r="F67" s="87">
        <f t="shared" si="10"/>
        <v>69.842082846677101</v>
      </c>
    </row>
    <row r="68" spans="1:6" x14ac:dyDescent="0.35">
      <c r="A68" s="69" t="s">
        <v>357</v>
      </c>
      <c r="B68" s="87">
        <f t="shared" si="6"/>
        <v>74.347136766530028</v>
      </c>
      <c r="C68" s="87">
        <f t="shared" si="7"/>
        <v>74.415887850468479</v>
      </c>
      <c r="D68" s="87">
        <f t="shared" si="8"/>
        <v>47.557525002729037</v>
      </c>
      <c r="E68" s="87">
        <f t="shared" si="9"/>
        <v>71.460384435067965</v>
      </c>
      <c r="F68" s="87">
        <f t="shared" si="10"/>
        <v>68.425614164265113</v>
      </c>
    </row>
    <row r="69" spans="1:6" x14ac:dyDescent="0.35">
      <c r="A69" s="69" t="s">
        <v>355</v>
      </c>
      <c r="B69" s="87">
        <f t="shared" si="6"/>
        <v>67.505935120304272</v>
      </c>
      <c r="C69" s="87">
        <f t="shared" si="7"/>
        <v>87.032710280375554</v>
      </c>
      <c r="D69" s="87">
        <f t="shared" si="8"/>
        <v>25.850248955277415</v>
      </c>
      <c r="E69" s="87">
        <f t="shared" si="9"/>
        <v>73.726851851851833</v>
      </c>
      <c r="F69" s="87">
        <f t="shared" si="10"/>
        <v>64.324336265622662</v>
      </c>
    </row>
    <row r="70" spans="1:6" x14ac:dyDescent="0.35">
      <c r="A70" s="69" t="s">
        <v>359</v>
      </c>
      <c r="B70" s="87">
        <f t="shared" si="6"/>
        <v>71.195978083182055</v>
      </c>
      <c r="C70" s="87">
        <f t="shared" si="7"/>
        <v>82.126168224301693</v>
      </c>
      <c r="D70" s="87">
        <f t="shared" si="8"/>
        <v>25.648324625566005</v>
      </c>
      <c r="E70" s="87">
        <f t="shared" si="9"/>
        <v>66.262135922330089</v>
      </c>
      <c r="F70" s="87">
        <f t="shared" si="10"/>
        <v>63.285716987712377</v>
      </c>
    </row>
    <row r="71" spans="1:6" x14ac:dyDescent="0.35">
      <c r="A71" s="69" t="s">
        <v>363</v>
      </c>
      <c r="B71" s="87">
        <f t="shared" si="6"/>
        <v>54.098313522216657</v>
      </c>
      <c r="C71" s="87">
        <f t="shared" si="7"/>
        <v>100</v>
      </c>
      <c r="D71" s="87">
        <f t="shared" si="8"/>
        <v>40.145203761755482</v>
      </c>
      <c r="E71" s="87">
        <f t="shared" si="9"/>
        <v>61.335784313725497</v>
      </c>
      <c r="F71" s="87">
        <f t="shared" si="10"/>
        <v>61.935523023982853</v>
      </c>
    </row>
    <row r="72" spans="1:6" x14ac:dyDescent="0.35">
      <c r="A72" s="69" t="s">
        <v>362</v>
      </c>
      <c r="B72" s="87">
        <f t="shared" si="6"/>
        <v>70.225822086040765</v>
      </c>
      <c r="C72" s="87">
        <f t="shared" si="7"/>
        <v>74.415887850468479</v>
      </c>
      <c r="D72" s="87">
        <f t="shared" si="8"/>
        <v>17.498063717804555</v>
      </c>
      <c r="E72" s="87">
        <f t="shared" si="9"/>
        <v>64.037037037037024</v>
      </c>
      <c r="F72" s="87">
        <f t="shared" si="10"/>
        <v>59.280526555478318</v>
      </c>
    </row>
    <row r="73" spans="1:6" x14ac:dyDescent="0.35">
      <c r="A73" s="69" t="s">
        <v>364</v>
      </c>
      <c r="B73" s="87">
        <f t="shared" si="6"/>
        <v>50.867882989821986</v>
      </c>
      <c r="C73" s="87">
        <f t="shared" si="7"/>
        <v>81.191588785045198</v>
      </c>
      <c r="D73" s="87">
        <f t="shared" si="8"/>
        <v>38.472486938349007</v>
      </c>
      <c r="E73" s="87">
        <f t="shared" si="9"/>
        <v>50.350045167118331</v>
      </c>
      <c r="F73" s="87">
        <f t="shared" si="10"/>
        <v>54.349977374031305</v>
      </c>
    </row>
    <row r="74" spans="1:6" x14ac:dyDescent="0.35">
      <c r="A74" s="69" t="s">
        <v>360</v>
      </c>
      <c r="B74" s="87">
        <f t="shared" si="6"/>
        <v>6.2287958072174359</v>
      </c>
      <c r="C74" s="87">
        <f t="shared" si="7"/>
        <v>74.64953271028007</v>
      </c>
      <c r="D74" s="87">
        <f t="shared" si="8"/>
        <v>8.7289798142342967</v>
      </c>
      <c r="E74" s="87">
        <f t="shared" si="9"/>
        <v>66.203703703703695</v>
      </c>
      <c r="F74" s="87">
        <f t="shared" si="10"/>
        <v>32.407961568530588</v>
      </c>
    </row>
  </sheetData>
  <sortState xmlns:xlrd2="http://schemas.microsoft.com/office/spreadsheetml/2017/richdata2" ref="F33:J51">
    <sortCondition descending="1" ref="I33:I51"/>
  </sortState>
  <mergeCells count="4">
    <mergeCell ref="B8:C8"/>
    <mergeCell ref="G8:J8"/>
    <mergeCell ref="B31:C31"/>
    <mergeCell ref="G31:J31"/>
  </mergeCells>
  <conditionalFormatting sqref="F56:F58 F60:F74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56:F7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9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70:F71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8F523-61DD-4187-85C1-A20AE9509B4B}">
  <sheetPr>
    <tabColor theme="7" tint="0.39997558519241921"/>
  </sheetPr>
  <dimension ref="A1:L49"/>
  <sheetViews>
    <sheetView showGridLines="0" zoomScale="70" zoomScaleNormal="70" workbookViewId="0">
      <selection activeCell="M21" sqref="M21"/>
    </sheetView>
  </sheetViews>
  <sheetFormatPr defaultColWidth="9.08984375" defaultRowHeight="14.5" x14ac:dyDescent="0.35"/>
  <cols>
    <col min="1" max="1" width="30.08984375" style="63" bestFit="1" customWidth="1"/>
    <col min="2" max="2" width="12.90625" style="63" bestFit="1" customWidth="1"/>
    <col min="3" max="3" width="10.08984375" style="63" bestFit="1" customWidth="1"/>
    <col min="4" max="4" width="12.08984375" style="63" bestFit="1" customWidth="1"/>
    <col min="5" max="5" width="9.08984375" style="63" bestFit="1" customWidth="1"/>
    <col min="6" max="6" width="26.90625" style="63" bestFit="1" customWidth="1"/>
    <col min="7" max="7" width="11.90625" style="63" bestFit="1" customWidth="1"/>
    <col min="8" max="8" width="7.453125" style="63" bestFit="1" customWidth="1"/>
    <col min="9" max="10" width="8.90625" style="63" bestFit="1" customWidth="1"/>
    <col min="11" max="11" width="9.54296875" style="64" bestFit="1" customWidth="1"/>
    <col min="12" max="12" width="14.90625" style="63" bestFit="1" customWidth="1"/>
    <col min="13" max="16384" width="9.08984375" style="63"/>
  </cols>
  <sheetData>
    <row r="1" spans="1:10" x14ac:dyDescent="0.35">
      <c r="A1" s="1" t="s">
        <v>225</v>
      </c>
    </row>
    <row r="2" spans="1:10" x14ac:dyDescent="0.35">
      <c r="A2" s="1" t="s">
        <v>471</v>
      </c>
    </row>
    <row r="3" spans="1:10" x14ac:dyDescent="0.35">
      <c r="A3" s="1" t="s">
        <v>29</v>
      </c>
    </row>
    <row r="4" spans="1:10" x14ac:dyDescent="0.35">
      <c r="A4" s="1" t="s">
        <v>226</v>
      </c>
    </row>
    <row r="5" spans="1:10" x14ac:dyDescent="0.35">
      <c r="A5" s="8" t="str">
        <f>'Hindi GEC'!A5</f>
        <v>Geo: Delhi</v>
      </c>
    </row>
    <row r="7" spans="1:10" x14ac:dyDescent="0.35">
      <c r="A7" s="65" t="s">
        <v>454</v>
      </c>
      <c r="B7" s="590" t="s">
        <v>455</v>
      </c>
      <c r="C7" s="591"/>
      <c r="D7" s="66"/>
      <c r="E7" s="66"/>
      <c r="F7" s="65" t="s">
        <v>456</v>
      </c>
      <c r="G7" s="592" t="s">
        <v>457</v>
      </c>
      <c r="H7" s="592"/>
      <c r="I7" s="592"/>
      <c r="J7" s="592"/>
    </row>
    <row r="8" spans="1:10" x14ac:dyDescent="0.35">
      <c r="A8" s="67" t="s">
        <v>458</v>
      </c>
      <c r="B8" s="68" t="str">
        <f>'Hindi Movies'!B9</f>
        <v>MF 22-40 A</v>
      </c>
      <c r="C8" s="68" t="s">
        <v>459</v>
      </c>
      <c r="D8" s="66"/>
      <c r="E8" s="66"/>
      <c r="F8" s="67" t="s">
        <v>458</v>
      </c>
      <c r="G8" s="68" t="str">
        <f>'Hindi Movies'!G9</f>
        <v>MF 22-40 A</v>
      </c>
      <c r="H8" s="68" t="s">
        <v>460</v>
      </c>
      <c r="I8" s="68" t="s">
        <v>456</v>
      </c>
      <c r="J8" s="68" t="s">
        <v>459</v>
      </c>
    </row>
    <row r="9" spans="1:10" x14ac:dyDescent="0.35">
      <c r="A9" s="69" t="s">
        <v>369</v>
      </c>
      <c r="B9" s="70">
        <v>2883.4</v>
      </c>
      <c r="C9" s="70">
        <f t="shared" ref="C9:C18" si="0">B9/MAX($B$9:$B$18)*100</f>
        <v>97.424340204687738</v>
      </c>
      <c r="D9" s="89"/>
      <c r="E9" s="66"/>
      <c r="F9" s="69" t="s">
        <v>369</v>
      </c>
      <c r="G9" s="72">
        <v>0.14000000000000001</v>
      </c>
      <c r="H9" s="70">
        <v>2874.7802547770698</v>
      </c>
      <c r="I9" s="73">
        <f t="shared" ref="I9:I18" si="1">+H9/G9</f>
        <v>20534.144676979067</v>
      </c>
      <c r="J9" s="70">
        <f t="shared" ref="J9:J18" si="2">MIN($I$9:$I$18)/I9*100</f>
        <v>31.113489212197397</v>
      </c>
    </row>
    <row r="10" spans="1:10" x14ac:dyDescent="0.35">
      <c r="A10" s="69" t="s">
        <v>367</v>
      </c>
      <c r="B10" s="70">
        <v>2932.52</v>
      </c>
      <c r="C10" s="70">
        <f t="shared" si="0"/>
        <v>99.084007122511935</v>
      </c>
      <c r="D10" s="89"/>
      <c r="E10" s="66"/>
      <c r="F10" s="69" t="s">
        <v>367</v>
      </c>
      <c r="G10" s="72">
        <v>0.27</v>
      </c>
      <c r="H10" s="70">
        <v>5175</v>
      </c>
      <c r="I10" s="73">
        <f t="shared" si="1"/>
        <v>19166.666666666664</v>
      </c>
      <c r="J10" s="70">
        <f t="shared" si="2"/>
        <v>33.333333333333336</v>
      </c>
    </row>
    <row r="11" spans="1:10" x14ac:dyDescent="0.35">
      <c r="A11" s="69" t="s">
        <v>243</v>
      </c>
      <c r="B11" s="70">
        <v>2650.92</v>
      </c>
      <c r="C11" s="70">
        <f t="shared" si="0"/>
        <v>89.569304271142002</v>
      </c>
      <c r="D11" s="89"/>
      <c r="E11" s="66"/>
      <c r="F11" s="69" t="s">
        <v>243</v>
      </c>
      <c r="G11" s="72">
        <v>0.17</v>
      </c>
      <c r="H11" s="70">
        <v>3950.1974055273549</v>
      </c>
      <c r="I11" s="73">
        <f t="shared" si="1"/>
        <v>23236.455326631498</v>
      </c>
      <c r="J11" s="70">
        <f t="shared" si="2"/>
        <v>27.495109727715349</v>
      </c>
    </row>
    <row r="12" spans="1:10" x14ac:dyDescent="0.35">
      <c r="A12" s="69" t="s">
        <v>244</v>
      </c>
      <c r="B12" s="70">
        <v>2160.16</v>
      </c>
      <c r="C12" s="70">
        <f t="shared" si="0"/>
        <v>72.987501816105379</v>
      </c>
      <c r="D12" s="89"/>
      <c r="E12" s="66"/>
      <c r="F12" s="69" t="s">
        <v>244</v>
      </c>
      <c r="G12" s="72">
        <v>0.05</v>
      </c>
      <c r="H12" s="70">
        <v>901.63934426229503</v>
      </c>
      <c r="I12" s="73">
        <f t="shared" si="1"/>
        <v>18032.7868852459</v>
      </c>
      <c r="J12" s="70">
        <f t="shared" si="2"/>
        <v>35.429292929292934</v>
      </c>
    </row>
    <row r="13" spans="1:10" x14ac:dyDescent="0.35">
      <c r="A13" s="69" t="s">
        <v>245</v>
      </c>
      <c r="B13" s="70">
        <v>2959.63</v>
      </c>
      <c r="C13" s="70">
        <f t="shared" si="0"/>
        <v>100</v>
      </c>
      <c r="D13" s="89"/>
      <c r="E13" s="66"/>
      <c r="F13" s="69" t="s">
        <v>245</v>
      </c>
      <c r="G13" s="72">
        <v>0.18</v>
      </c>
      <c r="H13" s="70">
        <v>2508.9108910891091</v>
      </c>
      <c r="I13" s="73">
        <f t="shared" si="1"/>
        <v>13938.39383938394</v>
      </c>
      <c r="J13" s="70">
        <f t="shared" si="2"/>
        <v>45.836621941594316</v>
      </c>
    </row>
    <row r="14" spans="1:10" x14ac:dyDescent="0.35">
      <c r="A14" s="69" t="s">
        <v>365</v>
      </c>
      <c r="B14" s="70">
        <v>1718.42</v>
      </c>
      <c r="C14" s="70">
        <f t="shared" si="0"/>
        <v>58.061987478164504</v>
      </c>
      <c r="D14" s="89"/>
      <c r="E14" s="66"/>
      <c r="F14" s="69" t="s">
        <v>365</v>
      </c>
      <c r="G14" s="72">
        <v>0.09</v>
      </c>
      <c r="H14" s="70">
        <v>575</v>
      </c>
      <c r="I14" s="73">
        <f t="shared" si="1"/>
        <v>6388.8888888888887</v>
      </c>
      <c r="J14" s="70">
        <f t="shared" si="2"/>
        <v>100</v>
      </c>
    </row>
    <row r="15" spans="1:10" x14ac:dyDescent="0.35">
      <c r="A15" s="69" t="s">
        <v>368</v>
      </c>
      <c r="B15" s="70">
        <v>2302.11</v>
      </c>
      <c r="C15" s="70">
        <f t="shared" si="0"/>
        <v>77.783709450167763</v>
      </c>
      <c r="D15" s="89"/>
      <c r="E15" s="66"/>
      <c r="F15" s="69" t="s">
        <v>368</v>
      </c>
      <c r="G15" s="72">
        <v>0.1</v>
      </c>
      <c r="H15" s="70">
        <v>3100</v>
      </c>
      <c r="I15" s="73">
        <f t="shared" si="1"/>
        <v>31000</v>
      </c>
      <c r="J15" s="70">
        <f t="shared" si="2"/>
        <v>20.609318996415769</v>
      </c>
    </row>
    <row r="16" spans="1:10" x14ac:dyDescent="0.35">
      <c r="A16" s="69" t="s">
        <v>246</v>
      </c>
      <c r="B16" s="70">
        <v>2454</v>
      </c>
      <c r="C16" s="70">
        <f t="shared" si="0"/>
        <v>82.915769876639985</v>
      </c>
      <c r="D16" s="89"/>
      <c r="E16" s="66"/>
      <c r="F16" s="69" t="s">
        <v>246</v>
      </c>
      <c r="G16" s="72">
        <v>0.1</v>
      </c>
      <c r="H16" s="70">
        <v>2250.8692622517024</v>
      </c>
      <c r="I16" s="73">
        <f t="shared" si="1"/>
        <v>22508.692622517021</v>
      </c>
      <c r="J16" s="70">
        <f t="shared" si="2"/>
        <v>28.384095851474001</v>
      </c>
    </row>
    <row r="17" spans="1:12" x14ac:dyDescent="0.35">
      <c r="A17" s="69" t="s">
        <v>366</v>
      </c>
      <c r="B17" s="70">
        <v>1575.04</v>
      </c>
      <c r="C17" s="70">
        <f t="shared" si="0"/>
        <v>53.217462993685018</v>
      </c>
      <c r="D17" s="89"/>
      <c r="E17" s="66"/>
      <c r="F17" s="79" t="s">
        <v>366</v>
      </c>
      <c r="G17" s="72">
        <v>0.08</v>
      </c>
      <c r="H17" s="70">
        <v>751.17370892018789</v>
      </c>
      <c r="I17" s="73">
        <f t="shared" si="1"/>
        <v>9389.6713615023491</v>
      </c>
      <c r="J17" s="70">
        <f t="shared" si="2"/>
        <v>68.041666666666657</v>
      </c>
    </row>
    <row r="18" spans="1:12" x14ac:dyDescent="0.35">
      <c r="A18" s="75" t="s">
        <v>370</v>
      </c>
      <c r="B18" s="70">
        <v>2287.38</v>
      </c>
      <c r="C18" s="70">
        <f t="shared" si="0"/>
        <v>77.286012102864206</v>
      </c>
      <c r="D18" s="89"/>
      <c r="E18" s="66"/>
      <c r="F18" s="75" t="s">
        <v>370</v>
      </c>
      <c r="G18" s="72">
        <v>0.08</v>
      </c>
      <c r="H18" s="70">
        <v>2250.0442407604874</v>
      </c>
      <c r="I18" s="73">
        <f t="shared" si="1"/>
        <v>28125.553009506093</v>
      </c>
      <c r="J18" s="70">
        <f t="shared" si="2"/>
        <v>22.715602735809398</v>
      </c>
    </row>
    <row r="19" spans="1:12" x14ac:dyDescent="0.35">
      <c r="A19" s="76"/>
      <c r="B19" s="71"/>
      <c r="C19" s="71"/>
      <c r="D19" s="66"/>
      <c r="E19" s="66"/>
      <c r="F19" s="76"/>
      <c r="G19" s="77"/>
      <c r="H19" s="71"/>
      <c r="I19" s="64"/>
      <c r="J19" s="71"/>
    </row>
    <row r="20" spans="1:12" x14ac:dyDescent="0.35">
      <c r="A20" s="66"/>
      <c r="B20" s="66"/>
      <c r="C20" s="66"/>
      <c r="D20" s="66"/>
      <c r="E20" s="66"/>
      <c r="F20" s="66"/>
      <c r="G20" s="66"/>
      <c r="H20" s="66"/>
      <c r="I20" s="66"/>
      <c r="J20" s="66"/>
    </row>
    <row r="21" spans="1:12" x14ac:dyDescent="0.35">
      <c r="A21" s="65" t="s">
        <v>462</v>
      </c>
      <c r="B21" s="590" t="s">
        <v>463</v>
      </c>
      <c r="C21" s="591"/>
      <c r="D21" s="66"/>
      <c r="E21" s="66"/>
      <c r="F21" s="65"/>
      <c r="G21" s="593" t="s">
        <v>464</v>
      </c>
      <c r="H21" s="590"/>
      <c r="I21" s="590"/>
      <c r="J21" s="591"/>
    </row>
    <row r="22" spans="1:12" x14ac:dyDescent="0.35">
      <c r="A22" s="67" t="s">
        <v>458</v>
      </c>
      <c r="B22" s="68" t="str">
        <f>'Hindi Movies'!B32</f>
        <v>MF 22-40 A</v>
      </c>
      <c r="C22" s="68" t="s">
        <v>459</v>
      </c>
      <c r="D22" s="66"/>
      <c r="E22" s="66"/>
      <c r="F22" s="67" t="s">
        <v>458</v>
      </c>
      <c r="G22" s="68" t="str">
        <f>B22</f>
        <v>MF 22-40 A</v>
      </c>
      <c r="H22" s="68" t="s">
        <v>465</v>
      </c>
      <c r="I22" s="68" t="s">
        <v>466</v>
      </c>
      <c r="J22" s="68" t="s">
        <v>459</v>
      </c>
    </row>
    <row r="23" spans="1:12" x14ac:dyDescent="0.35">
      <c r="A23" s="69" t="s">
        <v>369</v>
      </c>
      <c r="B23" s="129">
        <v>6.6435185185189996E-3</v>
      </c>
      <c r="C23" s="70">
        <f t="shared" ref="C23:C32" si="3">+B23/(MAX($B$23:$B$32))*100</f>
        <v>82.58992805756489</v>
      </c>
      <c r="D23" s="78"/>
      <c r="F23" s="79" t="s">
        <v>369</v>
      </c>
      <c r="G23" s="72">
        <v>1.1299999999999999</v>
      </c>
      <c r="H23" s="80">
        <v>1.17</v>
      </c>
      <c r="I23" s="73">
        <f>G23/H23*100</f>
        <v>96.581196581196579</v>
      </c>
      <c r="J23" s="70">
        <f t="shared" ref="J23:J32" si="4">+I23/(MAX($I$23:$I$32))*100</f>
        <v>75.977207977207968</v>
      </c>
      <c r="L23" s="81"/>
    </row>
    <row r="24" spans="1:12" x14ac:dyDescent="0.35">
      <c r="A24" s="69" t="s">
        <v>367</v>
      </c>
      <c r="B24" s="129">
        <v>8.0439814814809996E-3</v>
      </c>
      <c r="C24" s="70">
        <f t="shared" si="3"/>
        <v>100</v>
      </c>
      <c r="D24" s="78"/>
      <c r="F24" s="79" t="s">
        <v>367</v>
      </c>
      <c r="G24" s="72">
        <v>2.15</v>
      </c>
      <c r="H24" s="80">
        <v>2.0499999999999998</v>
      </c>
      <c r="I24" s="73">
        <f t="shared" ref="I24:I32" si="5">G24/H24*100</f>
        <v>104.8780487804878</v>
      </c>
      <c r="J24" s="70">
        <f t="shared" si="4"/>
        <v>82.504065040650403</v>
      </c>
      <c r="L24" s="81"/>
    </row>
    <row r="25" spans="1:12" x14ac:dyDescent="0.35">
      <c r="A25" s="69" t="s">
        <v>243</v>
      </c>
      <c r="B25" s="129">
        <v>7.1412037037040001E-3</v>
      </c>
      <c r="C25" s="70">
        <f t="shared" si="3"/>
        <v>88.776978417275188</v>
      </c>
      <c r="D25" s="78"/>
      <c r="F25" s="79" t="s">
        <v>243</v>
      </c>
      <c r="G25" s="72">
        <v>1.37</v>
      </c>
      <c r="H25" s="80">
        <v>1.26</v>
      </c>
      <c r="I25" s="73">
        <f t="shared" si="5"/>
        <v>108.73015873015875</v>
      </c>
      <c r="J25" s="70">
        <f t="shared" si="4"/>
        <v>85.534391534391546</v>
      </c>
      <c r="L25" s="81"/>
    </row>
    <row r="26" spans="1:12" x14ac:dyDescent="0.35">
      <c r="A26" s="69" t="s">
        <v>244</v>
      </c>
      <c r="B26" s="129">
        <v>3.9467592592589999E-3</v>
      </c>
      <c r="C26" s="70">
        <f t="shared" si="3"/>
        <v>49.064748201438562</v>
      </c>
      <c r="D26" s="78"/>
      <c r="F26" s="79" t="s">
        <v>244</v>
      </c>
      <c r="G26" s="72">
        <v>0.39</v>
      </c>
      <c r="H26" s="80">
        <v>0.47</v>
      </c>
      <c r="I26" s="73">
        <f t="shared" si="5"/>
        <v>82.978723404255334</v>
      </c>
      <c r="J26" s="70">
        <f t="shared" si="4"/>
        <v>65.276595744680861</v>
      </c>
      <c r="L26" s="81"/>
    </row>
    <row r="27" spans="1:12" x14ac:dyDescent="0.35">
      <c r="A27" s="69" t="s">
        <v>245</v>
      </c>
      <c r="B27" s="129">
        <v>6.9675925925929997E-3</v>
      </c>
      <c r="C27" s="70">
        <f t="shared" si="3"/>
        <v>86.618705035981463</v>
      </c>
      <c r="D27" s="78"/>
      <c r="F27" s="79" t="s">
        <v>245</v>
      </c>
      <c r="G27" s="72">
        <v>1.5</v>
      </c>
      <c r="H27" s="80">
        <v>1.67</v>
      </c>
      <c r="I27" s="73">
        <f t="shared" si="5"/>
        <v>89.820359281437135</v>
      </c>
      <c r="J27" s="70">
        <f t="shared" si="4"/>
        <v>70.658682634730539</v>
      </c>
      <c r="L27" s="81"/>
    </row>
    <row r="28" spans="1:12" x14ac:dyDescent="0.35">
      <c r="A28" s="69" t="s">
        <v>365</v>
      </c>
      <c r="B28" s="129">
        <v>7.0486111111110004E-3</v>
      </c>
      <c r="C28" s="70">
        <f t="shared" si="3"/>
        <v>87.625899280579418</v>
      </c>
      <c r="D28" s="78"/>
      <c r="F28" s="69" t="s">
        <v>365</v>
      </c>
      <c r="G28" s="72">
        <v>0.75</v>
      </c>
      <c r="H28" s="80">
        <v>0.59</v>
      </c>
      <c r="I28" s="73">
        <f t="shared" si="5"/>
        <v>127.11864406779662</v>
      </c>
      <c r="J28" s="70">
        <f t="shared" si="4"/>
        <v>100</v>
      </c>
      <c r="L28" s="81"/>
    </row>
    <row r="29" spans="1:12" x14ac:dyDescent="0.35">
      <c r="A29" s="69" t="s">
        <v>368</v>
      </c>
      <c r="B29" s="129">
        <v>6.1458333333329999E-3</v>
      </c>
      <c r="C29" s="70">
        <f t="shared" si="3"/>
        <v>76.402877697842158</v>
      </c>
      <c r="D29" s="78"/>
      <c r="F29" s="79" t="s">
        <v>368</v>
      </c>
      <c r="G29" s="72">
        <v>0.82</v>
      </c>
      <c r="H29" s="80">
        <v>0.81</v>
      </c>
      <c r="I29" s="73">
        <f t="shared" si="5"/>
        <v>101.23456790123456</v>
      </c>
      <c r="J29" s="70">
        <f t="shared" si="4"/>
        <v>79.637860082304513</v>
      </c>
      <c r="L29" s="81"/>
    </row>
    <row r="30" spans="1:12" x14ac:dyDescent="0.35">
      <c r="A30" s="69" t="s">
        <v>246</v>
      </c>
      <c r="B30" s="129">
        <v>6.1342592592590001E-3</v>
      </c>
      <c r="C30" s="70">
        <f t="shared" si="3"/>
        <v>76.258992805756748</v>
      </c>
      <c r="D30" s="78"/>
      <c r="F30" s="79" t="s">
        <v>246</v>
      </c>
      <c r="G30" s="72">
        <v>0.83</v>
      </c>
      <c r="H30" s="80">
        <v>0.7</v>
      </c>
      <c r="I30" s="73">
        <f t="shared" si="5"/>
        <v>118.57142857142857</v>
      </c>
      <c r="J30" s="70">
        <f t="shared" si="4"/>
        <v>93.276190476190465</v>
      </c>
      <c r="L30" s="81"/>
    </row>
    <row r="31" spans="1:12" x14ac:dyDescent="0.35">
      <c r="A31" s="69" t="s">
        <v>366</v>
      </c>
      <c r="B31" s="129">
        <v>7.2337962962959997E-3</v>
      </c>
      <c r="C31" s="70">
        <f t="shared" si="3"/>
        <v>89.928057553958539</v>
      </c>
      <c r="D31" s="78"/>
      <c r="F31" s="79" t="s">
        <v>366</v>
      </c>
      <c r="G31" s="72">
        <v>0.63</v>
      </c>
      <c r="H31" s="80">
        <v>0.56000000000000005</v>
      </c>
      <c r="I31" s="73">
        <f t="shared" si="5"/>
        <v>112.5</v>
      </c>
      <c r="J31" s="70">
        <f t="shared" si="4"/>
        <v>88.499999999999986</v>
      </c>
      <c r="L31" s="81"/>
    </row>
    <row r="32" spans="1:12" x14ac:dyDescent="0.35">
      <c r="A32" s="75" t="s">
        <v>370</v>
      </c>
      <c r="B32" s="129">
        <v>4.8495370370370003E-3</v>
      </c>
      <c r="C32" s="70">
        <f t="shared" si="3"/>
        <v>60.287769784175815</v>
      </c>
      <c r="D32" s="78"/>
      <c r="F32" s="75" t="s">
        <v>370</v>
      </c>
      <c r="G32" s="72">
        <v>0.63</v>
      </c>
      <c r="H32" s="80">
        <v>0.8</v>
      </c>
      <c r="I32" s="73">
        <f t="shared" si="5"/>
        <v>78.75</v>
      </c>
      <c r="J32" s="70">
        <f t="shared" si="4"/>
        <v>61.949999999999996</v>
      </c>
      <c r="L32" s="81"/>
    </row>
    <row r="33" spans="1:10" x14ac:dyDescent="0.35">
      <c r="A33" s="76"/>
      <c r="B33" s="76"/>
      <c r="C33" s="71"/>
      <c r="D33" s="66"/>
      <c r="E33" s="66"/>
      <c r="F33" s="76"/>
      <c r="G33" s="77"/>
      <c r="H33" s="71"/>
      <c r="I33" s="64"/>
      <c r="J33" s="71"/>
    </row>
    <row r="35" spans="1:10" x14ac:dyDescent="0.35">
      <c r="A35" s="68" t="s">
        <v>340</v>
      </c>
      <c r="B35" s="82"/>
      <c r="C35" s="82"/>
      <c r="D35" s="82"/>
      <c r="E35" s="82"/>
      <c r="F35" s="82"/>
    </row>
    <row r="36" spans="1:10" x14ac:dyDescent="0.35">
      <c r="A36" s="83" t="s">
        <v>467</v>
      </c>
      <c r="B36" s="68">
        <v>0.3</v>
      </c>
      <c r="C36" s="68">
        <v>0.2</v>
      </c>
      <c r="D36" s="68">
        <v>0.3</v>
      </c>
      <c r="E36" s="68">
        <v>0.2</v>
      </c>
      <c r="F36" s="84"/>
    </row>
    <row r="37" spans="1:10" x14ac:dyDescent="0.35">
      <c r="A37" s="83" t="s">
        <v>458</v>
      </c>
      <c r="B37" s="84" t="s">
        <v>36</v>
      </c>
      <c r="C37" s="84" t="s">
        <v>468</v>
      </c>
      <c r="D37" s="84" t="s">
        <v>456</v>
      </c>
      <c r="E37" s="84" t="s">
        <v>469</v>
      </c>
      <c r="F37" s="84" t="s">
        <v>470</v>
      </c>
    </row>
    <row r="38" spans="1:10" hidden="1" x14ac:dyDescent="0.35">
      <c r="A38" s="69" t="s">
        <v>472</v>
      </c>
      <c r="B38" s="87" t="e">
        <f t="shared" ref="B38:B39" si="6">VLOOKUP(A38,$A$9:$C$18,3,0)</f>
        <v>#N/A</v>
      </c>
      <c r="C38" s="87" t="e">
        <f t="shared" ref="C38:C39" si="7">VLOOKUP(A38,$A$23:$C$32,3,0)</f>
        <v>#N/A</v>
      </c>
      <c r="D38" s="87" t="e">
        <f t="shared" ref="D38:D39" si="8">VLOOKUP(A38,$F$9:$J$18,5,0)</f>
        <v>#N/A</v>
      </c>
      <c r="E38" s="87" t="e">
        <f t="shared" ref="E38:E39" si="9">VLOOKUP(A38,$F$23:$J$32,5,0)</f>
        <v>#N/A</v>
      </c>
      <c r="F38" s="87" t="e">
        <f>(B38*B$36)+(C38*C$36)+(D38*D$36)+(E38*E$36)</f>
        <v>#N/A</v>
      </c>
    </row>
    <row r="39" spans="1:10" hidden="1" x14ac:dyDescent="0.35">
      <c r="A39" s="69" t="s">
        <v>473</v>
      </c>
      <c r="B39" s="87" t="e">
        <f t="shared" si="6"/>
        <v>#N/A</v>
      </c>
      <c r="C39" s="87" t="e">
        <f t="shared" si="7"/>
        <v>#N/A</v>
      </c>
      <c r="D39" s="87" t="e">
        <f t="shared" si="8"/>
        <v>#N/A</v>
      </c>
      <c r="E39" s="87" t="e">
        <f t="shared" si="9"/>
        <v>#N/A</v>
      </c>
      <c r="F39" s="87" t="s">
        <v>17</v>
      </c>
    </row>
    <row r="40" spans="1:10" x14ac:dyDescent="0.35">
      <c r="A40" s="69" t="s">
        <v>365</v>
      </c>
      <c r="B40" s="87">
        <f t="shared" ref="B40:B49" si="10">VLOOKUP(A40,$A$9:$C$18,3,0)</f>
        <v>58.061987478164504</v>
      </c>
      <c r="C40" s="87">
        <f t="shared" ref="C40:C49" si="11">VLOOKUP(A40,$A$23:$C$32,3,0)</f>
        <v>87.625899280579418</v>
      </c>
      <c r="D40" s="87">
        <f t="shared" ref="D40:D49" si="12">VLOOKUP(A40,$F$9:$J$18,5,0)</f>
        <v>100</v>
      </c>
      <c r="E40" s="87">
        <f t="shared" ref="E40:E49" si="13">VLOOKUP(A40,$F$23:$J$32,5,0)</f>
        <v>100</v>
      </c>
      <c r="F40" s="87">
        <f t="shared" ref="F40:F49" si="14">(B40*B$36)+(C40*C$36)+(D40*D$36)+(E40*E$36)</f>
        <v>84.943776099565241</v>
      </c>
    </row>
    <row r="41" spans="1:10" x14ac:dyDescent="0.35">
      <c r="A41" s="85" t="s">
        <v>367</v>
      </c>
      <c r="B41" s="86">
        <f t="shared" si="10"/>
        <v>99.084007122511935</v>
      </c>
      <c r="C41" s="86">
        <f t="shared" si="11"/>
        <v>100</v>
      </c>
      <c r="D41" s="86">
        <f t="shared" si="12"/>
        <v>33.333333333333336</v>
      </c>
      <c r="E41" s="86">
        <f t="shared" si="13"/>
        <v>82.504065040650403</v>
      </c>
      <c r="F41" s="87">
        <f t="shared" si="14"/>
        <v>76.226015144883661</v>
      </c>
    </row>
    <row r="42" spans="1:10" x14ac:dyDescent="0.35">
      <c r="A42" s="85" t="s">
        <v>245</v>
      </c>
      <c r="B42" s="86">
        <f t="shared" si="10"/>
        <v>100</v>
      </c>
      <c r="C42" s="86">
        <f t="shared" si="11"/>
        <v>86.618705035981463</v>
      </c>
      <c r="D42" s="86">
        <f t="shared" si="12"/>
        <v>45.836621941594316</v>
      </c>
      <c r="E42" s="86">
        <f t="shared" si="13"/>
        <v>70.658682634730539</v>
      </c>
      <c r="F42" s="87">
        <f t="shared" si="14"/>
        <v>75.206464116620694</v>
      </c>
    </row>
    <row r="43" spans="1:10" x14ac:dyDescent="0.35">
      <c r="A43" s="85" t="s">
        <v>366</v>
      </c>
      <c r="B43" s="86">
        <f t="shared" si="10"/>
        <v>53.217462993685018</v>
      </c>
      <c r="C43" s="86">
        <f t="shared" si="11"/>
        <v>89.928057553958539</v>
      </c>
      <c r="D43" s="86">
        <f t="shared" si="12"/>
        <v>68.041666666666657</v>
      </c>
      <c r="E43" s="86">
        <f t="shared" si="13"/>
        <v>88.499999999999986</v>
      </c>
      <c r="F43" s="87">
        <f t="shared" si="14"/>
        <v>72.063350408897207</v>
      </c>
    </row>
    <row r="44" spans="1:10" x14ac:dyDescent="0.35">
      <c r="A44" s="85" t="s">
        <v>369</v>
      </c>
      <c r="B44" s="86">
        <f t="shared" si="10"/>
        <v>97.424340204687738</v>
      </c>
      <c r="C44" s="86">
        <f t="shared" si="11"/>
        <v>82.58992805756489</v>
      </c>
      <c r="D44" s="86">
        <f t="shared" si="12"/>
        <v>31.113489212197397</v>
      </c>
      <c r="E44" s="86">
        <f t="shared" si="13"/>
        <v>75.977207977207968</v>
      </c>
      <c r="F44" s="87">
        <f t="shared" si="14"/>
        <v>70.274776032020114</v>
      </c>
    </row>
    <row r="45" spans="1:10" x14ac:dyDescent="0.35">
      <c r="A45" s="69" t="s">
        <v>243</v>
      </c>
      <c r="B45" s="87">
        <f t="shared" si="10"/>
        <v>89.569304271142002</v>
      </c>
      <c r="C45" s="87">
        <f t="shared" si="11"/>
        <v>88.776978417275188</v>
      </c>
      <c r="D45" s="87">
        <f t="shared" si="12"/>
        <v>27.495109727715349</v>
      </c>
      <c r="E45" s="87">
        <f t="shared" si="13"/>
        <v>85.534391534391546</v>
      </c>
      <c r="F45" s="87">
        <f t="shared" si="14"/>
        <v>69.981598189990549</v>
      </c>
    </row>
    <row r="46" spans="1:10" x14ac:dyDescent="0.35">
      <c r="A46" s="85" t="s">
        <v>246</v>
      </c>
      <c r="B46" s="86">
        <f t="shared" si="10"/>
        <v>82.915769876639985</v>
      </c>
      <c r="C46" s="86">
        <f t="shared" si="11"/>
        <v>76.258992805756748</v>
      </c>
      <c r="D46" s="86">
        <f t="shared" si="12"/>
        <v>28.384095851474001</v>
      </c>
      <c r="E46" s="86">
        <f t="shared" si="13"/>
        <v>93.276190476190465</v>
      </c>
      <c r="F46" s="87">
        <f t="shared" si="14"/>
        <v>67.296996374823635</v>
      </c>
    </row>
    <row r="47" spans="1:10" x14ac:dyDescent="0.35">
      <c r="A47" s="85" t="s">
        <v>368</v>
      </c>
      <c r="B47" s="86">
        <f t="shared" si="10"/>
        <v>77.783709450167763</v>
      </c>
      <c r="C47" s="86">
        <f t="shared" si="11"/>
        <v>76.402877697842158</v>
      </c>
      <c r="D47" s="86">
        <f t="shared" si="12"/>
        <v>20.609318996415769</v>
      </c>
      <c r="E47" s="86">
        <f t="shared" si="13"/>
        <v>79.637860082304513</v>
      </c>
      <c r="F47" s="87">
        <f t="shared" si="14"/>
        <v>60.726056090004391</v>
      </c>
    </row>
    <row r="48" spans="1:10" x14ac:dyDescent="0.35">
      <c r="A48" s="69" t="s">
        <v>244</v>
      </c>
      <c r="B48" s="87">
        <f t="shared" si="10"/>
        <v>72.987501816105379</v>
      </c>
      <c r="C48" s="87">
        <f t="shared" si="11"/>
        <v>49.064748201438562</v>
      </c>
      <c r="D48" s="87">
        <f t="shared" si="12"/>
        <v>35.429292929292934</v>
      </c>
      <c r="E48" s="87">
        <f t="shared" si="13"/>
        <v>65.276595744680861</v>
      </c>
      <c r="F48" s="87">
        <f t="shared" si="14"/>
        <v>55.393307212843375</v>
      </c>
    </row>
    <row r="49" spans="1:6" x14ac:dyDescent="0.35">
      <c r="A49" s="85" t="s">
        <v>370</v>
      </c>
      <c r="B49" s="86">
        <f t="shared" si="10"/>
        <v>77.286012102864206</v>
      </c>
      <c r="C49" s="86">
        <f t="shared" si="11"/>
        <v>60.287769784175815</v>
      </c>
      <c r="D49" s="86">
        <f t="shared" si="12"/>
        <v>22.715602735809398</v>
      </c>
      <c r="E49" s="86">
        <f t="shared" si="13"/>
        <v>61.949999999999996</v>
      </c>
      <c r="F49" s="87">
        <f t="shared" si="14"/>
        <v>54.448038408437249</v>
      </c>
    </row>
  </sheetData>
  <sortState xmlns:xlrd2="http://schemas.microsoft.com/office/spreadsheetml/2017/richdata2" ref="A40:F49">
    <sortCondition descending="1" ref="F40:F49"/>
  </sortState>
  <mergeCells count="4">
    <mergeCell ref="B7:C7"/>
    <mergeCell ref="G7:J7"/>
    <mergeCell ref="B21:C21"/>
    <mergeCell ref="G21:J21"/>
  </mergeCells>
  <conditionalFormatting sqref="F39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40:F48 F38">
    <cfRule type="colorScale" priority="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40:F4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6">
    <cfRule type="colorScale" priority="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47">
    <cfRule type="colorScale" priority="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48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49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A28DF-EDA8-468E-B2AD-82EBCCCB97CA}">
  <sheetPr>
    <tabColor rgb="FFFFFF00"/>
  </sheetPr>
  <dimension ref="A1:O51"/>
  <sheetViews>
    <sheetView showGridLines="0" zoomScale="75" zoomScaleNormal="75" workbookViewId="0">
      <selection sqref="A1:A4"/>
    </sheetView>
  </sheetViews>
  <sheetFormatPr defaultColWidth="9.08984375" defaultRowHeight="14.5" x14ac:dyDescent="0.35"/>
  <cols>
    <col min="1" max="1" width="30.08984375" style="63" bestFit="1" customWidth="1"/>
    <col min="2" max="2" width="12.90625" style="63" bestFit="1" customWidth="1"/>
    <col min="3" max="3" width="10" style="63" bestFit="1" customWidth="1"/>
    <col min="4" max="4" width="12.08984375" style="63" bestFit="1" customWidth="1"/>
    <col min="5" max="5" width="9.08984375" style="63" bestFit="1" customWidth="1"/>
    <col min="6" max="6" width="26.90625" style="63" bestFit="1" customWidth="1"/>
    <col min="7" max="7" width="11.54296875" style="63" bestFit="1" customWidth="1"/>
    <col min="8" max="8" width="6.08984375" style="63" bestFit="1" customWidth="1"/>
    <col min="9" max="9" width="8.08984375" style="63" bestFit="1" customWidth="1"/>
    <col min="10" max="10" width="8.90625" style="63" bestFit="1" customWidth="1"/>
    <col min="11" max="11" width="9.54296875" style="64" bestFit="1" customWidth="1"/>
    <col min="12" max="12" width="14.90625" style="63" bestFit="1" customWidth="1"/>
    <col min="13" max="16384" width="9.08984375" style="63"/>
  </cols>
  <sheetData>
    <row r="1" spans="1:15" x14ac:dyDescent="0.35">
      <c r="A1" s="1" t="s">
        <v>225</v>
      </c>
    </row>
    <row r="2" spans="1:15" x14ac:dyDescent="0.35">
      <c r="A2" s="1" t="s">
        <v>471</v>
      </c>
    </row>
    <row r="3" spans="1:15" x14ac:dyDescent="0.35">
      <c r="A3" s="1" t="s">
        <v>29</v>
      </c>
    </row>
    <row r="4" spans="1:15" x14ac:dyDescent="0.35">
      <c r="A4" s="23" t="s">
        <v>226</v>
      </c>
    </row>
    <row r="5" spans="1:15" x14ac:dyDescent="0.35">
      <c r="A5" s="8" t="s">
        <v>474</v>
      </c>
    </row>
    <row r="8" spans="1:15" x14ac:dyDescent="0.35">
      <c r="A8" s="65" t="s">
        <v>454</v>
      </c>
      <c r="B8" s="590" t="s">
        <v>455</v>
      </c>
      <c r="C8" s="591"/>
      <c r="D8" s="66"/>
      <c r="E8" s="66"/>
      <c r="F8" s="65" t="s">
        <v>456</v>
      </c>
      <c r="G8" s="592" t="s">
        <v>457</v>
      </c>
      <c r="H8" s="592"/>
      <c r="I8" s="592"/>
      <c r="J8" s="592"/>
    </row>
    <row r="9" spans="1:15" x14ac:dyDescent="0.35">
      <c r="A9" s="67" t="s">
        <v>458</v>
      </c>
      <c r="B9" s="68" t="str">
        <f>'Hindi HD'!B9</f>
        <v>MF 22-40 A</v>
      </c>
      <c r="C9" s="68" t="s">
        <v>459</v>
      </c>
      <c r="D9" s="66"/>
      <c r="E9" s="66"/>
      <c r="F9" s="67" t="s">
        <v>458</v>
      </c>
      <c r="G9" s="68" t="str">
        <f>B9</f>
        <v>MF 22-40 A</v>
      </c>
      <c r="H9" s="68" t="s">
        <v>460</v>
      </c>
      <c r="I9" s="68" t="s">
        <v>456</v>
      </c>
      <c r="J9" s="68" t="s">
        <v>459</v>
      </c>
    </row>
    <row r="10" spans="1:15" x14ac:dyDescent="0.35">
      <c r="A10" s="69" t="s">
        <v>475</v>
      </c>
      <c r="B10" s="70">
        <v>2977.58</v>
      </c>
      <c r="C10" s="70">
        <f>B10/MAX($B$10:$B$20)*100</f>
        <v>100</v>
      </c>
      <c r="D10" s="66"/>
      <c r="E10" s="66"/>
      <c r="F10" s="69" t="s">
        <v>475</v>
      </c>
      <c r="G10" s="72">
        <v>0.17</v>
      </c>
      <c r="H10" s="70">
        <v>2526.3157894736837</v>
      </c>
      <c r="I10" s="73">
        <f t="shared" ref="I10:I20" si="0">+H10/G10</f>
        <v>14860.68111455108</v>
      </c>
      <c r="J10" s="70">
        <f>MIN($I$10:$I$20)/I10*100</f>
        <v>51.845170454545475</v>
      </c>
      <c r="L10" s="90"/>
    </row>
    <row r="11" spans="1:15" x14ac:dyDescent="0.35">
      <c r="A11" s="69" t="s">
        <v>476</v>
      </c>
      <c r="B11" s="70">
        <v>2841.99</v>
      </c>
      <c r="C11" s="70">
        <f t="shared" ref="C11:C20" si="1">B11/MAX($B$10:$B$20)*100</f>
        <v>95.446302030507994</v>
      </c>
      <c r="D11" s="66"/>
      <c r="E11" s="66"/>
      <c r="F11" s="69" t="s">
        <v>476</v>
      </c>
      <c r="G11" s="72">
        <v>0.17</v>
      </c>
      <c r="H11" s="70">
        <v>2070</v>
      </c>
      <c r="I11" s="73">
        <f t="shared" si="0"/>
        <v>12176.470588235294</v>
      </c>
      <c r="J11" s="70">
        <f>MIN($I$10:$I$20)/I11*100</f>
        <v>63.274044795783936</v>
      </c>
    </row>
    <row r="12" spans="1:15" x14ac:dyDescent="0.35">
      <c r="A12" s="69" t="s">
        <v>477</v>
      </c>
      <c r="B12" s="70">
        <v>2317.63</v>
      </c>
      <c r="C12" s="70">
        <f t="shared" si="1"/>
        <v>77.83602791528692</v>
      </c>
      <c r="D12" s="66"/>
      <c r="E12" s="66"/>
      <c r="F12" s="69" t="s">
        <v>477</v>
      </c>
      <c r="G12" s="72">
        <v>0.16</v>
      </c>
      <c r="H12" s="70">
        <v>1897.4999999999998</v>
      </c>
      <c r="I12" s="73">
        <f t="shared" si="0"/>
        <v>11859.374999999998</v>
      </c>
      <c r="J12" s="70">
        <f>MIN($I$10:$I$20)/I12*100</f>
        <v>64.965864175350347</v>
      </c>
      <c r="M12" s="74"/>
      <c r="O12" s="74"/>
    </row>
    <row r="13" spans="1:15" x14ac:dyDescent="0.35">
      <c r="A13" s="69" t="s">
        <v>478</v>
      </c>
      <c r="B13" s="70">
        <v>1466.48</v>
      </c>
      <c r="C13" s="70">
        <f t="shared" si="1"/>
        <v>49.250733817395336</v>
      </c>
      <c r="D13" s="66"/>
      <c r="E13" s="66"/>
      <c r="F13" s="69" t="s">
        <v>478</v>
      </c>
      <c r="G13" s="72">
        <v>7.0000000000000007E-2</v>
      </c>
      <c r="H13" s="70">
        <v>1035</v>
      </c>
      <c r="I13" s="73">
        <f t="shared" si="0"/>
        <v>14785.714285714284</v>
      </c>
      <c r="J13" s="70">
        <f>MIN($I$10:$I$20)/I13*100</f>
        <v>52.108036890645593</v>
      </c>
    </row>
    <row r="14" spans="1:15" x14ac:dyDescent="0.35">
      <c r="A14" s="69" t="s">
        <v>479</v>
      </c>
      <c r="B14" s="70">
        <v>2162.2199999999998</v>
      </c>
      <c r="C14" s="70">
        <f t="shared" si="1"/>
        <v>72.61668872037022</v>
      </c>
      <c r="D14" s="66"/>
      <c r="E14" s="66"/>
      <c r="F14" s="69" t="s">
        <v>479</v>
      </c>
      <c r="G14" s="72">
        <v>0.1</v>
      </c>
      <c r="H14" s="70">
        <v>1440</v>
      </c>
      <c r="I14" s="73">
        <f t="shared" si="0"/>
        <v>14400</v>
      </c>
      <c r="J14" s="70">
        <f>MIN($I$10:$I$20)/I14*100</f>
        <v>53.503787878787875</v>
      </c>
      <c r="K14" s="63"/>
    </row>
    <row r="15" spans="1:15" x14ac:dyDescent="0.35">
      <c r="A15" s="69" t="s">
        <v>480</v>
      </c>
      <c r="B15" s="70">
        <v>2422.7600000000002</v>
      </c>
      <c r="C15" s="70">
        <f t="shared" si="1"/>
        <v>81.366747492930514</v>
      </c>
      <c r="D15" s="66"/>
      <c r="E15" s="66"/>
      <c r="F15" s="69" t="s">
        <v>480</v>
      </c>
      <c r="G15" s="72">
        <v>0.11</v>
      </c>
      <c r="H15" s="70">
        <v>1108.9285714285713</v>
      </c>
      <c r="I15" s="73">
        <f t="shared" si="0"/>
        <v>10081.16883116883</v>
      </c>
      <c r="J15" s="70">
        <f t="shared" ref="J15:J20" si="2">MIN($I$10:$I$20)/I15*100</f>
        <v>76.425120772946869</v>
      </c>
    </row>
    <row r="16" spans="1:15" x14ac:dyDescent="0.35">
      <c r="A16" s="69" t="s">
        <v>481</v>
      </c>
      <c r="B16" s="70">
        <v>2086.7199999999998</v>
      </c>
      <c r="C16" s="70">
        <f t="shared" si="1"/>
        <v>70.081072548848383</v>
      </c>
      <c r="D16" s="66"/>
      <c r="E16" s="66"/>
      <c r="F16" s="69" t="s">
        <v>481</v>
      </c>
      <c r="G16" s="72">
        <v>0.08</v>
      </c>
      <c r="H16" s="70">
        <v>1035</v>
      </c>
      <c r="I16" s="73">
        <f t="shared" si="0"/>
        <v>12937.5</v>
      </c>
      <c r="J16" s="70">
        <f t="shared" si="2"/>
        <v>59.55204216073782</v>
      </c>
    </row>
    <row r="17" spans="1:12" x14ac:dyDescent="0.35">
      <c r="A17" s="69" t="s">
        <v>482</v>
      </c>
      <c r="B17" s="70">
        <v>1546.88</v>
      </c>
      <c r="C17" s="70">
        <f t="shared" si="1"/>
        <v>51.950913157664957</v>
      </c>
      <c r="D17" s="66"/>
      <c r="E17" s="66"/>
      <c r="F17" s="69" t="s">
        <v>482</v>
      </c>
      <c r="G17" s="72">
        <v>0.04</v>
      </c>
      <c r="H17" s="70">
        <v>800</v>
      </c>
      <c r="I17" s="73">
        <f t="shared" si="0"/>
        <v>20000</v>
      </c>
      <c r="J17" s="70">
        <f t="shared" si="2"/>
        <v>38.522727272727273</v>
      </c>
    </row>
    <row r="18" spans="1:12" x14ac:dyDescent="0.35">
      <c r="A18" s="69" t="s">
        <v>483</v>
      </c>
      <c r="B18" s="70">
        <v>2085.88</v>
      </c>
      <c r="C18" s="70">
        <f t="shared" si="1"/>
        <v>70.052861719920216</v>
      </c>
      <c r="D18" s="66"/>
      <c r="E18" s="66"/>
      <c r="F18" s="69" t="s">
        <v>483</v>
      </c>
      <c r="G18" s="72">
        <v>0.11</v>
      </c>
      <c r="H18" s="70">
        <v>847.5</v>
      </c>
      <c r="I18" s="73">
        <f t="shared" si="0"/>
        <v>7704.545454545455</v>
      </c>
      <c r="J18" s="70">
        <f t="shared" si="2"/>
        <v>100</v>
      </c>
    </row>
    <row r="19" spans="1:12" x14ac:dyDescent="0.35">
      <c r="A19" s="69" t="s">
        <v>484</v>
      </c>
      <c r="B19" s="70">
        <v>985.28</v>
      </c>
      <c r="C19" s="70">
        <f t="shared" si="1"/>
        <v>33.089958959960775</v>
      </c>
      <c r="D19" s="66"/>
      <c r="E19" s="66"/>
      <c r="F19" s="69" t="s">
        <v>484</v>
      </c>
      <c r="G19" s="72">
        <v>0.03</v>
      </c>
      <c r="H19" s="70" t="s">
        <v>17</v>
      </c>
      <c r="I19" s="73" t="s">
        <v>17</v>
      </c>
      <c r="J19" s="70"/>
    </row>
    <row r="20" spans="1:12" x14ac:dyDescent="0.35">
      <c r="A20" s="69" t="s">
        <v>485</v>
      </c>
      <c r="B20" s="70">
        <v>877.65</v>
      </c>
      <c r="C20" s="70">
        <f t="shared" si="1"/>
        <v>29.475278581935665</v>
      </c>
      <c r="D20" s="66"/>
      <c r="E20" s="66"/>
      <c r="F20" s="69" t="s">
        <v>485</v>
      </c>
      <c r="G20" s="72">
        <v>0.02</v>
      </c>
      <c r="H20" s="70">
        <v>1300</v>
      </c>
      <c r="I20" s="73">
        <f t="shared" si="0"/>
        <v>65000</v>
      </c>
      <c r="J20" s="70">
        <f t="shared" si="2"/>
        <v>11.853146853146853</v>
      </c>
    </row>
    <row r="21" spans="1:12" x14ac:dyDescent="0.35">
      <c r="A21" s="76"/>
      <c r="B21" s="71"/>
      <c r="C21" s="71"/>
      <c r="D21" s="66"/>
      <c r="E21" s="66"/>
      <c r="F21" s="76"/>
      <c r="G21" s="77"/>
      <c r="H21" s="71"/>
      <c r="I21" s="64"/>
      <c r="J21" s="71"/>
    </row>
    <row r="22" spans="1:12" x14ac:dyDescent="0.35">
      <c r="A22" s="66"/>
      <c r="B22" s="66"/>
      <c r="C22" s="66"/>
      <c r="D22" s="66"/>
      <c r="E22" s="66"/>
      <c r="F22" s="66"/>
      <c r="G22" s="66"/>
      <c r="H22" s="66"/>
      <c r="I22" s="66"/>
      <c r="J22" s="66"/>
    </row>
    <row r="23" spans="1:12" x14ac:dyDescent="0.35">
      <c r="A23" s="65" t="s">
        <v>462</v>
      </c>
      <c r="B23" s="590" t="s">
        <v>463</v>
      </c>
      <c r="C23" s="591"/>
      <c r="D23" s="66"/>
      <c r="E23" s="66"/>
      <c r="F23" s="65"/>
      <c r="G23" s="593" t="s">
        <v>464</v>
      </c>
      <c r="H23" s="590"/>
      <c r="I23" s="590"/>
      <c r="J23" s="591"/>
    </row>
    <row r="24" spans="1:12" x14ac:dyDescent="0.35">
      <c r="A24" s="67" t="s">
        <v>458</v>
      </c>
      <c r="B24" s="68" t="str">
        <f>'Hindi HD'!B25</f>
        <v>MF 22-40 A</v>
      </c>
      <c r="C24" s="68" t="s">
        <v>459</v>
      </c>
      <c r="D24" s="66"/>
      <c r="E24" s="66"/>
      <c r="F24" s="67" t="s">
        <v>458</v>
      </c>
      <c r="G24" s="68" t="str">
        <f>B24</f>
        <v>MF 22-40 A</v>
      </c>
      <c r="H24" s="68" t="s">
        <v>465</v>
      </c>
      <c r="I24" s="68" t="s">
        <v>466</v>
      </c>
      <c r="J24" s="68" t="s">
        <v>459</v>
      </c>
    </row>
    <row r="25" spans="1:12" x14ac:dyDescent="0.35">
      <c r="A25" s="69" t="s">
        <v>475</v>
      </c>
      <c r="B25" s="129">
        <v>1.0810185185184999E-2</v>
      </c>
      <c r="C25" s="70">
        <f t="shared" ref="C25:C35" si="3">+B25/(MAX($B$25:$B$35))*100</f>
        <v>100</v>
      </c>
      <c r="D25" s="78"/>
      <c r="F25" s="69" t="s">
        <v>475</v>
      </c>
      <c r="G25" s="72">
        <v>1.17</v>
      </c>
      <c r="H25" s="91">
        <v>0.81</v>
      </c>
      <c r="I25" s="73">
        <f t="shared" ref="I25:I35" si="4">G25/H25*100</f>
        <v>144.44444444444443</v>
      </c>
      <c r="J25" s="70">
        <f t="shared" ref="J25:J35" si="5">+I25/(MAX($I$25:$I$35))*100</f>
        <v>73.18518518518519</v>
      </c>
      <c r="L25" s="81"/>
    </row>
    <row r="26" spans="1:12" x14ac:dyDescent="0.35">
      <c r="A26" s="69" t="s">
        <v>476</v>
      </c>
      <c r="B26" s="129">
        <v>9.7222222222220003E-3</v>
      </c>
      <c r="C26" s="70">
        <f t="shared" si="3"/>
        <v>89.935760171305702</v>
      </c>
      <c r="D26" s="78"/>
      <c r="F26" s="69" t="s">
        <v>476</v>
      </c>
      <c r="G26" s="72">
        <v>1.19</v>
      </c>
      <c r="H26" s="91">
        <v>1.07</v>
      </c>
      <c r="I26" s="73">
        <f t="shared" si="4"/>
        <v>111.21495327102802</v>
      </c>
      <c r="J26" s="70">
        <f t="shared" si="5"/>
        <v>56.348909657320867</v>
      </c>
      <c r="L26" s="81"/>
    </row>
    <row r="27" spans="1:12" x14ac:dyDescent="0.35">
      <c r="A27" s="69" t="s">
        <v>477</v>
      </c>
      <c r="B27" s="129">
        <v>1.03125E-2</v>
      </c>
      <c r="C27" s="70">
        <f t="shared" si="3"/>
        <v>95.396145610280016</v>
      </c>
      <c r="D27" s="78"/>
      <c r="F27" s="69" t="s">
        <v>477</v>
      </c>
      <c r="G27" s="72">
        <v>1.1100000000000001</v>
      </c>
      <c r="H27" s="91">
        <v>0.91</v>
      </c>
      <c r="I27" s="73">
        <f t="shared" si="4"/>
        <v>121.97802197802199</v>
      </c>
      <c r="J27" s="70">
        <f t="shared" si="5"/>
        <v>61.80219780219781</v>
      </c>
      <c r="L27" s="81"/>
    </row>
    <row r="28" spans="1:12" x14ac:dyDescent="0.35">
      <c r="A28" s="69" t="s">
        <v>478</v>
      </c>
      <c r="B28" s="129">
        <v>9.4907407407410008E-3</v>
      </c>
      <c r="C28" s="70">
        <f t="shared" si="3"/>
        <v>87.794432548183792</v>
      </c>
      <c r="D28" s="78"/>
      <c r="F28" s="69" t="s">
        <v>478</v>
      </c>
      <c r="G28" s="72">
        <v>0.51</v>
      </c>
      <c r="H28" s="91">
        <v>0.39</v>
      </c>
      <c r="I28" s="73">
        <f t="shared" si="4"/>
        <v>130.76923076923077</v>
      </c>
      <c r="J28" s="70">
        <f t="shared" si="5"/>
        <v>66.256410256410277</v>
      </c>
      <c r="L28" s="81"/>
    </row>
    <row r="29" spans="1:12" x14ac:dyDescent="0.35">
      <c r="A29" s="69" t="s">
        <v>479</v>
      </c>
      <c r="B29" s="129">
        <v>9.3287037037040003E-3</v>
      </c>
      <c r="C29" s="70">
        <f t="shared" si="3"/>
        <v>86.295503211995666</v>
      </c>
      <c r="D29" s="78"/>
      <c r="F29" s="69" t="s">
        <v>479</v>
      </c>
      <c r="G29" s="72">
        <v>0.66</v>
      </c>
      <c r="H29" s="91">
        <v>0.41</v>
      </c>
      <c r="I29" s="73">
        <f t="shared" si="4"/>
        <v>160.97560975609758</v>
      </c>
      <c r="J29" s="70">
        <f t="shared" si="5"/>
        <v>81.560975609756113</v>
      </c>
      <c r="L29" s="81"/>
    </row>
    <row r="30" spans="1:12" x14ac:dyDescent="0.35">
      <c r="A30" s="69" t="s">
        <v>480</v>
      </c>
      <c r="B30" s="129">
        <v>1.0659722222221999E-2</v>
      </c>
      <c r="C30" s="70">
        <f t="shared" si="3"/>
        <v>98.608137044967521</v>
      </c>
      <c r="D30" s="78"/>
      <c r="F30" s="69" t="s">
        <v>480</v>
      </c>
      <c r="G30" s="72">
        <v>0.75</v>
      </c>
      <c r="H30" s="91">
        <v>0.49</v>
      </c>
      <c r="I30" s="73">
        <f t="shared" si="4"/>
        <v>153.0612244897959</v>
      </c>
      <c r="J30" s="70">
        <f t="shared" si="5"/>
        <v>77.551020408163268</v>
      </c>
      <c r="L30" s="81"/>
    </row>
    <row r="31" spans="1:12" x14ac:dyDescent="0.35">
      <c r="A31" s="69" t="s">
        <v>481</v>
      </c>
      <c r="B31" s="129">
        <v>8.9004629629630006E-3</v>
      </c>
      <c r="C31" s="70">
        <f t="shared" si="3"/>
        <v>82.334047109209479</v>
      </c>
      <c r="D31" s="78"/>
      <c r="F31" s="69" t="s">
        <v>481</v>
      </c>
      <c r="G31" s="72">
        <v>0.55000000000000004</v>
      </c>
      <c r="H31" s="91">
        <v>0.54</v>
      </c>
      <c r="I31" s="73">
        <f t="shared" si="4"/>
        <v>101.85185185185186</v>
      </c>
      <c r="J31" s="70">
        <f t="shared" si="5"/>
        <v>51.604938271604951</v>
      </c>
      <c r="L31" s="81"/>
    </row>
    <row r="32" spans="1:12" x14ac:dyDescent="0.35">
      <c r="A32" s="69" t="s">
        <v>482</v>
      </c>
      <c r="B32" s="129">
        <v>9.0277777777780007E-3</v>
      </c>
      <c r="C32" s="70">
        <f t="shared" si="3"/>
        <v>83.511777301930692</v>
      </c>
      <c r="D32" s="78"/>
      <c r="F32" s="69" t="s">
        <v>482</v>
      </c>
      <c r="G32" s="72">
        <v>0.28000000000000003</v>
      </c>
      <c r="H32" s="91">
        <v>0.22</v>
      </c>
      <c r="I32" s="73">
        <f t="shared" si="4"/>
        <v>127.27272727272729</v>
      </c>
      <c r="J32" s="70">
        <f t="shared" si="5"/>
        <v>64.484848484848499</v>
      </c>
      <c r="L32" s="81"/>
    </row>
    <row r="33" spans="1:12" x14ac:dyDescent="0.35">
      <c r="A33" s="69" t="s">
        <v>483</v>
      </c>
      <c r="B33" s="129">
        <v>1.0162037037037001E-2</v>
      </c>
      <c r="C33" s="70">
        <f t="shared" si="3"/>
        <v>94.004282655247522</v>
      </c>
      <c r="D33" s="78"/>
      <c r="F33" s="69" t="s">
        <v>483</v>
      </c>
      <c r="G33" s="72">
        <v>0.75</v>
      </c>
      <c r="H33" s="91">
        <v>0.38</v>
      </c>
      <c r="I33" s="73">
        <f t="shared" si="4"/>
        <v>197.36842105263156</v>
      </c>
      <c r="J33" s="70">
        <f t="shared" si="5"/>
        <v>100</v>
      </c>
      <c r="L33" s="81"/>
    </row>
    <row r="34" spans="1:12" x14ac:dyDescent="0.35">
      <c r="A34" s="69" t="s">
        <v>484</v>
      </c>
      <c r="B34" s="129">
        <v>8.4953703703700006E-3</v>
      </c>
      <c r="C34" s="70">
        <f t="shared" si="3"/>
        <v>78.586723768734544</v>
      </c>
      <c r="D34" s="78"/>
      <c r="F34" s="69" t="s">
        <v>484</v>
      </c>
      <c r="G34" s="72">
        <v>0.24</v>
      </c>
      <c r="H34" s="91">
        <v>0.22</v>
      </c>
      <c r="I34" s="73">
        <f t="shared" si="4"/>
        <v>109.09090909090908</v>
      </c>
      <c r="J34" s="70">
        <f t="shared" si="5"/>
        <v>55.272727272727273</v>
      </c>
      <c r="L34" s="81"/>
    </row>
    <row r="35" spans="1:12" x14ac:dyDescent="0.35">
      <c r="A35" s="69" t="s">
        <v>485</v>
      </c>
      <c r="B35" s="129">
        <v>9.2129629629629992E-3</v>
      </c>
      <c r="C35" s="70">
        <f t="shared" si="3"/>
        <v>85.224839400430056</v>
      </c>
      <c r="D35" s="78"/>
      <c r="F35" s="69" t="s">
        <v>485</v>
      </c>
      <c r="G35" s="72">
        <v>0.12</v>
      </c>
      <c r="H35" s="91">
        <v>0.08</v>
      </c>
      <c r="I35" s="73">
        <f t="shared" si="4"/>
        <v>150</v>
      </c>
      <c r="J35" s="70">
        <f t="shared" si="5"/>
        <v>76.000000000000014</v>
      </c>
      <c r="L35" s="81"/>
    </row>
    <row r="36" spans="1:12" x14ac:dyDescent="0.35">
      <c r="A36" s="76"/>
      <c r="B36" s="71"/>
      <c r="C36" s="71"/>
      <c r="D36" s="66"/>
      <c r="E36" s="66"/>
      <c r="F36" s="76"/>
      <c r="G36" s="77"/>
      <c r="H36" s="71"/>
      <c r="I36" s="64"/>
      <c r="J36" s="71"/>
    </row>
    <row r="38" spans="1:12" x14ac:dyDescent="0.35">
      <c r="A38" s="68" t="str">
        <f>B24</f>
        <v>MF 22-40 A</v>
      </c>
      <c r="B38" s="82"/>
      <c r="C38" s="82"/>
      <c r="D38" s="82"/>
      <c r="E38" s="82"/>
      <c r="F38" s="82"/>
    </row>
    <row r="39" spans="1:12" x14ac:dyDescent="0.35">
      <c r="A39" s="83" t="s">
        <v>467</v>
      </c>
      <c r="B39" s="68">
        <v>0.3</v>
      </c>
      <c r="C39" s="68">
        <v>0.2</v>
      </c>
      <c r="D39" s="68">
        <v>0.2</v>
      </c>
      <c r="E39" s="68">
        <v>0.3</v>
      </c>
      <c r="F39" s="84"/>
    </row>
    <row r="40" spans="1:12" x14ac:dyDescent="0.35">
      <c r="A40" s="83" t="s">
        <v>458</v>
      </c>
      <c r="B40" s="84" t="s">
        <v>36</v>
      </c>
      <c r="C40" s="84" t="s">
        <v>468</v>
      </c>
      <c r="D40" s="84" t="s">
        <v>456</v>
      </c>
      <c r="E40" s="84" t="s">
        <v>469</v>
      </c>
      <c r="F40" s="84" t="s">
        <v>470</v>
      </c>
    </row>
    <row r="41" spans="1:12" x14ac:dyDescent="0.35">
      <c r="A41" s="69" t="s">
        <v>483</v>
      </c>
      <c r="B41" s="87">
        <f t="shared" ref="B41:B51" si="6">VLOOKUP(A41,$A$10:$C$20,3,0)</f>
        <v>70.052861719920216</v>
      </c>
      <c r="C41" s="87">
        <f t="shared" ref="C41:C51" si="7">VLOOKUP(A41,$A$25:$C$35,3,0)</f>
        <v>94.004282655247522</v>
      </c>
      <c r="D41" s="87">
        <f t="shared" ref="D41:D51" si="8">VLOOKUP(A41,$F$10:$J$20,5,0)</f>
        <v>100</v>
      </c>
      <c r="E41" s="87">
        <f t="shared" ref="E41:E51" si="9">VLOOKUP(A41,$F$25:$J$35,5,0)</f>
        <v>100</v>
      </c>
      <c r="F41" s="87">
        <f t="shared" ref="F41:F51" si="10">(B41*B$39)+(C41*C$39)+(D41*D$39)+(E41*E$39)</f>
        <v>89.816715047025568</v>
      </c>
    </row>
    <row r="42" spans="1:12" x14ac:dyDescent="0.35">
      <c r="A42" s="85" t="s">
        <v>480</v>
      </c>
      <c r="B42" s="86">
        <f t="shared" si="6"/>
        <v>81.366747492930514</v>
      </c>
      <c r="C42" s="86">
        <f t="shared" si="7"/>
        <v>98.608137044967521</v>
      </c>
      <c r="D42" s="86">
        <f t="shared" si="8"/>
        <v>76.425120772946869</v>
      </c>
      <c r="E42" s="86">
        <f t="shared" si="9"/>
        <v>77.551020408163268</v>
      </c>
      <c r="F42" s="87">
        <f t="shared" si="10"/>
        <v>82.681981933911018</v>
      </c>
    </row>
    <row r="43" spans="1:12" x14ac:dyDescent="0.35">
      <c r="A43" s="85" t="s">
        <v>475</v>
      </c>
      <c r="B43" s="86">
        <f t="shared" si="6"/>
        <v>100</v>
      </c>
      <c r="C43" s="86">
        <f t="shared" si="7"/>
        <v>100</v>
      </c>
      <c r="D43" s="86">
        <f t="shared" si="8"/>
        <v>51.845170454545475</v>
      </c>
      <c r="E43" s="86">
        <f t="shared" si="9"/>
        <v>73.18518518518519</v>
      </c>
      <c r="F43" s="87">
        <f t="shared" si="10"/>
        <v>82.324589646464659</v>
      </c>
    </row>
    <row r="44" spans="1:12" x14ac:dyDescent="0.35">
      <c r="A44" s="85" t="s">
        <v>476</v>
      </c>
      <c r="B44" s="86">
        <f t="shared" si="6"/>
        <v>95.446302030507994</v>
      </c>
      <c r="C44" s="86">
        <f t="shared" si="7"/>
        <v>89.935760171305702</v>
      </c>
      <c r="D44" s="86">
        <f t="shared" si="8"/>
        <v>63.274044795783936</v>
      </c>
      <c r="E44" s="86">
        <f t="shared" si="9"/>
        <v>56.348909657320867</v>
      </c>
      <c r="F44" s="87">
        <f t="shared" si="10"/>
        <v>76.180524499766591</v>
      </c>
    </row>
    <row r="45" spans="1:12" x14ac:dyDescent="0.35">
      <c r="A45" s="69" t="s">
        <v>479</v>
      </c>
      <c r="B45" s="87">
        <f t="shared" si="6"/>
        <v>72.61668872037022</v>
      </c>
      <c r="C45" s="87">
        <f t="shared" si="7"/>
        <v>86.295503211995666</v>
      </c>
      <c r="D45" s="87">
        <f t="shared" si="8"/>
        <v>53.503787878787875</v>
      </c>
      <c r="E45" s="87">
        <f t="shared" si="9"/>
        <v>81.560975609756113</v>
      </c>
      <c r="F45" s="87">
        <f t="shared" si="10"/>
        <v>74.213157517194603</v>
      </c>
    </row>
    <row r="46" spans="1:12" x14ac:dyDescent="0.35">
      <c r="A46" s="85" t="s">
        <v>477</v>
      </c>
      <c r="B46" s="86">
        <f t="shared" si="6"/>
        <v>77.83602791528692</v>
      </c>
      <c r="C46" s="86">
        <f t="shared" si="7"/>
        <v>95.396145610280016</v>
      </c>
      <c r="D46" s="86">
        <f t="shared" si="8"/>
        <v>64.965864175350347</v>
      </c>
      <c r="E46" s="86">
        <f t="shared" si="9"/>
        <v>61.80219780219781</v>
      </c>
      <c r="F46" s="87">
        <f t="shared" si="10"/>
        <v>73.963869672371487</v>
      </c>
    </row>
    <row r="47" spans="1:12" x14ac:dyDescent="0.35">
      <c r="A47" s="85" t="s">
        <v>481</v>
      </c>
      <c r="B47" s="86">
        <f t="shared" si="6"/>
        <v>70.081072548848383</v>
      </c>
      <c r="C47" s="86">
        <f t="shared" si="7"/>
        <v>82.334047109209479</v>
      </c>
      <c r="D47" s="86">
        <f t="shared" si="8"/>
        <v>59.55204216073782</v>
      </c>
      <c r="E47" s="86">
        <f t="shared" si="9"/>
        <v>51.604938271604951</v>
      </c>
      <c r="F47" s="87">
        <f t="shared" si="10"/>
        <v>64.883021100125461</v>
      </c>
    </row>
    <row r="48" spans="1:12" x14ac:dyDescent="0.35">
      <c r="A48" s="85" t="s">
        <v>478</v>
      </c>
      <c r="B48" s="86">
        <f t="shared" si="6"/>
        <v>49.250733817395336</v>
      </c>
      <c r="C48" s="86">
        <f t="shared" si="7"/>
        <v>87.794432548183792</v>
      </c>
      <c r="D48" s="86">
        <f t="shared" si="8"/>
        <v>52.108036890645593</v>
      </c>
      <c r="E48" s="86">
        <f t="shared" si="9"/>
        <v>66.256410256410277</v>
      </c>
      <c r="F48" s="87">
        <f t="shared" si="10"/>
        <v>62.632637109907563</v>
      </c>
    </row>
    <row r="49" spans="1:6" x14ac:dyDescent="0.35">
      <c r="A49" s="69" t="s">
        <v>482</v>
      </c>
      <c r="B49" s="87">
        <f t="shared" si="6"/>
        <v>51.950913157664957</v>
      </c>
      <c r="C49" s="87">
        <f t="shared" si="7"/>
        <v>83.511777301930692</v>
      </c>
      <c r="D49" s="87">
        <f t="shared" si="8"/>
        <v>38.522727272727273</v>
      </c>
      <c r="E49" s="87">
        <f t="shared" si="9"/>
        <v>64.484848484848499</v>
      </c>
      <c r="F49" s="87">
        <f t="shared" si="10"/>
        <v>59.337629407685625</v>
      </c>
    </row>
    <row r="50" spans="1:6" x14ac:dyDescent="0.35">
      <c r="A50" s="69" t="s">
        <v>485</v>
      </c>
      <c r="B50" s="87">
        <f t="shared" si="6"/>
        <v>29.475278581935665</v>
      </c>
      <c r="C50" s="87">
        <f t="shared" si="7"/>
        <v>85.224839400430056</v>
      </c>
      <c r="D50" s="87">
        <f t="shared" si="8"/>
        <v>11.853146853146853</v>
      </c>
      <c r="E50" s="87">
        <f t="shared" si="9"/>
        <v>76.000000000000014</v>
      </c>
      <c r="F50" s="87">
        <f t="shared" si="10"/>
        <v>51.058180825296091</v>
      </c>
    </row>
    <row r="51" spans="1:6" x14ac:dyDescent="0.35">
      <c r="A51" s="69" t="s">
        <v>484</v>
      </c>
      <c r="B51" s="87">
        <f t="shared" si="6"/>
        <v>33.089958959960775</v>
      </c>
      <c r="C51" s="87">
        <f t="shared" si="7"/>
        <v>78.586723768734544</v>
      </c>
      <c r="D51" s="87">
        <f t="shared" si="8"/>
        <v>0</v>
      </c>
      <c r="E51" s="87">
        <f t="shared" si="9"/>
        <v>55.272727272727273</v>
      </c>
      <c r="F51" s="87">
        <f t="shared" si="10"/>
        <v>42.226150623553323</v>
      </c>
    </row>
  </sheetData>
  <sortState xmlns:xlrd2="http://schemas.microsoft.com/office/spreadsheetml/2017/richdata2" ref="A41:F51">
    <sortCondition descending="1" ref="F41:F51"/>
  </sortState>
  <mergeCells count="4">
    <mergeCell ref="B8:C8"/>
    <mergeCell ref="G8:J8"/>
    <mergeCell ref="B23:C23"/>
    <mergeCell ref="G23:J23"/>
  </mergeCells>
  <conditionalFormatting sqref="F41:F5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1087B-60EA-470A-9EA4-3BF8A00139EE}">
  <sheetPr>
    <tabColor theme="4" tint="0.59999389629810485"/>
  </sheetPr>
  <dimension ref="A1:M37"/>
  <sheetViews>
    <sheetView showGridLines="0" zoomScale="70" zoomScaleNormal="70" workbookViewId="0">
      <selection activeCell="M21" sqref="M21"/>
    </sheetView>
  </sheetViews>
  <sheetFormatPr defaultColWidth="9.08984375" defaultRowHeight="14.5" x14ac:dyDescent="0.35"/>
  <cols>
    <col min="1" max="1" width="32.36328125" bestFit="1" customWidth="1"/>
    <col min="2" max="2" width="12.453125" bestFit="1" customWidth="1"/>
    <col min="3" max="3" width="11" bestFit="1" customWidth="1"/>
    <col min="4" max="4" width="5.54296875" bestFit="1" customWidth="1"/>
    <col min="5" max="5" width="10.08984375" bestFit="1" customWidth="1"/>
    <col min="6" max="6" width="28.6328125" bestFit="1" customWidth="1"/>
    <col min="7" max="7" width="12.08984375" bestFit="1" customWidth="1"/>
    <col min="8" max="8" width="7.453125" customWidth="1"/>
    <col min="9" max="10" width="8.453125" bestFit="1" customWidth="1"/>
    <col min="11" max="11" width="5.90625" style="7" bestFit="1" customWidth="1"/>
    <col min="12" max="12" width="11.08984375" bestFit="1" customWidth="1"/>
    <col min="13" max="13" width="12.90625" bestFit="1" customWidth="1"/>
    <col min="14" max="14" width="11.08984375" bestFit="1" customWidth="1"/>
    <col min="15" max="15" width="10.08984375" bestFit="1" customWidth="1"/>
  </cols>
  <sheetData>
    <row r="1" spans="1:13" x14ac:dyDescent="0.35">
      <c r="A1" s="1" t="s">
        <v>225</v>
      </c>
    </row>
    <row r="2" spans="1:13" x14ac:dyDescent="0.35">
      <c r="A2" s="1" t="s">
        <v>471</v>
      </c>
    </row>
    <row r="3" spans="1:13" x14ac:dyDescent="0.35">
      <c r="A3" s="1" t="s">
        <v>29</v>
      </c>
    </row>
    <row r="4" spans="1:13" x14ac:dyDescent="0.35">
      <c r="A4" s="23" t="s">
        <v>226</v>
      </c>
    </row>
    <row r="5" spans="1:13" x14ac:dyDescent="0.35">
      <c r="A5" s="8" t="s">
        <v>486</v>
      </c>
    </row>
    <row r="6" spans="1:13" x14ac:dyDescent="0.35">
      <c r="A6" s="115"/>
    </row>
    <row r="8" spans="1:13" x14ac:dyDescent="0.35">
      <c r="A8" s="1" t="s">
        <v>454</v>
      </c>
      <c r="B8" s="594" t="s">
        <v>455</v>
      </c>
      <c r="C8" s="594"/>
      <c r="F8" s="1" t="s">
        <v>456</v>
      </c>
      <c r="G8" s="595" t="s">
        <v>457</v>
      </c>
      <c r="H8" s="595"/>
      <c r="I8" s="595"/>
      <c r="J8" s="595"/>
      <c r="L8" s="1"/>
      <c r="M8" s="1"/>
    </row>
    <row r="9" spans="1:13" x14ac:dyDescent="0.35">
      <c r="A9" s="9" t="s">
        <v>458</v>
      </c>
      <c r="B9" s="22" t="str">
        <f>Kids!B9</f>
        <v>MF 22-40 A</v>
      </c>
      <c r="C9" s="22" t="s">
        <v>459</v>
      </c>
      <c r="F9" s="9" t="s">
        <v>458</v>
      </c>
      <c r="G9" s="22" t="str">
        <f>B9</f>
        <v>MF 22-40 A</v>
      </c>
      <c r="H9" s="22" t="s">
        <v>460</v>
      </c>
      <c r="I9" s="9" t="s">
        <v>456</v>
      </c>
      <c r="J9" s="22" t="s">
        <v>459</v>
      </c>
    </row>
    <row r="10" spans="1:13" x14ac:dyDescent="0.35">
      <c r="A10" s="10" t="s">
        <v>253</v>
      </c>
      <c r="B10" s="70">
        <v>908.52</v>
      </c>
      <c r="C10" s="2">
        <f t="shared" ref="C10:C16" si="0">+B10/(MAX($B$10:$B$16))*100</f>
        <v>97.774429616874727</v>
      </c>
      <c r="F10" s="10" t="s">
        <v>253</v>
      </c>
      <c r="G10" s="72">
        <v>2.78</v>
      </c>
      <c r="H10" s="2">
        <v>4118.2539682539682</v>
      </c>
      <c r="I10" s="12">
        <f t="shared" ref="I10:I16" si="1">H10/G10</f>
        <v>1481.386319515816</v>
      </c>
      <c r="J10" s="2">
        <f t="shared" ref="J10:J16" si="2">(MIN($I$10:$I$16))/I10*100</f>
        <v>100</v>
      </c>
    </row>
    <row r="11" spans="1:13" x14ac:dyDescent="0.35">
      <c r="A11" s="10" t="s">
        <v>384</v>
      </c>
      <c r="B11" s="70">
        <v>884.27</v>
      </c>
      <c r="C11" s="2">
        <f t="shared" si="0"/>
        <v>95.164657770124833</v>
      </c>
      <c r="F11" s="10" t="s">
        <v>384</v>
      </c>
      <c r="G11" s="72">
        <v>1.92</v>
      </c>
      <c r="H11" s="2">
        <v>6889.9313501144161</v>
      </c>
      <c r="I11" s="12">
        <f t="shared" si="1"/>
        <v>3588.5059115179251</v>
      </c>
      <c r="J11" s="2">
        <f t="shared" si="2"/>
        <v>41.281423412486312</v>
      </c>
    </row>
    <row r="12" spans="1:13" x14ac:dyDescent="0.35">
      <c r="A12" s="10" t="s">
        <v>386</v>
      </c>
      <c r="B12" s="70">
        <v>871.45</v>
      </c>
      <c r="C12" s="2">
        <f t="shared" si="0"/>
        <v>93.78497632371932</v>
      </c>
      <c r="F12" s="10" t="s">
        <v>386</v>
      </c>
      <c r="G12" s="72">
        <v>1.17</v>
      </c>
      <c r="H12" s="2">
        <v>4275</v>
      </c>
      <c r="I12" s="12">
        <f t="shared" si="1"/>
        <v>3653.8461538461543</v>
      </c>
      <c r="J12" s="2">
        <f t="shared" si="2"/>
        <v>40.543204534117066</v>
      </c>
    </row>
    <row r="13" spans="1:13" x14ac:dyDescent="0.35">
      <c r="A13" s="10" t="s">
        <v>254</v>
      </c>
      <c r="B13" s="70">
        <v>850.89</v>
      </c>
      <c r="C13" s="2">
        <f t="shared" si="0"/>
        <v>91.572320275505803</v>
      </c>
      <c r="F13" s="10" t="s">
        <v>254</v>
      </c>
      <c r="G13" s="72">
        <v>0.54</v>
      </c>
      <c r="H13" s="2">
        <v>1327.6923076923076</v>
      </c>
      <c r="I13" s="12">
        <f t="shared" si="1"/>
        <v>2458.6894586894582</v>
      </c>
      <c r="J13" s="2">
        <f t="shared" si="2"/>
        <v>60.251054246819415</v>
      </c>
    </row>
    <row r="14" spans="1:13" x14ac:dyDescent="0.35">
      <c r="A14" s="10" t="s">
        <v>383</v>
      </c>
      <c r="B14" s="70">
        <v>929.2</v>
      </c>
      <c r="C14" s="2">
        <f t="shared" si="0"/>
        <v>100</v>
      </c>
      <c r="F14" s="10" t="s">
        <v>383</v>
      </c>
      <c r="G14" s="72">
        <v>0.45</v>
      </c>
      <c r="H14" s="2">
        <v>777.81818181818176</v>
      </c>
      <c r="I14" s="12">
        <f t="shared" si="1"/>
        <v>1728.4848484848483</v>
      </c>
      <c r="J14" s="2">
        <f t="shared" si="2"/>
        <v>85.704327741973941</v>
      </c>
    </row>
    <row r="15" spans="1:13" x14ac:dyDescent="0.35">
      <c r="A15" s="10" t="s">
        <v>390</v>
      </c>
      <c r="B15" s="70">
        <v>770.8</v>
      </c>
      <c r="C15" s="2">
        <f t="shared" si="0"/>
        <v>82.953077916487288</v>
      </c>
      <c r="F15" s="10" t="s">
        <v>390</v>
      </c>
      <c r="G15" s="72">
        <v>0.22</v>
      </c>
      <c r="H15" s="2">
        <v>368</v>
      </c>
      <c r="I15" s="12">
        <f t="shared" si="1"/>
        <v>1672.7272727272727</v>
      </c>
      <c r="J15" s="2">
        <f t="shared" si="2"/>
        <v>88.561138666706398</v>
      </c>
    </row>
    <row r="16" spans="1:13" x14ac:dyDescent="0.35">
      <c r="A16" s="10" t="s">
        <v>385</v>
      </c>
      <c r="B16" s="70">
        <v>796.71</v>
      </c>
      <c r="C16" s="2">
        <f t="shared" si="0"/>
        <v>85.741498062849757</v>
      </c>
      <c r="F16" s="10" t="s">
        <v>385</v>
      </c>
      <c r="G16" s="72">
        <v>0.21</v>
      </c>
      <c r="H16" s="2">
        <v>459.99999999999994</v>
      </c>
      <c r="I16" s="12">
        <f t="shared" si="1"/>
        <v>2190.4761904761904</v>
      </c>
      <c r="J16" s="2">
        <f t="shared" si="2"/>
        <v>67.628505890939422</v>
      </c>
    </row>
    <row r="18" spans="1:10" x14ac:dyDescent="0.35">
      <c r="A18" s="1" t="s">
        <v>462</v>
      </c>
      <c r="B18" s="594" t="s">
        <v>463</v>
      </c>
      <c r="C18" s="594"/>
      <c r="F18" s="1"/>
      <c r="G18" s="595" t="s">
        <v>464</v>
      </c>
      <c r="H18" s="595"/>
      <c r="I18" s="595"/>
      <c r="J18" s="595"/>
    </row>
    <row r="19" spans="1:10" x14ac:dyDescent="0.35">
      <c r="A19" s="9" t="s">
        <v>458</v>
      </c>
      <c r="B19" s="22" t="str">
        <f>B9</f>
        <v>MF 22-40 A</v>
      </c>
      <c r="C19" s="22" t="s">
        <v>459</v>
      </c>
      <c r="F19" s="9" t="s">
        <v>227</v>
      </c>
      <c r="G19" s="22" t="str">
        <f>G9</f>
        <v>MF 22-40 A</v>
      </c>
      <c r="H19" s="24" t="s">
        <v>465</v>
      </c>
      <c r="I19" s="24" t="s">
        <v>466</v>
      </c>
      <c r="J19" s="24" t="s">
        <v>459</v>
      </c>
    </row>
    <row r="20" spans="1:10" x14ac:dyDescent="0.35">
      <c r="A20" s="10" t="s">
        <v>253</v>
      </c>
      <c r="B20" s="129">
        <v>1.2812499999999999E-2</v>
      </c>
      <c r="C20" s="2">
        <f t="shared" ref="C20:C26" si="3">+B20/(MAX($B$20:$B$26))*100</f>
        <v>100</v>
      </c>
      <c r="F20" s="10" t="s">
        <v>383</v>
      </c>
      <c r="G20" s="72">
        <v>2.1800000000000002</v>
      </c>
      <c r="H20" s="91">
        <v>1.93</v>
      </c>
      <c r="I20" s="128">
        <f t="shared" ref="I20:I26" si="4">+G20/H20*100</f>
        <v>112.95336787564767</v>
      </c>
      <c r="J20" s="2">
        <f t="shared" ref="J20:J26" si="5">+I20/(MAX($I$20:$I$26))*100</f>
        <v>100</v>
      </c>
    </row>
    <row r="21" spans="1:10" x14ac:dyDescent="0.35">
      <c r="A21" s="10" t="s">
        <v>384</v>
      </c>
      <c r="B21" s="129">
        <v>1.1030092592593001E-2</v>
      </c>
      <c r="C21" s="2">
        <f t="shared" si="3"/>
        <v>86.088527551945376</v>
      </c>
      <c r="F21" s="10" t="s">
        <v>384</v>
      </c>
      <c r="G21" s="72">
        <v>9.32</v>
      </c>
      <c r="H21" s="91">
        <v>11.49</v>
      </c>
      <c r="I21" s="128">
        <f t="shared" si="4"/>
        <v>81.114012184508269</v>
      </c>
      <c r="J21" s="2">
        <f t="shared" si="5"/>
        <v>71.811946567018794</v>
      </c>
    </row>
    <row r="22" spans="1:10" x14ac:dyDescent="0.35">
      <c r="A22" s="10" t="s">
        <v>386</v>
      </c>
      <c r="B22" s="129">
        <v>1.0856481481481E-2</v>
      </c>
      <c r="C22" s="2">
        <f t="shared" si="3"/>
        <v>84.733514001802931</v>
      </c>
      <c r="F22" s="10" t="s">
        <v>390</v>
      </c>
      <c r="G22" s="72">
        <v>1.0900000000000001</v>
      </c>
      <c r="H22" s="91">
        <v>1.39</v>
      </c>
      <c r="I22" s="128">
        <f t="shared" si="4"/>
        <v>78.417266187050373</v>
      </c>
      <c r="J22" s="2">
        <f t="shared" si="5"/>
        <v>69.424460431654694</v>
      </c>
    </row>
    <row r="23" spans="1:10" x14ac:dyDescent="0.35">
      <c r="A23" s="10" t="s">
        <v>254</v>
      </c>
      <c r="B23" s="129">
        <v>7.9050925925929997E-3</v>
      </c>
      <c r="C23" s="2">
        <f t="shared" si="3"/>
        <v>61.698283649506344</v>
      </c>
      <c r="F23" s="10" t="s">
        <v>254</v>
      </c>
      <c r="G23" s="72">
        <v>2.6</v>
      </c>
      <c r="H23" s="91">
        <v>3.5</v>
      </c>
      <c r="I23" s="128">
        <f t="shared" si="4"/>
        <v>74.285714285714292</v>
      </c>
      <c r="J23" s="2">
        <f t="shared" si="5"/>
        <v>65.766710353866316</v>
      </c>
    </row>
    <row r="24" spans="1:10" x14ac:dyDescent="0.35">
      <c r="A24" s="10" t="s">
        <v>383</v>
      </c>
      <c r="B24" s="129">
        <v>6.6319444444439997E-3</v>
      </c>
      <c r="C24" s="2">
        <f t="shared" si="3"/>
        <v>51.761517615172679</v>
      </c>
      <c r="F24" s="10" t="s">
        <v>253</v>
      </c>
      <c r="G24" s="72">
        <v>13.53</v>
      </c>
      <c r="H24" s="91">
        <v>18.46</v>
      </c>
      <c r="I24" s="128">
        <f t="shared" si="4"/>
        <v>73.293607800650051</v>
      </c>
      <c r="J24" s="2">
        <f t="shared" si="5"/>
        <v>64.888377548281923</v>
      </c>
    </row>
    <row r="25" spans="1:10" x14ac:dyDescent="0.35">
      <c r="A25" s="10" t="s">
        <v>390</v>
      </c>
      <c r="B25" s="129">
        <v>6.3194444444440003E-3</v>
      </c>
      <c r="C25" s="2">
        <f t="shared" si="3"/>
        <v>49.322493224928785</v>
      </c>
      <c r="F25" s="10" t="s">
        <v>385</v>
      </c>
      <c r="G25" s="72">
        <v>1.03</v>
      </c>
      <c r="H25" s="91">
        <v>1.46</v>
      </c>
      <c r="I25" s="128">
        <f t="shared" si="4"/>
        <v>70.547945205479451</v>
      </c>
      <c r="J25" s="2">
        <f t="shared" si="5"/>
        <v>62.457584516777672</v>
      </c>
    </row>
    <row r="26" spans="1:10" x14ac:dyDescent="0.35">
      <c r="A26" s="10" t="s">
        <v>385</v>
      </c>
      <c r="B26" s="129">
        <v>6.2152777777779999E-3</v>
      </c>
      <c r="C26" s="2">
        <f t="shared" si="3"/>
        <v>48.509485094852685</v>
      </c>
      <c r="F26" s="10" t="s">
        <v>386</v>
      </c>
      <c r="G26" s="72">
        <v>5.71</v>
      </c>
      <c r="H26" s="91">
        <v>8.33</v>
      </c>
      <c r="I26" s="128">
        <f t="shared" si="4"/>
        <v>68.547418967587035</v>
      </c>
      <c r="J26" s="2">
        <f t="shared" si="5"/>
        <v>60.686476425432559</v>
      </c>
    </row>
    <row r="28" spans="1:10" x14ac:dyDescent="0.35">
      <c r="A28" s="22" t="s">
        <v>340</v>
      </c>
    </row>
    <row r="29" spans="1:10" x14ac:dyDescent="0.35">
      <c r="A29" s="9" t="s">
        <v>467</v>
      </c>
      <c r="B29" s="22">
        <v>0.3</v>
      </c>
      <c r="C29" s="22">
        <v>0.2</v>
      </c>
      <c r="D29" s="22">
        <v>0.3</v>
      </c>
      <c r="E29" s="22">
        <v>0.2</v>
      </c>
      <c r="F29" s="22"/>
    </row>
    <row r="30" spans="1:10" x14ac:dyDescent="0.35">
      <c r="A30" s="9" t="s">
        <v>458</v>
      </c>
      <c r="B30" s="22" t="s">
        <v>36</v>
      </c>
      <c r="C30" s="22" t="s">
        <v>468</v>
      </c>
      <c r="D30" s="22" t="s">
        <v>456</v>
      </c>
      <c r="E30" s="22" t="s">
        <v>469</v>
      </c>
      <c r="F30" s="22" t="s">
        <v>470</v>
      </c>
    </row>
    <row r="31" spans="1:10" x14ac:dyDescent="0.35">
      <c r="A31" s="116" t="s">
        <v>253</v>
      </c>
      <c r="B31" s="25">
        <f t="shared" ref="B31:B37" si="6">VLOOKUP(A31,$A$9:$C$16,3,0)</f>
        <v>97.774429616874727</v>
      </c>
      <c r="C31" s="25">
        <f t="shared" ref="C31:C37" si="7">VLOOKUP(A31,$A$19:$C$26,3,0)</f>
        <v>100</v>
      </c>
      <c r="D31" s="25">
        <f t="shared" ref="D31:D37" si="8">VLOOKUP(A31,$F$9:$J$16,5,0)</f>
        <v>100</v>
      </c>
      <c r="E31" s="25">
        <f t="shared" ref="E31:E37" si="9">VLOOKUP(A31,$F$19:$J$26,5,0)</f>
        <v>64.888377548281923</v>
      </c>
      <c r="F31" s="26">
        <f t="shared" ref="F31:F37" si="10">B31*$B$29+C31*$C$29+D31*$D$29+E31*$E$29</f>
        <v>92.310004394718817</v>
      </c>
    </row>
    <row r="32" spans="1:10" x14ac:dyDescent="0.35">
      <c r="A32" s="117" t="s">
        <v>383</v>
      </c>
      <c r="B32" s="2">
        <f t="shared" si="6"/>
        <v>100</v>
      </c>
      <c r="C32" s="2">
        <f t="shared" si="7"/>
        <v>51.761517615172679</v>
      </c>
      <c r="D32" s="2">
        <f t="shared" si="8"/>
        <v>85.704327741973941</v>
      </c>
      <c r="E32" s="2">
        <f t="shared" si="9"/>
        <v>100</v>
      </c>
      <c r="F32" s="26">
        <f t="shared" si="10"/>
        <v>86.063601845626721</v>
      </c>
    </row>
    <row r="33" spans="1:6" x14ac:dyDescent="0.35">
      <c r="A33" s="117" t="s">
        <v>390</v>
      </c>
      <c r="B33" s="2">
        <f t="shared" si="6"/>
        <v>82.953077916487288</v>
      </c>
      <c r="C33" s="2">
        <f t="shared" si="7"/>
        <v>49.322493224928785</v>
      </c>
      <c r="D33" s="2">
        <f t="shared" si="8"/>
        <v>88.561138666706398</v>
      </c>
      <c r="E33" s="2">
        <f t="shared" si="9"/>
        <v>69.424460431654694</v>
      </c>
      <c r="F33" s="26">
        <f t="shared" si="10"/>
        <v>75.203655706274802</v>
      </c>
    </row>
    <row r="34" spans="1:6" x14ac:dyDescent="0.35">
      <c r="A34" s="116" t="s">
        <v>384</v>
      </c>
      <c r="B34" s="25">
        <f t="shared" si="6"/>
        <v>95.164657770124833</v>
      </c>
      <c r="C34" s="25">
        <f t="shared" si="7"/>
        <v>86.088527551945376</v>
      </c>
      <c r="D34" s="25">
        <f t="shared" si="8"/>
        <v>41.281423412486312</v>
      </c>
      <c r="E34" s="25">
        <f t="shared" si="9"/>
        <v>71.811946567018794</v>
      </c>
      <c r="F34" s="26">
        <f t="shared" si="10"/>
        <v>72.513919178576174</v>
      </c>
    </row>
    <row r="35" spans="1:6" x14ac:dyDescent="0.35">
      <c r="A35" s="116" t="s">
        <v>254</v>
      </c>
      <c r="B35" s="25">
        <f t="shared" si="6"/>
        <v>91.572320275505803</v>
      </c>
      <c r="C35" s="25">
        <f t="shared" si="7"/>
        <v>61.698283649506344</v>
      </c>
      <c r="D35" s="25">
        <f t="shared" si="8"/>
        <v>60.251054246819415</v>
      </c>
      <c r="E35" s="25">
        <f t="shared" si="9"/>
        <v>65.766710353866316</v>
      </c>
      <c r="F35" s="26">
        <f t="shared" si="10"/>
        <v>71.040011157372106</v>
      </c>
    </row>
    <row r="36" spans="1:6" x14ac:dyDescent="0.35">
      <c r="A36" s="116" t="s">
        <v>386</v>
      </c>
      <c r="B36" s="25">
        <f t="shared" si="6"/>
        <v>93.78497632371932</v>
      </c>
      <c r="C36" s="25">
        <f t="shared" si="7"/>
        <v>84.733514001802931</v>
      </c>
      <c r="D36" s="25">
        <f t="shared" si="8"/>
        <v>40.543204534117066</v>
      </c>
      <c r="E36" s="25">
        <f t="shared" si="9"/>
        <v>60.686476425432559</v>
      </c>
      <c r="F36" s="26">
        <f t="shared" si="10"/>
        <v>69.382452342798004</v>
      </c>
    </row>
    <row r="37" spans="1:6" x14ac:dyDescent="0.35">
      <c r="A37" s="117" t="s">
        <v>385</v>
      </c>
      <c r="B37" s="118">
        <f t="shared" si="6"/>
        <v>85.741498062849757</v>
      </c>
      <c r="C37" s="2">
        <f t="shared" si="7"/>
        <v>48.509485094852685</v>
      </c>
      <c r="D37" s="2">
        <f t="shared" si="8"/>
        <v>67.628505890939422</v>
      </c>
      <c r="E37" s="2">
        <f t="shared" si="9"/>
        <v>62.457584516777672</v>
      </c>
      <c r="F37" s="26">
        <f t="shared" si="10"/>
        <v>68.204415108462825</v>
      </c>
    </row>
  </sheetData>
  <sortState xmlns:xlrd2="http://schemas.microsoft.com/office/spreadsheetml/2017/richdata2" ref="A31:F37">
    <sortCondition descending="1" ref="F31:F37"/>
  </sortState>
  <mergeCells count="4">
    <mergeCell ref="B8:C8"/>
    <mergeCell ref="G8:J8"/>
    <mergeCell ref="B18:C18"/>
    <mergeCell ref="G18:J18"/>
  </mergeCells>
  <conditionalFormatting sqref="F31:F3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D1FF5-49F6-438A-B9E0-199213F7D8B6}">
  <sheetPr>
    <tabColor theme="9" tint="0.79998168889431442"/>
  </sheetPr>
  <dimension ref="A1:T84"/>
  <sheetViews>
    <sheetView showGridLines="0" tabSelected="1" zoomScale="80" zoomScaleNormal="80" workbookViewId="0">
      <selection activeCell="K41" sqref="K41"/>
    </sheetView>
  </sheetViews>
  <sheetFormatPr defaultRowHeight="14.5" x14ac:dyDescent="0.35"/>
  <cols>
    <col min="1" max="1" width="2.54296875" customWidth="1"/>
    <col min="2" max="2" width="22" bestFit="1" customWidth="1"/>
    <col min="3" max="3" width="19.90625" bestFit="1" customWidth="1"/>
    <col min="4" max="4" width="11.1796875" bestFit="1" customWidth="1"/>
    <col min="5" max="5" width="9.54296875" bestFit="1" customWidth="1"/>
    <col min="6" max="6" width="8.1796875" bestFit="1" customWidth="1"/>
    <col min="7" max="7" width="7.81640625" customWidth="1"/>
    <col min="8" max="8" width="14.6328125" bestFit="1" customWidth="1"/>
    <col min="9" max="9" width="14.7265625" bestFit="1" customWidth="1"/>
    <col min="10" max="10" width="12.81640625" hidden="1" customWidth="1"/>
    <col min="11" max="11" width="10.36328125" bestFit="1" customWidth="1"/>
    <col min="12" max="12" width="14.81640625" customWidth="1"/>
    <col min="13" max="13" width="12.90625" customWidth="1"/>
    <col min="14" max="14" width="9.6328125" customWidth="1"/>
    <col min="15" max="15" width="8.453125" customWidth="1"/>
    <col min="16" max="16" width="6.1796875" customWidth="1"/>
    <col min="17" max="18" width="7.81640625" bestFit="1" customWidth="1"/>
    <col min="19" max="19" width="20.6328125" bestFit="1" customWidth="1"/>
    <col min="20" max="20" width="12.54296875" bestFit="1" customWidth="1"/>
  </cols>
  <sheetData>
    <row r="1" spans="2:20" x14ac:dyDescent="0.35">
      <c r="N1" s="574" t="s">
        <v>31</v>
      </c>
      <c r="O1" s="575"/>
      <c r="P1" s="576"/>
      <c r="Q1" s="574" t="s">
        <v>32</v>
      </c>
      <c r="R1" s="576"/>
      <c r="S1" s="189"/>
    </row>
    <row r="2" spans="2:20" ht="15" thickBot="1" x14ac:dyDescent="0.4">
      <c r="D2" s="190" t="s">
        <v>33</v>
      </c>
      <c r="E2" s="190" t="s">
        <v>34</v>
      </c>
      <c r="F2" s="190" t="s">
        <v>35</v>
      </c>
      <c r="G2" s="190" t="s">
        <v>36</v>
      </c>
      <c r="H2" s="190" t="s">
        <v>37</v>
      </c>
      <c r="I2" s="190" t="s">
        <v>38</v>
      </c>
      <c r="J2" s="190"/>
      <c r="K2" s="190" t="s">
        <v>39</v>
      </c>
      <c r="L2" s="190" t="s">
        <v>40</v>
      </c>
      <c r="M2" s="190" t="s">
        <v>41</v>
      </c>
      <c r="N2" s="191" t="s">
        <v>42</v>
      </c>
      <c r="O2" s="191" t="s">
        <v>43</v>
      </c>
      <c r="P2" s="191" t="s">
        <v>44</v>
      </c>
      <c r="Q2" s="191" t="s">
        <v>45</v>
      </c>
      <c r="R2" s="191" t="s">
        <v>46</v>
      </c>
      <c r="S2" s="189"/>
    </row>
    <row r="3" spans="2:20" ht="15" thickBot="1" x14ac:dyDescent="0.4">
      <c r="B3" s="192" t="s">
        <v>47</v>
      </c>
      <c r="C3" s="193" t="s">
        <v>48</v>
      </c>
      <c r="D3" s="194">
        <v>753043198.23896456</v>
      </c>
      <c r="E3" s="194">
        <v>3415366.5192849184</v>
      </c>
      <c r="F3" s="194">
        <v>223107842.46062416</v>
      </c>
      <c r="G3" s="194">
        <v>41680093.905498445</v>
      </c>
      <c r="H3" s="195">
        <v>18.067214530426551</v>
      </c>
      <c r="I3" s="196">
        <v>91744999.625046298</v>
      </c>
      <c r="J3" s="197">
        <v>91744999.625046298</v>
      </c>
      <c r="K3" s="195">
        <v>121.83231963265499</v>
      </c>
      <c r="L3" s="195">
        <v>26.862416993024549</v>
      </c>
      <c r="M3" s="194">
        <v>62000000</v>
      </c>
      <c r="N3" s="195">
        <v>67.225957912094273</v>
      </c>
      <c r="O3" s="195">
        <v>58.486583383522017</v>
      </c>
      <c r="P3" s="195">
        <v>53.108506750554476</v>
      </c>
      <c r="Q3" s="198">
        <v>0.64182772210156902</v>
      </c>
      <c r="R3" s="199">
        <v>0.35817227789843104</v>
      </c>
      <c r="S3" s="189"/>
    </row>
    <row r="4" spans="2:20" x14ac:dyDescent="0.35">
      <c r="N4" s="574" t="s">
        <v>31</v>
      </c>
      <c r="O4" s="575"/>
      <c r="P4" s="576"/>
      <c r="Q4" s="574" t="s">
        <v>32</v>
      </c>
      <c r="R4" s="576"/>
      <c r="S4" s="189"/>
    </row>
    <row r="5" spans="2:20" ht="15" thickBot="1" x14ac:dyDescent="0.4">
      <c r="D5" s="190" t="s">
        <v>33</v>
      </c>
      <c r="E5" s="190" t="s">
        <v>34</v>
      </c>
      <c r="F5" s="190" t="s">
        <v>35</v>
      </c>
      <c r="G5" s="190" t="s">
        <v>36</v>
      </c>
      <c r="H5" s="190" t="s">
        <v>37</v>
      </c>
      <c r="I5" s="190" t="s">
        <v>38</v>
      </c>
      <c r="J5" s="190"/>
      <c r="K5" s="190" t="s">
        <v>39</v>
      </c>
      <c r="L5" s="190" t="s">
        <v>40</v>
      </c>
      <c r="M5" s="190" t="s">
        <v>41</v>
      </c>
      <c r="N5" s="191" t="s">
        <v>42</v>
      </c>
      <c r="O5" s="191" t="s">
        <v>43</v>
      </c>
      <c r="P5" s="191" t="s">
        <v>44</v>
      </c>
      <c r="Q5" s="191" t="s">
        <v>45</v>
      </c>
      <c r="R5" s="191" t="s">
        <v>46</v>
      </c>
      <c r="S5" s="189"/>
    </row>
    <row r="6" spans="2:20" ht="15" thickBot="1" x14ac:dyDescent="0.4">
      <c r="B6" s="192" t="s">
        <v>594</v>
      </c>
      <c r="C6" s="193" t="s">
        <v>519</v>
      </c>
      <c r="D6" s="194">
        <v>1626479554.7687242</v>
      </c>
      <c r="E6" s="194">
        <v>6125719.0596384648</v>
      </c>
      <c r="F6" s="194">
        <v>716294818.71960115</v>
      </c>
      <c r="G6" s="194">
        <v>76770495.005672246</v>
      </c>
      <c r="H6" s="195">
        <v>21.186258531334865</v>
      </c>
      <c r="I6" s="196">
        <v>153955730.45218799</v>
      </c>
      <c r="J6" s="197">
        <v>153955730.45218799</v>
      </c>
      <c r="K6" s="195">
        <v>94.655804311096674</v>
      </c>
      <c r="L6" s="195">
        <v>25.132678948106108</v>
      </c>
      <c r="M6" s="194">
        <v>90986198.269450769</v>
      </c>
      <c r="N6" s="195">
        <v>84.375978407538838</v>
      </c>
      <c r="O6" s="195">
        <v>73.407101214558793</v>
      </c>
      <c r="P6" s="195">
        <v>66.657022941955688</v>
      </c>
      <c r="Q6" s="198">
        <v>0.74201950623123758</v>
      </c>
      <c r="R6" s="199">
        <v>0.25798049376876242</v>
      </c>
      <c r="S6" s="189"/>
    </row>
    <row r="7" spans="2:20" x14ac:dyDescent="0.35">
      <c r="N7" s="574" t="s">
        <v>31</v>
      </c>
      <c r="O7" s="575"/>
      <c r="P7" s="576"/>
      <c r="Q7" s="574" t="s">
        <v>32</v>
      </c>
      <c r="R7" s="576"/>
      <c r="S7" s="574" t="s">
        <v>49</v>
      </c>
      <c r="T7" s="576"/>
    </row>
    <row r="8" spans="2:20" x14ac:dyDescent="0.35">
      <c r="D8" s="190" t="s">
        <v>33</v>
      </c>
      <c r="E8" s="190" t="s">
        <v>34</v>
      </c>
      <c r="F8" s="190" t="s">
        <v>35</v>
      </c>
      <c r="G8" s="190" t="s">
        <v>36</v>
      </c>
      <c r="H8" s="190" t="s">
        <v>37</v>
      </c>
      <c r="I8" s="190" t="s">
        <v>38</v>
      </c>
      <c r="J8" s="190"/>
      <c r="K8" s="190" t="s">
        <v>39</v>
      </c>
      <c r="L8" s="190" t="s">
        <v>40</v>
      </c>
      <c r="M8" s="190" t="s">
        <v>41</v>
      </c>
      <c r="N8" s="191" t="s">
        <v>42</v>
      </c>
      <c r="O8" s="191" t="s">
        <v>43</v>
      </c>
      <c r="P8" s="191" t="s">
        <v>44</v>
      </c>
      <c r="Q8" s="191" t="s">
        <v>45</v>
      </c>
      <c r="R8" s="191" t="s">
        <v>46</v>
      </c>
      <c r="S8" s="200" t="s">
        <v>50</v>
      </c>
      <c r="T8" s="200" t="s">
        <v>51</v>
      </c>
    </row>
    <row r="9" spans="2:20" s="189" customFormat="1" x14ac:dyDescent="0.35">
      <c r="B9" s="201" t="s">
        <v>52</v>
      </c>
      <c r="C9" s="418" t="s">
        <v>593</v>
      </c>
      <c r="D9" s="419">
        <f>'Digital Plan - UPI'!O198</f>
        <v>871978986.82177234</v>
      </c>
      <c r="E9" s="419">
        <f>'Digital Plan - UPI'!R198</f>
        <v>3807172.0678086625</v>
      </c>
      <c r="F9" s="419">
        <f>'Digital Plan - UPI'!T198</f>
        <v>378861259.39508396</v>
      </c>
      <c r="G9" s="419">
        <f>'Digital Plan - UPI'!U198</f>
        <v>76528281.515083671</v>
      </c>
      <c r="H9" s="420">
        <f>D9/G9</f>
        <v>11.394205770188448</v>
      </c>
      <c r="I9" s="421">
        <f>'Digital Plan - UPI'!Y198</f>
        <v>72304473.263051361</v>
      </c>
      <c r="J9" s="346">
        <f>I9</f>
        <v>72304473.263051361</v>
      </c>
      <c r="K9" s="420">
        <f>I9/(D9/1000)</f>
        <v>82.919972104591551</v>
      </c>
      <c r="L9" s="420">
        <f>I9/E9</f>
        <v>18.99164838763604</v>
      </c>
      <c r="M9" s="419">
        <f>'Digital Plan - UPI'!AB198</f>
        <v>91000000</v>
      </c>
      <c r="N9" s="420">
        <f>G9/M9*100</f>
        <v>84.097012653938094</v>
      </c>
      <c r="O9" s="420">
        <f>N9*82%</f>
        <v>68.959550376229231</v>
      </c>
      <c r="P9" s="420">
        <f>N9*73%</f>
        <v>61.390819237374807</v>
      </c>
      <c r="Q9" s="209">
        <f>(SUMIF('Digital Plan - UPI'!E2:E197,"Video",'Digital Plan - UPI'!Y2:Y197))/I9</f>
        <v>0.67295518003332055</v>
      </c>
      <c r="R9" s="209">
        <f>SUMIF('Digital Plan - UPI'!E2:E197,"Static",'Digital Plan - UPI'!Y2:Y197)/I9</f>
        <v>0.32704481996668</v>
      </c>
      <c r="S9" s="202">
        <f>(SUMIF('Digital Plan - UPI'!G2:G197,"CTV",'Digital Plan - UPI'!Y2:Y197))</f>
        <v>34877319.930696584</v>
      </c>
      <c r="T9" s="202">
        <f>I9-S9</f>
        <v>37427153.332354777</v>
      </c>
    </row>
    <row r="10" spans="2:20" s="189" customFormat="1" hidden="1" x14ac:dyDescent="0.35">
      <c r="B10" s="415"/>
      <c r="C10" s="418" t="s">
        <v>560</v>
      </c>
      <c r="D10" s="419"/>
      <c r="E10" s="435"/>
      <c r="F10" s="419"/>
      <c r="G10" s="419"/>
      <c r="H10" s="420"/>
      <c r="I10" s="421"/>
      <c r="J10" s="346"/>
      <c r="K10" s="420"/>
      <c r="L10" s="436"/>
      <c r="M10" s="419"/>
      <c r="N10" s="420"/>
      <c r="O10" s="420"/>
      <c r="P10" s="420"/>
      <c r="Q10" s="209"/>
      <c r="R10" s="209"/>
      <c r="S10" s="202"/>
      <c r="T10" s="422"/>
    </row>
    <row r="11" spans="2:20" s="189" customFormat="1" x14ac:dyDescent="0.35">
      <c r="B11" s="415"/>
      <c r="C11" s="423" t="s">
        <v>522</v>
      </c>
      <c r="D11" s="419"/>
      <c r="E11" s="435"/>
      <c r="F11" s="419"/>
      <c r="G11" s="419"/>
      <c r="H11" s="420"/>
      <c r="I11" s="421"/>
      <c r="J11" s="346"/>
      <c r="K11" s="420"/>
      <c r="L11" s="436"/>
      <c r="M11" s="419"/>
      <c r="N11" s="420"/>
      <c r="O11" s="420"/>
      <c r="P11" s="420"/>
      <c r="Q11" s="209"/>
      <c r="R11" s="209"/>
      <c r="S11" s="422">
        <v>0</v>
      </c>
      <c r="T11" s="202">
        <f>I11</f>
        <v>0</v>
      </c>
    </row>
    <row r="12" spans="2:20" s="189" customFormat="1" ht="13" x14ac:dyDescent="0.3">
      <c r="C12" s="203" t="s">
        <v>18</v>
      </c>
      <c r="D12" s="204">
        <f>SUM(D9:D10)</f>
        <v>871978986.82177234</v>
      </c>
      <c r="E12" s="204">
        <f>SUM(E9:E9)</f>
        <v>3807172.0678086625</v>
      </c>
      <c r="F12" s="204">
        <f>SUM(F9:F10)</f>
        <v>378861259.39508396</v>
      </c>
      <c r="G12" s="204">
        <f>G9+(G10*14%)</f>
        <v>76528281.515083671</v>
      </c>
      <c r="H12" s="205">
        <f>D12/G12</f>
        <v>11.394205770188448</v>
      </c>
      <c r="I12" s="206">
        <f>SUM(I9:I11)</f>
        <v>72304473.263051361</v>
      </c>
      <c r="J12" s="207">
        <f t="shared" ref="J12:J17" si="0">I12</f>
        <v>72304473.263051361</v>
      </c>
      <c r="K12" s="205">
        <f>I12/(D12/1000)</f>
        <v>82.919972104591551</v>
      </c>
      <c r="L12" s="205">
        <f>I12/E12</f>
        <v>18.99164838763604</v>
      </c>
      <c r="M12" s="204">
        <f>M9</f>
        <v>91000000</v>
      </c>
      <c r="N12" s="205">
        <f>G12/M12*100</f>
        <v>84.097012653938094</v>
      </c>
      <c r="O12" s="205">
        <f>N12*87%</f>
        <v>73.164401008926149</v>
      </c>
      <c r="P12" s="205">
        <f>N12*79%</f>
        <v>66.436639996611092</v>
      </c>
      <c r="Q12" s="208">
        <f>(($I$9*Q9)+($I$10*Q10))/$I$12</f>
        <v>0.67295518003332055</v>
      </c>
      <c r="R12" s="208">
        <f>(($I$9*R9)+($I$10*R10))/$I$12</f>
        <v>0.32704481996668</v>
      </c>
      <c r="S12" s="209">
        <f>(S9+S10)/$I$12</f>
        <v>0.48236738830541209</v>
      </c>
      <c r="T12" s="209">
        <f>(T9+T10+T11)/$I$12</f>
        <v>0.51763261169458785</v>
      </c>
    </row>
    <row r="13" spans="2:20" s="189" customFormat="1" ht="13" x14ac:dyDescent="0.3">
      <c r="C13" s="210" t="s">
        <v>53</v>
      </c>
      <c r="D13" s="211"/>
      <c r="E13" s="211"/>
      <c r="F13" s="211"/>
      <c r="G13" s="211"/>
      <c r="H13" s="210"/>
      <c r="I13" s="212">
        <f>SUM(I12:I12)</f>
        <v>72304473.263051361</v>
      </c>
      <c r="J13" s="213">
        <f t="shared" si="0"/>
        <v>72304473.263051361</v>
      </c>
      <c r="K13" s="214"/>
      <c r="L13" s="214"/>
      <c r="M13" s="211"/>
      <c r="N13" s="210"/>
      <c r="O13" s="210"/>
      <c r="P13" s="210"/>
      <c r="Q13" s="210"/>
      <c r="R13" s="210"/>
      <c r="T13" s="215"/>
    </row>
    <row r="14" spans="2:20" s="189" customFormat="1" ht="13" x14ac:dyDescent="0.3">
      <c r="C14" s="216" t="s">
        <v>54</v>
      </c>
      <c r="D14" s="217"/>
      <c r="E14" s="217"/>
      <c r="F14" s="217"/>
      <c r="G14" s="217"/>
      <c r="H14" s="216"/>
      <c r="I14" s="218">
        <f>16*10^5</f>
        <v>1600000</v>
      </c>
      <c r="J14" s="213">
        <f>I14</f>
        <v>1600000</v>
      </c>
      <c r="K14" s="219"/>
      <c r="L14" s="219"/>
      <c r="M14" s="217"/>
      <c r="N14" s="216"/>
      <c r="O14" s="216"/>
      <c r="P14" s="216"/>
      <c r="Q14" s="216"/>
      <c r="R14" s="216"/>
      <c r="T14" s="215"/>
    </row>
    <row r="15" spans="2:20" s="189" customFormat="1" ht="13" x14ac:dyDescent="0.3">
      <c r="C15" s="216" t="s">
        <v>55</v>
      </c>
      <c r="D15" s="217"/>
      <c r="E15" s="217"/>
      <c r="F15" s="217"/>
      <c r="G15" s="217"/>
      <c r="H15" s="216"/>
      <c r="I15" s="218">
        <f>8*10^5</f>
        <v>800000</v>
      </c>
      <c r="J15" s="213">
        <f>I15</f>
        <v>800000</v>
      </c>
      <c r="K15" s="219"/>
      <c r="L15" s="219"/>
      <c r="M15" s="217"/>
      <c r="N15" s="216"/>
      <c r="O15" s="216"/>
      <c r="P15" s="216"/>
      <c r="Q15" s="216"/>
      <c r="R15" s="216"/>
    </row>
    <row r="16" spans="2:20" s="189" customFormat="1" ht="13.5" thickBot="1" x14ac:dyDescent="0.35">
      <c r="C16" s="555" t="s">
        <v>599</v>
      </c>
      <c r="D16" s="556"/>
      <c r="E16" s="556"/>
      <c r="F16" s="556"/>
      <c r="G16" s="556"/>
      <c r="H16" s="555"/>
      <c r="I16" s="559">
        <v>150000</v>
      </c>
      <c r="J16" s="557"/>
      <c r="K16" s="558"/>
      <c r="L16" s="558"/>
      <c r="M16" s="556"/>
      <c r="N16" s="555"/>
      <c r="O16" s="555"/>
      <c r="P16" s="555"/>
      <c r="Q16" s="555"/>
      <c r="R16" s="555"/>
    </row>
    <row r="17" spans="2:20" ht="15" thickBot="1" x14ac:dyDescent="0.4">
      <c r="C17" s="220" t="s">
        <v>56</v>
      </c>
      <c r="D17" s="221"/>
      <c r="E17" s="221"/>
      <c r="F17" s="221"/>
      <c r="G17" s="221"/>
      <c r="H17" s="222"/>
      <c r="I17" s="223">
        <f>I13+I15+I14+I16</f>
        <v>74854473.263051361</v>
      </c>
      <c r="J17" s="224">
        <f t="shared" si="0"/>
        <v>74854473.263051361</v>
      </c>
      <c r="K17" s="225"/>
      <c r="L17" s="225"/>
      <c r="M17" s="221"/>
      <c r="N17" s="222"/>
      <c r="O17" s="222"/>
      <c r="P17" s="222"/>
      <c r="Q17" s="222"/>
      <c r="R17" s="226"/>
      <c r="S17" s="188"/>
      <c r="T17" s="188"/>
    </row>
    <row r="18" spans="2:20" hidden="1" x14ac:dyDescent="0.35">
      <c r="C18" s="227"/>
      <c r="D18" s="228"/>
      <c r="E18" s="228"/>
      <c r="F18" s="228"/>
      <c r="G18" s="228"/>
      <c r="H18" s="227"/>
      <c r="I18" s="229"/>
      <c r="J18" s="230"/>
      <c r="K18" s="231"/>
      <c r="L18" s="231"/>
      <c r="M18" s="228"/>
      <c r="N18" s="227"/>
      <c r="O18" s="227"/>
      <c r="P18" s="227"/>
      <c r="Q18" s="227"/>
      <c r="R18" s="227"/>
    </row>
    <row r="19" spans="2:20" s="189" customFormat="1" ht="15.65" hidden="1" customHeight="1" x14ac:dyDescent="0.3">
      <c r="C19" s="232"/>
      <c r="D19" s="233"/>
      <c r="E19" s="233"/>
      <c r="F19" s="233"/>
      <c r="G19" s="233"/>
      <c r="H19" s="232"/>
      <c r="I19" s="538">
        <f>26.6*10^7</f>
        <v>266000000</v>
      </c>
      <c r="J19" s="234"/>
      <c r="K19" s="541">
        <f>I17-I19</f>
        <v>-191145526.73694864</v>
      </c>
      <c r="L19" s="235"/>
      <c r="M19" s="233"/>
      <c r="N19" s="232"/>
      <c r="O19" s="232"/>
      <c r="P19" s="232"/>
      <c r="Q19" s="232"/>
      <c r="R19" s="232"/>
    </row>
    <row r="20" spans="2:20" s="480" customFormat="1" hidden="1" x14ac:dyDescent="0.35">
      <c r="B20" s="480" t="s">
        <v>558</v>
      </c>
      <c r="D20" s="481" t="s">
        <v>33</v>
      </c>
      <c r="E20" s="481" t="s">
        <v>34</v>
      </c>
      <c r="F20" s="481" t="s">
        <v>35</v>
      </c>
      <c r="G20" s="481" t="s">
        <v>36</v>
      </c>
      <c r="H20" s="481" t="s">
        <v>37</v>
      </c>
      <c r="I20" s="481" t="s">
        <v>38</v>
      </c>
      <c r="J20" s="481"/>
      <c r="K20" s="481" t="s">
        <v>39</v>
      </c>
      <c r="L20" s="481" t="s">
        <v>40</v>
      </c>
      <c r="M20" s="481" t="s">
        <v>41</v>
      </c>
      <c r="N20" s="482" t="s">
        <v>42</v>
      </c>
      <c r="O20" s="482" t="s">
        <v>43</v>
      </c>
      <c r="P20" s="482" t="s">
        <v>44</v>
      </c>
      <c r="Q20" s="482" t="s">
        <v>45</v>
      </c>
      <c r="R20" s="482" t="s">
        <v>46</v>
      </c>
      <c r="S20" s="483" t="s">
        <v>50</v>
      </c>
      <c r="T20" s="483" t="s">
        <v>51</v>
      </c>
    </row>
    <row r="21" spans="2:20" s="484" customFormat="1" hidden="1" x14ac:dyDescent="0.35">
      <c r="B21" s="485" t="str">
        <f>B20</f>
        <v>8th Apr</v>
      </c>
      <c r="C21" s="486" t="s">
        <v>519</v>
      </c>
      <c r="D21" s="487">
        <v>1396206231.3254871</v>
      </c>
      <c r="E21" s="487">
        <v>5360170.1958558122</v>
      </c>
      <c r="F21" s="487">
        <v>591950369.69770002</v>
      </c>
      <c r="G21" s="487">
        <v>66847568.338061675</v>
      </c>
      <c r="H21" s="488">
        <v>20.886417651941951</v>
      </c>
      <c r="I21" s="489">
        <v>129849382.35469709</v>
      </c>
      <c r="J21" s="490">
        <v>129849382.35469709</v>
      </c>
      <c r="K21" s="488">
        <v>93.001577733559245</v>
      </c>
      <c r="L21" s="488">
        <v>24.224861825299776</v>
      </c>
      <c r="M21" s="487">
        <v>90986198.269450769</v>
      </c>
      <c r="N21" s="488">
        <v>73.470009308550473</v>
      </c>
      <c r="O21" s="488">
        <v>63.918908098438912</v>
      </c>
      <c r="P21" s="488">
        <v>58.041307353754874</v>
      </c>
      <c r="Q21" s="491">
        <v>0.72789352627560711</v>
      </c>
      <c r="R21" s="491">
        <v>0.2721064737243935</v>
      </c>
      <c r="S21" s="492">
        <v>66637994.507710002</v>
      </c>
      <c r="T21" s="492">
        <v>63211387.846987091</v>
      </c>
    </row>
    <row r="22" spans="2:20" s="484" customFormat="1" hidden="1" x14ac:dyDescent="0.35">
      <c r="B22" s="493"/>
      <c r="C22" s="486" t="s">
        <v>520</v>
      </c>
      <c r="D22" s="487">
        <v>233379333.37328047</v>
      </c>
      <c r="E22" s="494" t="s">
        <v>521</v>
      </c>
      <c r="F22" s="487">
        <v>181103466.69862437</v>
      </c>
      <c r="G22" s="487">
        <v>32655481.63763272</v>
      </c>
      <c r="H22" s="488">
        <v>7.1467123334151115</v>
      </c>
      <c r="I22" s="489">
        <v>114883443.63343623</v>
      </c>
      <c r="J22" s="490"/>
      <c r="K22" s="488">
        <v>492.26056983239801</v>
      </c>
      <c r="L22" s="495" t="s">
        <v>521</v>
      </c>
      <c r="M22" s="487">
        <v>72000000</v>
      </c>
      <c r="N22" s="488">
        <v>45.354835607823226</v>
      </c>
      <c r="O22" s="488">
        <v>39.458706978806205</v>
      </c>
      <c r="P22" s="488">
        <v>35.830320130180347</v>
      </c>
      <c r="Q22" s="491">
        <v>0.96518210219426415</v>
      </c>
      <c r="R22" s="491">
        <v>3.4817897805735867E-2</v>
      </c>
      <c r="S22" s="492">
        <v>114883443.63343623</v>
      </c>
      <c r="T22" s="496">
        <v>0</v>
      </c>
    </row>
    <row r="23" spans="2:20" s="484" customFormat="1" hidden="1" x14ac:dyDescent="0.35">
      <c r="B23" s="493"/>
      <c r="C23" s="497" t="s">
        <v>522</v>
      </c>
      <c r="D23" s="487"/>
      <c r="E23" s="494"/>
      <c r="F23" s="487"/>
      <c r="G23" s="487"/>
      <c r="H23" s="488"/>
      <c r="I23" s="489">
        <v>10000000</v>
      </c>
      <c r="J23" s="490"/>
      <c r="K23" s="488"/>
      <c r="L23" s="495"/>
      <c r="M23" s="487"/>
      <c r="N23" s="488"/>
      <c r="O23" s="488"/>
      <c r="P23" s="488"/>
      <c r="Q23" s="491"/>
      <c r="R23" s="491"/>
      <c r="S23" s="496">
        <v>0</v>
      </c>
      <c r="T23" s="492">
        <v>10000000</v>
      </c>
    </row>
    <row r="24" spans="2:20" s="484" customFormat="1" ht="13" hidden="1" x14ac:dyDescent="0.3">
      <c r="C24" s="498" t="s">
        <v>18</v>
      </c>
      <c r="D24" s="499">
        <v>1629585564.6987677</v>
      </c>
      <c r="E24" s="499">
        <v>5360170.1958558122</v>
      </c>
      <c r="F24" s="499">
        <v>773053836.3963244</v>
      </c>
      <c r="G24" s="499">
        <v>68480342.419943318</v>
      </c>
      <c r="H24" s="500">
        <v>23.796399187165697</v>
      </c>
      <c r="I24" s="501">
        <v>254732825.98813331</v>
      </c>
      <c r="J24" s="502">
        <v>254732825.98813331</v>
      </c>
      <c r="K24" s="500">
        <v>156.31755184037925</v>
      </c>
      <c r="L24" s="500">
        <v>47.523271963468375</v>
      </c>
      <c r="M24" s="499">
        <v>90986198.269450769</v>
      </c>
      <c r="N24" s="500">
        <v>75.264538712940222</v>
      </c>
      <c r="O24" s="500">
        <v>65.480148680257997</v>
      </c>
      <c r="P24" s="500">
        <v>59.458985583222777</v>
      </c>
      <c r="Q24" s="503">
        <v>0.80633490263196328</v>
      </c>
      <c r="R24" s="503">
        <v>0.15440828010779978</v>
      </c>
      <c r="S24" s="491">
        <v>0.71259539259224636</v>
      </c>
      <c r="T24" s="491">
        <v>0.2874046074077537</v>
      </c>
    </row>
    <row r="25" spans="2:20" s="484" customFormat="1" ht="13" hidden="1" x14ac:dyDescent="0.3">
      <c r="C25" s="504" t="s">
        <v>53</v>
      </c>
      <c r="D25" s="505"/>
      <c r="E25" s="505"/>
      <c r="F25" s="505"/>
      <c r="G25" s="505"/>
      <c r="H25" s="504"/>
      <c r="I25" s="506">
        <v>254732825.98813331</v>
      </c>
      <c r="J25" s="507">
        <v>254732825.98813331</v>
      </c>
      <c r="K25" s="508"/>
      <c r="L25" s="508"/>
      <c r="M25" s="505"/>
      <c r="N25" s="504"/>
      <c r="O25" s="504"/>
      <c r="P25" s="504"/>
      <c r="Q25" s="504"/>
      <c r="R25" s="504"/>
      <c r="T25" s="509"/>
    </row>
    <row r="26" spans="2:20" s="484" customFormat="1" ht="13" hidden="1" x14ac:dyDescent="0.3">
      <c r="C26" s="510" t="s">
        <v>54</v>
      </c>
      <c r="D26" s="511"/>
      <c r="E26" s="511"/>
      <c r="F26" s="511"/>
      <c r="G26" s="511"/>
      <c r="H26" s="510"/>
      <c r="I26" s="512">
        <v>3841925.28</v>
      </c>
      <c r="J26" s="507">
        <v>3841925.28</v>
      </c>
      <c r="K26" s="513"/>
      <c r="L26" s="513"/>
      <c r="M26" s="511"/>
      <c r="N26" s="510"/>
      <c r="O26" s="510"/>
      <c r="P26" s="510"/>
      <c r="Q26" s="510"/>
      <c r="R26" s="510"/>
      <c r="T26" s="509"/>
    </row>
    <row r="27" spans="2:20" s="484" customFormat="1" ht="13" hidden="1" x14ac:dyDescent="0.3">
      <c r="C27" s="510" t="s">
        <v>55</v>
      </c>
      <c r="D27" s="511"/>
      <c r="E27" s="511"/>
      <c r="F27" s="511"/>
      <c r="G27" s="511"/>
      <c r="H27" s="510"/>
      <c r="I27" s="512">
        <v>1857583.2509999999</v>
      </c>
      <c r="J27" s="514">
        <v>1857583.2509999999</v>
      </c>
      <c r="K27" s="513"/>
      <c r="L27" s="513"/>
      <c r="M27" s="511"/>
      <c r="N27" s="510"/>
      <c r="O27" s="510"/>
      <c r="P27" s="510"/>
      <c r="Q27" s="510"/>
      <c r="R27" s="510"/>
    </row>
    <row r="28" spans="2:20" s="484" customFormat="1" ht="13" hidden="1" x14ac:dyDescent="0.3">
      <c r="C28" s="510" t="s">
        <v>533</v>
      </c>
      <c r="D28" s="515"/>
      <c r="E28" s="515"/>
      <c r="F28" s="515"/>
      <c r="G28" s="515"/>
      <c r="H28" s="516"/>
      <c r="I28" s="517">
        <v>450000</v>
      </c>
      <c r="J28" s="518"/>
      <c r="K28" s="519"/>
      <c r="L28" s="519"/>
      <c r="M28" s="515"/>
      <c r="N28" s="516"/>
      <c r="O28" s="516"/>
      <c r="P28" s="516"/>
      <c r="Q28" s="516"/>
      <c r="R28" s="516"/>
    </row>
    <row r="29" spans="2:20" s="480" customFormat="1" ht="15" hidden="1" thickBot="1" x14ac:dyDescent="0.4">
      <c r="C29" s="520" t="s">
        <v>56</v>
      </c>
      <c r="D29" s="521"/>
      <c r="E29" s="521"/>
      <c r="F29" s="521"/>
      <c r="G29" s="521"/>
      <c r="H29" s="522"/>
      <c r="I29" s="523">
        <v>260882334.5191333</v>
      </c>
      <c r="J29" s="524">
        <v>260882334.5191333</v>
      </c>
      <c r="K29" s="525"/>
      <c r="L29" s="525"/>
      <c r="M29" s="521"/>
      <c r="N29" s="522"/>
      <c r="O29" s="522"/>
      <c r="P29" s="522"/>
      <c r="Q29" s="522"/>
      <c r="R29" s="526"/>
    </row>
    <row r="30" spans="2:20" s="480" customFormat="1" hidden="1" x14ac:dyDescent="0.35">
      <c r="C30" s="527"/>
      <c r="D30" s="528"/>
      <c r="E30" s="528"/>
      <c r="F30" s="528"/>
      <c r="G30" s="528"/>
      <c r="H30" s="527"/>
      <c r="I30" s="529"/>
      <c r="J30" s="530"/>
      <c r="K30" s="531"/>
      <c r="L30" s="531"/>
      <c r="M30" s="528"/>
      <c r="N30" s="527"/>
      <c r="O30" s="527"/>
      <c r="P30" s="527"/>
      <c r="Q30" s="527"/>
      <c r="R30" s="527"/>
    </row>
    <row r="31" spans="2:20" s="484" customFormat="1" ht="15.65" hidden="1" customHeight="1" x14ac:dyDescent="0.3">
      <c r="C31" s="532"/>
      <c r="D31" s="533"/>
      <c r="E31" s="533"/>
      <c r="F31" s="533"/>
      <c r="G31" s="533"/>
      <c r="H31" s="532"/>
      <c r="I31" s="537"/>
      <c r="J31" s="534"/>
      <c r="K31" s="537"/>
      <c r="L31" s="535"/>
      <c r="M31" s="533"/>
      <c r="N31" s="532"/>
      <c r="O31" s="532"/>
      <c r="P31" s="532"/>
      <c r="Q31" s="532"/>
      <c r="R31" s="532"/>
    </row>
    <row r="32" spans="2:20" s="536" customFormat="1" hidden="1" x14ac:dyDescent="0.35">
      <c r="B32" s="536" t="s">
        <v>557</v>
      </c>
      <c r="D32" s="481" t="s">
        <v>33</v>
      </c>
      <c r="E32" s="481" t="s">
        <v>34</v>
      </c>
      <c r="F32" s="481" t="s">
        <v>35</v>
      </c>
      <c r="G32" s="481" t="s">
        <v>36</v>
      </c>
      <c r="H32" s="481" t="s">
        <v>37</v>
      </c>
      <c r="I32" s="481" t="s">
        <v>38</v>
      </c>
      <c r="J32" s="481"/>
      <c r="K32" s="481" t="s">
        <v>39</v>
      </c>
      <c r="L32" s="481" t="s">
        <v>40</v>
      </c>
      <c r="M32" s="481" t="s">
        <v>41</v>
      </c>
      <c r="N32" s="482" t="s">
        <v>42</v>
      </c>
      <c r="O32" s="482" t="s">
        <v>43</v>
      </c>
      <c r="P32" s="482" t="s">
        <v>44</v>
      </c>
      <c r="Q32" s="482" t="s">
        <v>45</v>
      </c>
      <c r="R32" s="482" t="s">
        <v>46</v>
      </c>
      <c r="S32" s="483" t="s">
        <v>50</v>
      </c>
      <c r="T32" s="483" t="s">
        <v>51</v>
      </c>
    </row>
    <row r="33" spans="1:20" s="484" customFormat="1" hidden="1" x14ac:dyDescent="0.35">
      <c r="B33" s="485" t="str">
        <f>B32</f>
        <v>1st Apr</v>
      </c>
      <c r="C33" s="486" t="s">
        <v>519</v>
      </c>
      <c r="D33" s="487">
        <v>1906476578.6130905</v>
      </c>
      <c r="E33" s="487">
        <v>7799667.6472282782</v>
      </c>
      <c r="F33" s="487">
        <v>732305102.93111789</v>
      </c>
      <c r="G33" s="487">
        <v>82823188.681624621</v>
      </c>
      <c r="H33" s="488">
        <v>23.018632933122831</v>
      </c>
      <c r="I33" s="489">
        <v>190166774.64931232</v>
      </c>
      <c r="J33" s="490">
        <v>190166774.64931232</v>
      </c>
      <c r="K33" s="488">
        <v>99.747763378060185</v>
      </c>
      <c r="L33" s="488">
        <v>24.381394599152024</v>
      </c>
      <c r="M33" s="487">
        <v>90986198.269450769</v>
      </c>
      <c r="N33" s="488">
        <v>91.028299079326473</v>
      </c>
      <c r="O33" s="488">
        <v>79.194620199014025</v>
      </c>
      <c r="P33" s="488">
        <v>71.912356272667921</v>
      </c>
      <c r="Q33" s="491">
        <v>0.75134157279152292</v>
      </c>
      <c r="R33" s="491">
        <v>0.24865842720847728</v>
      </c>
      <c r="S33" s="492">
        <v>96213061.338405371</v>
      </c>
      <c r="T33" s="492">
        <v>93953713.310906947</v>
      </c>
    </row>
    <row r="34" spans="1:20" s="484" customFormat="1" hidden="1" x14ac:dyDescent="0.35">
      <c r="B34" s="493"/>
      <c r="C34" s="486" t="s">
        <v>520</v>
      </c>
      <c r="D34" s="487">
        <v>214650094.40022951</v>
      </c>
      <c r="E34" s="494" t="s">
        <v>521</v>
      </c>
      <c r="F34" s="487">
        <v>160520075.52018362</v>
      </c>
      <c r="G34" s="487">
        <v>30154663.795694739</v>
      </c>
      <c r="H34" s="488">
        <v>7.1183050109441339</v>
      </c>
      <c r="I34" s="489">
        <v>115443584.81187734</v>
      </c>
      <c r="J34" s="490"/>
      <c r="K34" s="488">
        <v>537.82219446232818</v>
      </c>
      <c r="L34" s="495" t="s">
        <v>521</v>
      </c>
      <c r="M34" s="487">
        <v>72000000</v>
      </c>
      <c r="N34" s="488">
        <v>41.881477494020473</v>
      </c>
      <c r="O34" s="488">
        <v>36.436885419797811</v>
      </c>
      <c r="P34" s="488">
        <v>33.086367220276173</v>
      </c>
      <c r="Q34" s="491">
        <v>0.89605312396046288</v>
      </c>
      <c r="R34" s="491">
        <v>0.10394687603953709</v>
      </c>
      <c r="S34" s="492">
        <v>115443584.81187734</v>
      </c>
      <c r="T34" s="496">
        <v>0</v>
      </c>
    </row>
    <row r="35" spans="1:20" s="484" customFormat="1" hidden="1" x14ac:dyDescent="0.35">
      <c r="B35" s="493"/>
      <c r="C35" s="497" t="s">
        <v>522</v>
      </c>
      <c r="D35" s="487"/>
      <c r="E35" s="494"/>
      <c r="F35" s="487"/>
      <c r="G35" s="487"/>
      <c r="H35" s="488"/>
      <c r="I35" s="489">
        <v>10000000</v>
      </c>
      <c r="J35" s="490"/>
      <c r="K35" s="488"/>
      <c r="L35" s="495"/>
      <c r="M35" s="487"/>
      <c r="N35" s="488"/>
      <c r="O35" s="488"/>
      <c r="P35" s="488"/>
      <c r="Q35" s="491"/>
      <c r="R35" s="491"/>
      <c r="S35" s="496">
        <v>0</v>
      </c>
      <c r="T35" s="492">
        <v>10000000</v>
      </c>
    </row>
    <row r="36" spans="1:20" s="484" customFormat="1" ht="13" hidden="1" x14ac:dyDescent="0.3">
      <c r="C36" s="498" t="s">
        <v>18</v>
      </c>
      <c r="D36" s="499">
        <v>2121126673.01332</v>
      </c>
      <c r="E36" s="499">
        <v>7799667.6472282782</v>
      </c>
      <c r="F36" s="499">
        <v>892825178.45130157</v>
      </c>
      <c r="G36" s="499">
        <v>84330921.871409357</v>
      </c>
      <c r="H36" s="500">
        <v>25.152418898582489</v>
      </c>
      <c r="I36" s="501">
        <v>315610359.46118963</v>
      </c>
      <c r="J36" s="502">
        <v>315610359.46118963</v>
      </c>
      <c r="K36" s="500">
        <v>148.79373470554046</v>
      </c>
      <c r="L36" s="500">
        <v>40.464590766677887</v>
      </c>
      <c r="M36" s="499">
        <v>90986198.269450769</v>
      </c>
      <c r="N36" s="500">
        <v>92.685400066576946</v>
      </c>
      <c r="O36" s="500">
        <v>80.636298057921948</v>
      </c>
      <c r="P36" s="500">
        <v>73.221466052595787</v>
      </c>
      <c r="Q36" s="503">
        <v>0.78046800741936051</v>
      </c>
      <c r="R36" s="503">
        <v>0.18784735454444851</v>
      </c>
      <c r="S36" s="491">
        <v>0.67062642212259183</v>
      </c>
      <c r="T36" s="491">
        <v>0.32937357787740823</v>
      </c>
    </row>
    <row r="37" spans="1:20" s="484" customFormat="1" ht="13" hidden="1" x14ac:dyDescent="0.3">
      <c r="C37" s="504" t="s">
        <v>53</v>
      </c>
      <c r="D37" s="505"/>
      <c r="E37" s="505"/>
      <c r="F37" s="505"/>
      <c r="G37" s="505"/>
      <c r="H37" s="504"/>
      <c r="I37" s="506">
        <v>315610359.46118963</v>
      </c>
      <c r="J37" s="507">
        <v>315610359.46118963</v>
      </c>
      <c r="K37" s="508"/>
      <c r="L37" s="508"/>
      <c r="M37" s="505"/>
      <c r="N37" s="504"/>
      <c r="O37" s="504"/>
      <c r="P37" s="504"/>
      <c r="Q37" s="504"/>
      <c r="R37" s="504"/>
      <c r="T37" s="509"/>
    </row>
    <row r="38" spans="1:20" s="484" customFormat="1" ht="13" hidden="1" x14ac:dyDescent="0.3">
      <c r="C38" s="510" t="s">
        <v>54</v>
      </c>
      <c r="D38" s="511"/>
      <c r="E38" s="511"/>
      <c r="F38" s="511"/>
      <c r="G38" s="511"/>
      <c r="H38" s="510"/>
      <c r="I38" s="512">
        <v>5426719.4579999987</v>
      </c>
      <c r="J38" s="507">
        <v>5426719.4579999987</v>
      </c>
      <c r="K38" s="513"/>
      <c r="L38" s="513"/>
      <c r="M38" s="511"/>
      <c r="N38" s="510"/>
      <c r="O38" s="510"/>
      <c r="P38" s="510"/>
      <c r="Q38" s="510"/>
      <c r="R38" s="510"/>
      <c r="T38" s="509"/>
    </row>
    <row r="39" spans="1:20" s="484" customFormat="1" ht="13" hidden="1" x14ac:dyDescent="0.3">
      <c r="C39" s="510" t="s">
        <v>55</v>
      </c>
      <c r="D39" s="511"/>
      <c r="E39" s="511"/>
      <c r="F39" s="511"/>
      <c r="G39" s="511"/>
      <c r="H39" s="510"/>
      <c r="I39" s="512">
        <v>2682298.9706999995</v>
      </c>
      <c r="J39" s="514">
        <v>2682298.9706999995</v>
      </c>
      <c r="K39" s="513"/>
      <c r="L39" s="513"/>
      <c r="M39" s="511"/>
      <c r="N39" s="510"/>
      <c r="O39" s="510"/>
      <c r="P39" s="510"/>
      <c r="Q39" s="510"/>
      <c r="R39" s="510"/>
    </row>
    <row r="40" spans="1:20" s="536" customFormat="1" ht="15" hidden="1" thickBot="1" x14ac:dyDescent="0.4">
      <c r="C40" s="520" t="s">
        <v>56</v>
      </c>
      <c r="D40" s="521"/>
      <c r="E40" s="521"/>
      <c r="F40" s="521"/>
      <c r="G40" s="521"/>
      <c r="H40" s="522"/>
      <c r="I40" s="523">
        <v>323719377.88988966</v>
      </c>
      <c r="J40" s="524">
        <v>323719377.88988966</v>
      </c>
      <c r="K40" s="525"/>
      <c r="L40" s="525"/>
      <c r="M40" s="521"/>
      <c r="N40" s="522"/>
      <c r="O40" s="522"/>
      <c r="P40" s="522"/>
      <c r="Q40" s="522"/>
      <c r="R40" s="526"/>
    </row>
    <row r="41" spans="1:20" s="536" customFormat="1" x14ac:dyDescent="0.35">
      <c r="I41" s="561"/>
    </row>
    <row r="42" spans="1:20" s="536" customFormat="1" x14ac:dyDescent="0.35">
      <c r="I42" s="560"/>
    </row>
    <row r="43" spans="1:20" ht="15" thickBot="1" x14ac:dyDescent="0.4">
      <c r="A43" s="237"/>
      <c r="B43" s="238" t="s">
        <v>19</v>
      </c>
      <c r="C43" s="238" t="s">
        <v>57</v>
      </c>
      <c r="D43" s="238" t="s">
        <v>34</v>
      </c>
      <c r="E43" s="238" t="s">
        <v>58</v>
      </c>
      <c r="F43" s="238" t="s">
        <v>59</v>
      </c>
      <c r="I43" s="563"/>
      <c r="K43" s="477"/>
    </row>
    <row r="44" spans="1:20" ht="26" x14ac:dyDescent="0.35">
      <c r="A44" s="239" t="s">
        <v>60</v>
      </c>
      <c r="B44" s="240" t="str">
        <f>'Digital Plan - UPI'!B19</f>
        <v>Telengana - Seg A</v>
      </c>
      <c r="C44" s="241">
        <f>'Digital Plan - UPI'!O19</f>
        <v>32949708.964362968</v>
      </c>
      <c r="D44" s="241">
        <f>'Digital Plan - UPI'!R19</f>
        <v>107432.76287127554</v>
      </c>
      <c r="E44" s="242">
        <f>'Digital Plan - UPI'!AC19</f>
        <v>0.81946565324424792</v>
      </c>
      <c r="F44" s="241">
        <f>'Digital Plan - UPI'!V19</f>
        <v>9.0004900977709372</v>
      </c>
      <c r="L44" s="424" t="s">
        <v>523</v>
      </c>
      <c r="M44" s="425" t="s">
        <v>559</v>
      </c>
      <c r="N44" s="426" t="s">
        <v>524</v>
      </c>
      <c r="O44" s="427" t="s">
        <v>559</v>
      </c>
    </row>
    <row r="45" spans="1:20" x14ac:dyDescent="0.35">
      <c r="A45" s="239" t="s">
        <v>60</v>
      </c>
      <c r="B45" s="240" t="str">
        <f>'Digital Plan - UPI'!B27</f>
        <v>Telengana - Seg B</v>
      </c>
      <c r="C45" s="241">
        <f>'Digital Plan - UPI'!O27</f>
        <v>48501104.92877271</v>
      </c>
      <c r="D45" s="241">
        <f>'Digital Plan - UPI'!R27</f>
        <v>166127.66716022778</v>
      </c>
      <c r="E45" s="242">
        <f>'Digital Plan - UPI'!AC27</f>
        <v>0.52694043307114036</v>
      </c>
      <c r="F45" s="241">
        <f>'Digital Plan - UPI'!V27</f>
        <v>5.1793333970272002</v>
      </c>
      <c r="K45" s="428" t="s">
        <v>27</v>
      </c>
      <c r="L45" s="429">
        <v>4.3743618</v>
      </c>
      <c r="M45" s="430">
        <f>(('Digital Plan - UPI'!U19/10^6)/'Digital - Summary'!L45)</f>
        <v>0.83689452013370269</v>
      </c>
      <c r="N45" s="429">
        <v>13.77017966</v>
      </c>
      <c r="O45" s="430">
        <f>(('Digital Plan - UPI'!U27/10^6)/'Digital - Summary'!N45)</f>
        <v>0.68004579309213942</v>
      </c>
      <c r="Q45" s="431"/>
      <c r="S45" s="188"/>
    </row>
    <row r="46" spans="1:20" ht="15" thickBot="1" x14ac:dyDescent="0.4">
      <c r="A46" s="239" t="s">
        <v>60</v>
      </c>
      <c r="B46" s="240" t="str">
        <f>'Digital Plan - UPI'!B39</f>
        <v>Bangalore - Seg A</v>
      </c>
      <c r="C46" s="241">
        <f>'Digital Plan - UPI'!O39</f>
        <v>30962824.122288495</v>
      </c>
      <c r="D46" s="241">
        <f>'Digital Plan - UPI'!R39</f>
        <v>107047.954473063</v>
      </c>
      <c r="E46" s="242">
        <f>'Digital Plan - UPI'!AC39</f>
        <v>0.80670053791126117</v>
      </c>
      <c r="F46" s="241">
        <f>'Digital Plan - UPI'!V39</f>
        <v>10.716318451633018</v>
      </c>
      <c r="K46" s="428" t="s">
        <v>525</v>
      </c>
      <c r="L46" s="432">
        <v>4.1438391000000001</v>
      </c>
      <c r="M46" s="433">
        <f>(('Digital Plan - UPI'!U39/10^6)/'Digital - Summary'!L46)</f>
        <v>0.69725569644026286</v>
      </c>
      <c r="N46" s="432">
        <v>5.2160186094507699</v>
      </c>
      <c r="O46" s="433">
        <f>(('Digital Plan - UPI'!U47/10^6)/'Digital - Summary'!N46)</f>
        <v>0.71763500208853181</v>
      </c>
      <c r="S46" s="434"/>
    </row>
    <row r="47" spans="1:20" x14ac:dyDescent="0.35">
      <c r="A47" s="239" t="s">
        <v>60</v>
      </c>
      <c r="B47" s="240" t="str">
        <f>'Digital Plan - UPI'!B47</f>
        <v>Bangalore - Seg B</v>
      </c>
      <c r="C47" s="241">
        <f>'Digital Plan - UPI'!O47</f>
        <v>22299932.542407233</v>
      </c>
      <c r="D47" s="241">
        <f>'Digital Plan - UPI'!R47</f>
        <v>66966.379639316729</v>
      </c>
      <c r="E47" s="242">
        <f>'Digital Plan - UPI'!AC47</f>
        <v>0.55110808570773839</v>
      </c>
      <c r="F47" s="241">
        <f>'Digital Plan - UPI'!V47</f>
        <v>5.9574554613743818</v>
      </c>
    </row>
    <row r="48" spans="1:20" x14ac:dyDescent="0.35">
      <c r="A48" s="243" t="s">
        <v>61</v>
      </c>
      <c r="B48" s="244" t="str">
        <f>'Digital Plan - UPI'!B59</f>
        <v>Ahmedabad</v>
      </c>
      <c r="C48" s="241">
        <f>'Digital Plan - UPI'!O59</f>
        <v>21069768.981655266</v>
      </c>
      <c r="D48" s="241">
        <f>'Digital Plan - UPI'!R59</f>
        <v>99505.792283488117</v>
      </c>
      <c r="E48" s="242">
        <f>'Digital Plan - UPI'!AC59</f>
        <v>0.77502160339303872</v>
      </c>
      <c r="F48" s="241">
        <f>'Digital Plan - UPI'!V59</f>
        <v>7.7800639792122235</v>
      </c>
      <c r="L48" s="188"/>
      <c r="N48" s="188"/>
    </row>
    <row r="49" spans="1:19" x14ac:dyDescent="0.35">
      <c r="A49" s="243" t="s">
        <v>61</v>
      </c>
      <c r="B49" s="244" t="str">
        <f>'Digital Plan - UPI'!B71</f>
        <v>Chennai</v>
      </c>
      <c r="C49" s="241">
        <f>'Digital Plan - UPI'!O71</f>
        <v>26845884.741159257</v>
      </c>
      <c r="D49" s="241">
        <f>'Digital Plan - UPI'!R71</f>
        <v>85311.701037574487</v>
      </c>
      <c r="E49" s="242">
        <f>'Digital Plan - UPI'!AC71</f>
        <v>0.75783947047532874</v>
      </c>
      <c r="F49" s="241">
        <f>'Digital Plan - UPI'!V71</f>
        <v>10.312411458953603</v>
      </c>
      <c r="L49" s="188"/>
      <c r="N49" s="188"/>
    </row>
    <row r="50" spans="1:19" x14ac:dyDescent="0.35">
      <c r="A50" s="243" t="s">
        <v>61</v>
      </c>
      <c r="B50" s="244" t="str">
        <f>'Digital Plan - UPI'!B83</f>
        <v>Delhi + NCR</v>
      </c>
      <c r="C50" s="241">
        <f>'Digital Plan - UPI'!O83</f>
        <v>161434200.65990552</v>
      </c>
      <c r="D50" s="241">
        <f>'Digital Plan - UPI'!R83</f>
        <v>421550.97998958954</v>
      </c>
      <c r="E50" s="242">
        <f>'Digital Plan - UPI'!AC83</f>
        <v>0.75706962746243001</v>
      </c>
      <c r="F50" s="241">
        <f>'Digital Plan - UPI'!V83</f>
        <v>10.504074258012839</v>
      </c>
    </row>
    <row r="51" spans="1:19" x14ac:dyDescent="0.35">
      <c r="A51" s="243" t="s">
        <v>61</v>
      </c>
      <c r="B51" s="244" t="str">
        <f>'Digital Plan - UPI'!B95</f>
        <v>Kolkata + Howrah</v>
      </c>
      <c r="C51" s="241">
        <f>'Digital Plan - UPI'!O95</f>
        <v>42220937.266215727</v>
      </c>
      <c r="D51" s="241">
        <f>'Digital Plan - UPI'!R95</f>
        <v>130448.25620431734</v>
      </c>
      <c r="E51" s="242">
        <f>'Digital Plan - UPI'!AC95</f>
        <v>0.76774296346692217</v>
      </c>
      <c r="F51" s="241">
        <f>'Digital Plan - UPI'!V95</f>
        <v>8.4048709388285232</v>
      </c>
    </row>
    <row r="52" spans="1:19" x14ac:dyDescent="0.35">
      <c r="A52" s="243" t="s">
        <v>61</v>
      </c>
      <c r="B52" s="244" t="str">
        <f>'Digital Plan - UPI'!B107</f>
        <v>Mumbai</v>
      </c>
      <c r="C52" s="241">
        <f>'Digital Plan - UPI'!O107</f>
        <v>52787297.632451355</v>
      </c>
      <c r="D52" s="241">
        <f>'Digital Plan - UPI'!R107</f>
        <v>186970.33103853138</v>
      </c>
      <c r="E52" s="242">
        <f>'Digital Plan - UPI'!AC107</f>
        <v>0.74615023913091194</v>
      </c>
      <c r="F52" s="241">
        <f>'Digital Plan - UPI'!V107</f>
        <v>10.64363638298471</v>
      </c>
    </row>
    <row r="53" spans="1:19" x14ac:dyDescent="0.35">
      <c r="A53" s="243" t="s">
        <v>61</v>
      </c>
      <c r="B53" s="244" t="str">
        <f>'Digital Plan - UPI'!B119</f>
        <v>Pune</v>
      </c>
      <c r="C53" s="241">
        <f>'Digital Plan - UPI'!O119</f>
        <v>24814880.430348359</v>
      </c>
      <c r="D53" s="241">
        <f>'Digital Plan - UPI'!R119</f>
        <v>168003.60054646092</v>
      </c>
      <c r="E53" s="242">
        <f>'Digital Plan - UPI'!AC119</f>
        <v>0.75043676960413086</v>
      </c>
      <c r="F53" s="241">
        <f>'Digital Plan - UPI'!V119</f>
        <v>7.8622616867493837</v>
      </c>
    </row>
    <row r="54" spans="1:19" x14ac:dyDescent="0.35">
      <c r="A54" s="245" t="s">
        <v>62</v>
      </c>
      <c r="B54" s="246" t="str">
        <f>'Digital Plan - UPI'!B127</f>
        <v>Coimbatore</v>
      </c>
      <c r="C54" s="241">
        <f>'Digital Plan - UPI'!O127</f>
        <v>3523889.382656619</v>
      </c>
      <c r="D54" s="241">
        <f>'Digital Plan - UPI'!R127</f>
        <v>9847.392603316368</v>
      </c>
      <c r="E54" s="242">
        <f>'Digital Plan - UPI'!AC127</f>
        <v>0.63407558123363073</v>
      </c>
      <c r="F54" s="241">
        <f>'Digital Plan - UPI'!V127</f>
        <v>5.5350949245452759</v>
      </c>
    </row>
    <row r="55" spans="1:19" x14ac:dyDescent="0.35">
      <c r="A55" s="245" t="s">
        <v>62</v>
      </c>
      <c r="B55" s="246" t="str">
        <f>'Digital Plan - UPI'!B135</f>
        <v>Jaipur</v>
      </c>
      <c r="C55" s="241">
        <f>'Digital Plan - UPI'!O135</f>
        <v>5432288.8497613287</v>
      </c>
      <c r="D55" s="241">
        <f>'Digital Plan - UPI'!R135</f>
        <v>10858.188843153152</v>
      </c>
      <c r="E55" s="242">
        <f>'Digital Plan - UPI'!AC135</f>
        <v>0.63993535307131344</v>
      </c>
      <c r="F55" s="241">
        <f>'Digital Plan - UPI'!V135</f>
        <v>6.5221609942744321</v>
      </c>
    </row>
    <row r="56" spans="1:19" x14ac:dyDescent="0.35">
      <c r="A56" s="245" t="s">
        <v>62</v>
      </c>
      <c r="B56" s="246" t="str">
        <f>'Digital Plan - UPI'!B143</f>
        <v>Kochi</v>
      </c>
      <c r="C56" s="241">
        <f>'Digital Plan - UPI'!O143</f>
        <v>3805292.599508815</v>
      </c>
      <c r="D56" s="241">
        <f>'Digital Plan - UPI'!R143</f>
        <v>7014.1483467716125</v>
      </c>
      <c r="E56" s="242">
        <f>'Digital Plan - UPI'!AC143</f>
        <v>0.64590641800081328</v>
      </c>
      <c r="F56" s="241">
        <f>'Digital Plan - UPI'!V143</f>
        <v>7.8509881549488449</v>
      </c>
    </row>
    <row r="57" spans="1:19" x14ac:dyDescent="0.35">
      <c r="A57" s="245" t="s">
        <v>62</v>
      </c>
      <c r="B57" s="246" t="str">
        <f>'Digital Plan - UPI'!B151</f>
        <v>Lucknow</v>
      </c>
      <c r="C57" s="241">
        <f>'Digital Plan - UPI'!O151</f>
        <v>4217396.1173056243</v>
      </c>
      <c r="D57" s="241">
        <f>'Digital Plan - UPI'!R151</f>
        <v>6510.6370594042191</v>
      </c>
      <c r="E57" s="242">
        <f>'Digital Plan - UPI'!AC151</f>
        <v>0.65927641196522269</v>
      </c>
      <c r="F57" s="241">
        <f>'Digital Plan - UPI'!V151</f>
        <v>7.9665973749653292</v>
      </c>
    </row>
    <row r="58" spans="1:19" x14ac:dyDescent="0.35">
      <c r="A58" s="245" t="s">
        <v>62</v>
      </c>
      <c r="B58" s="246" t="str">
        <f>'Digital Plan - UPI'!B159</f>
        <v>Patna</v>
      </c>
      <c r="C58" s="241">
        <f>'Digital Plan - UPI'!O159</f>
        <v>4217795.4711471107</v>
      </c>
      <c r="D58" s="241">
        <f>'Digital Plan - UPI'!R159</f>
        <v>7107.545417795227</v>
      </c>
      <c r="E58" s="242">
        <f>'Digital Plan - UPI'!AC159</f>
        <v>0.64265417943149294</v>
      </c>
      <c r="F58" s="241">
        <f>'Digital Plan - UPI'!V159</f>
        <v>8.135681742556347</v>
      </c>
    </row>
    <row r="59" spans="1:19" x14ac:dyDescent="0.35">
      <c r="A59" s="245" t="s">
        <v>62</v>
      </c>
      <c r="B59" s="246" t="str">
        <f>'Digital Plan - UPI'!B167</f>
        <v>Surat</v>
      </c>
      <c r="C59" s="241">
        <f>'Digital Plan - UPI'!O167</f>
        <v>8461945.3119018096</v>
      </c>
      <c r="D59" s="241">
        <f>'Digital Plan - UPI'!R167</f>
        <v>15435.247263955251</v>
      </c>
      <c r="E59" s="242">
        <f>'Digital Plan - UPI'!AC167</f>
        <v>0.64449167350728298</v>
      </c>
      <c r="F59" s="241">
        <f>'Digital Plan - UPI'!V167</f>
        <v>6.0496711171875814</v>
      </c>
    </row>
    <row r="60" spans="1:19" x14ac:dyDescent="0.35">
      <c r="A60" s="245" t="s">
        <v>62</v>
      </c>
      <c r="B60" s="246" t="str">
        <f>'Digital Plan - UPI'!B175</f>
        <v>Visakhapatnam</v>
      </c>
      <c r="C60" s="241">
        <f>'Digital Plan - UPI'!O175</f>
        <v>3276956.027182559</v>
      </c>
      <c r="D60" s="241">
        <f>'Digital Plan - UPI'!R175</f>
        <v>4771.1734752074053</v>
      </c>
      <c r="E60" s="242">
        <f>'Digital Plan - UPI'!AC175</f>
        <v>0.63998662691706931</v>
      </c>
      <c r="F60" s="241">
        <f>'Digital Plan - UPI'!V175</f>
        <v>6.6128717728629258</v>
      </c>
    </row>
    <row r="61" spans="1:19" x14ac:dyDescent="0.35">
      <c r="A61" s="247" t="s">
        <v>63</v>
      </c>
      <c r="B61" s="248" t="str">
        <f>'Digital Plan - UPI'!B193</f>
        <v>Rest of T57</v>
      </c>
      <c r="C61" s="241">
        <f>'Digital Plan - UPI'!O193</f>
        <v>68981168.507027268</v>
      </c>
      <c r="D61" s="241">
        <f>'Digital Plan - UPI'!R193</f>
        <v>76776.595269500016</v>
      </c>
      <c r="E61" s="242">
        <f>'Digital Plan - UPI'!AC193</f>
        <v>0.6049968907715475</v>
      </c>
      <c r="F61" s="241">
        <f>'Digital Plan - UPI'!V193</f>
        <v>6.5263395059528948</v>
      </c>
    </row>
    <row r="62" spans="1:19" x14ac:dyDescent="0.35">
      <c r="A62" s="247"/>
      <c r="B62" s="189"/>
      <c r="C62" s="364"/>
      <c r="D62" s="364"/>
      <c r="E62" s="540"/>
      <c r="F62" s="364"/>
    </row>
    <row r="63" spans="1:19" x14ac:dyDescent="0.35">
      <c r="A63" s="247"/>
      <c r="B63" s="189"/>
      <c r="C63" s="364"/>
      <c r="D63" s="364"/>
      <c r="E63" s="540"/>
      <c r="F63" s="364"/>
    </row>
    <row r="64" spans="1:19" hidden="1" x14ac:dyDescent="0.35">
      <c r="K64">
        <v>8537873.2004184444</v>
      </c>
      <c r="L64">
        <v>17284869.52453867</v>
      </c>
      <c r="S64">
        <v>2875960.2799109244</v>
      </c>
    </row>
    <row r="65" spans="2:19" hidden="1" x14ac:dyDescent="0.35">
      <c r="S65">
        <f>S64/10^6</f>
        <v>2.8759602799109243</v>
      </c>
    </row>
    <row r="66" spans="2:19" hidden="1" x14ac:dyDescent="0.35">
      <c r="B66" t="str">
        <f t="shared" ref="B66:B82" si="1">B44</f>
        <v>Telengana - Seg A</v>
      </c>
      <c r="C66" s="417">
        <f t="shared" ref="C66:C72" si="2">E44*105%</f>
        <v>0.86043893590646037</v>
      </c>
      <c r="D66" s="417">
        <f>C66*79%</f>
        <v>0.67974675936610374</v>
      </c>
      <c r="H66" s="476">
        <f>L45+N45</f>
        <v>18.144541459999999</v>
      </c>
      <c r="I66">
        <f>(L45*M45)+(N45*O45)</f>
        <v>13.025232167408147</v>
      </c>
      <c r="K66" s="188">
        <f>I66/H66</f>
        <v>0.71785953897608978</v>
      </c>
      <c r="S66">
        <f t="shared" ref="S66:S71" si="3">C48/10^6</f>
        <v>21.069768981655265</v>
      </c>
    </row>
    <row r="67" spans="2:19" hidden="1" x14ac:dyDescent="0.35">
      <c r="B67" t="str">
        <f t="shared" si="1"/>
        <v>Telengana - Seg B</v>
      </c>
      <c r="C67" s="417">
        <f t="shared" si="2"/>
        <v>0.55328745472469743</v>
      </c>
      <c r="D67" s="417">
        <f t="shared" ref="D67:D69" si="4">C67*79%</f>
        <v>0.437097089232511</v>
      </c>
      <c r="H67" s="476">
        <f>L46+N46</f>
        <v>9.35985770945077</v>
      </c>
      <c r="I67">
        <f>(L46*M46)+(N46*O46)</f>
        <v>6.6325129432939161</v>
      </c>
      <c r="K67" s="188">
        <f>I67/H67</f>
        <v>0.7086125824965247</v>
      </c>
      <c r="S67">
        <f t="shared" si="3"/>
        <v>26.845884741159256</v>
      </c>
    </row>
    <row r="68" spans="2:19" hidden="1" x14ac:dyDescent="0.35">
      <c r="B68" t="str">
        <f t="shared" si="1"/>
        <v>Bangalore - Seg A</v>
      </c>
      <c r="C68" s="417">
        <f t="shared" si="2"/>
        <v>0.84703556480682429</v>
      </c>
      <c r="D68" s="417">
        <f t="shared" si="4"/>
        <v>0.66915809619739119</v>
      </c>
      <c r="H68">
        <f>SUM(H66:H67)</f>
        <v>27.504399169450771</v>
      </c>
      <c r="I68">
        <f>SUM(I66:I67)+(S65*10%)</f>
        <v>19.945341138693156</v>
      </c>
      <c r="K68" s="188">
        <f>(I68/H68)*103%</f>
        <v>0.74692420097189072</v>
      </c>
      <c r="L68" s="539"/>
      <c r="S68">
        <f t="shared" si="3"/>
        <v>161.43420065990551</v>
      </c>
    </row>
    <row r="69" spans="2:19" hidden="1" x14ac:dyDescent="0.35">
      <c r="B69" t="str">
        <f t="shared" si="1"/>
        <v>Bangalore - Seg B</v>
      </c>
      <c r="C69" s="417">
        <f t="shared" si="2"/>
        <v>0.57866348999312534</v>
      </c>
      <c r="D69" s="417">
        <f t="shared" si="4"/>
        <v>0.45714415709456901</v>
      </c>
      <c r="S69">
        <f t="shared" si="3"/>
        <v>42.220937266215728</v>
      </c>
    </row>
    <row r="70" spans="2:19" hidden="1" x14ac:dyDescent="0.35">
      <c r="B70" t="str">
        <f t="shared" si="1"/>
        <v>Ahmedabad</v>
      </c>
      <c r="C70" s="417">
        <f t="shared" si="2"/>
        <v>0.81377268356269072</v>
      </c>
      <c r="D70" s="417">
        <f>C70*79%</f>
        <v>0.64288042001452572</v>
      </c>
      <c r="H70" s="416" t="s">
        <v>20</v>
      </c>
      <c r="I70" s="417">
        <f>D72</f>
        <v>0.6279892559800857</v>
      </c>
      <c r="K70" s="417">
        <f>I70*110%</f>
        <v>0.6907881815780943</v>
      </c>
      <c r="M70">
        <f>S68</f>
        <v>161.43420065990551</v>
      </c>
      <c r="N70" s="474">
        <f>F50</f>
        <v>10.504074258012839</v>
      </c>
      <c r="S70">
        <f t="shared" si="3"/>
        <v>52.787297632451356</v>
      </c>
    </row>
    <row r="71" spans="2:19" hidden="1" x14ac:dyDescent="0.35">
      <c r="B71" t="str">
        <f t="shared" si="1"/>
        <v>Chennai</v>
      </c>
      <c r="C71" s="417">
        <f t="shared" si="2"/>
        <v>0.79573144399909523</v>
      </c>
      <c r="D71" s="417">
        <f t="shared" ref="D71:D82" si="5">C71*79%</f>
        <v>0.62862784075928524</v>
      </c>
      <c r="H71" s="416" t="s">
        <v>21</v>
      </c>
      <c r="I71" s="417">
        <f>D73</f>
        <v>0.66716863525275549</v>
      </c>
      <c r="K71" s="417">
        <f t="shared" ref="K71:K75" si="6">I71*110%</f>
        <v>0.73388549877803111</v>
      </c>
      <c r="M71">
        <f>S69</f>
        <v>42.220937266215728</v>
      </c>
      <c r="N71" s="474">
        <f>F51</f>
        <v>8.4048709388285232</v>
      </c>
      <c r="S71">
        <f t="shared" si="3"/>
        <v>24.81488043034836</v>
      </c>
    </row>
    <row r="72" spans="2:19" hidden="1" x14ac:dyDescent="0.35">
      <c r="B72" t="str">
        <f t="shared" si="1"/>
        <v>Delhi + NCR</v>
      </c>
      <c r="C72" s="417">
        <f t="shared" si="2"/>
        <v>0.79492310883555151</v>
      </c>
      <c r="D72" s="417">
        <f t="shared" si="5"/>
        <v>0.6279892559800857</v>
      </c>
      <c r="H72" s="416" t="s">
        <v>22</v>
      </c>
      <c r="I72" s="417">
        <f>D74</f>
        <v>0.64840455780476258</v>
      </c>
      <c r="K72" s="417">
        <f t="shared" si="6"/>
        <v>0.71324501358523895</v>
      </c>
      <c r="M72">
        <f>S70</f>
        <v>52.787297632451356</v>
      </c>
      <c r="N72" s="474">
        <f>F52</f>
        <v>10.64363638298471</v>
      </c>
    </row>
    <row r="73" spans="2:19" hidden="1" x14ac:dyDescent="0.35">
      <c r="B73" t="str">
        <f t="shared" si="1"/>
        <v>Kolkata + Howrah</v>
      </c>
      <c r="C73" s="417">
        <f>E51*110%</f>
        <v>0.84451725981361447</v>
      </c>
      <c r="D73" s="417">
        <f t="shared" si="5"/>
        <v>0.66716863525275549</v>
      </c>
      <c r="H73" s="416" t="s">
        <v>23</v>
      </c>
      <c r="I73" s="417">
        <f>D66</f>
        <v>0.67974675936610374</v>
      </c>
      <c r="K73" s="417">
        <f t="shared" si="6"/>
        <v>0.74772143530271418</v>
      </c>
      <c r="M73">
        <f>(C44*60%)/10^6</f>
        <v>19.769825378617778</v>
      </c>
      <c r="N73" s="474">
        <f>F44</f>
        <v>9.0004900977709372</v>
      </c>
    </row>
    <row r="74" spans="2:19" hidden="1" x14ac:dyDescent="0.35">
      <c r="B74" t="str">
        <f t="shared" si="1"/>
        <v>Mumbai</v>
      </c>
      <c r="C74" s="417">
        <f>E52*110%</f>
        <v>0.82076526304400321</v>
      </c>
      <c r="D74" s="417">
        <f t="shared" si="5"/>
        <v>0.64840455780476258</v>
      </c>
      <c r="H74" s="416" t="s">
        <v>24</v>
      </c>
      <c r="I74" s="417">
        <f>D68</f>
        <v>0.66915809619739119</v>
      </c>
      <c r="K74" s="417">
        <f t="shared" si="6"/>
        <v>0.73607390581713039</v>
      </c>
      <c r="M74">
        <f>C46/10^6</f>
        <v>30.962824122288495</v>
      </c>
      <c r="N74" s="474">
        <f>F46</f>
        <v>10.716318451633018</v>
      </c>
    </row>
    <row r="75" spans="2:19" hidden="1" x14ac:dyDescent="0.35">
      <c r="B75" t="str">
        <f t="shared" si="1"/>
        <v>Pune</v>
      </c>
      <c r="C75" s="417">
        <f t="shared" ref="C75:C82" si="7">E53*105%</f>
        <v>0.78795860808433749</v>
      </c>
      <c r="D75" s="417">
        <f t="shared" si="5"/>
        <v>0.6224873003866267</v>
      </c>
      <c r="H75" s="416" t="s">
        <v>25</v>
      </c>
      <c r="I75" s="417">
        <f>D71</f>
        <v>0.62862784075928524</v>
      </c>
      <c r="K75" s="417">
        <f t="shared" si="6"/>
        <v>0.69149062483521384</v>
      </c>
      <c r="M75">
        <f>C49/10^6</f>
        <v>26.845884741159256</v>
      </c>
      <c r="N75" s="474">
        <f>F49</f>
        <v>10.312411458953603</v>
      </c>
    </row>
    <row r="76" spans="2:19" hidden="1" x14ac:dyDescent="0.35">
      <c r="B76" t="str">
        <f t="shared" si="1"/>
        <v>Coimbatore</v>
      </c>
      <c r="C76" s="417">
        <f t="shared" si="7"/>
        <v>0.66577936029531226</v>
      </c>
      <c r="D76" s="417">
        <f t="shared" si="5"/>
        <v>0.52596569463329668</v>
      </c>
      <c r="H76" s="416" t="s">
        <v>26</v>
      </c>
      <c r="I76" s="188">
        <f>P12/100</f>
        <v>0.66436639996611091</v>
      </c>
    </row>
    <row r="77" spans="2:19" hidden="1" x14ac:dyDescent="0.35">
      <c r="B77" t="str">
        <f t="shared" si="1"/>
        <v>Jaipur</v>
      </c>
      <c r="C77" s="417">
        <f t="shared" si="7"/>
        <v>0.67193212072487918</v>
      </c>
      <c r="D77" s="417">
        <f t="shared" si="5"/>
        <v>0.53082637537265454</v>
      </c>
    </row>
    <row r="78" spans="2:19" hidden="1" x14ac:dyDescent="0.35">
      <c r="B78" t="str">
        <f t="shared" si="1"/>
        <v>Kochi</v>
      </c>
      <c r="C78" s="417">
        <f t="shared" si="7"/>
        <v>0.678201738900854</v>
      </c>
      <c r="D78" s="417">
        <f t="shared" si="5"/>
        <v>0.53577937373167472</v>
      </c>
    </row>
    <row r="79" spans="2:19" hidden="1" x14ac:dyDescent="0.35">
      <c r="B79" t="str">
        <f t="shared" si="1"/>
        <v>Lucknow</v>
      </c>
      <c r="C79" s="417">
        <f t="shared" si="7"/>
        <v>0.69224023256348388</v>
      </c>
      <c r="D79" s="417">
        <f t="shared" si="5"/>
        <v>0.54686978372515227</v>
      </c>
    </row>
    <row r="80" spans="2:19" hidden="1" x14ac:dyDescent="0.35">
      <c r="B80" t="str">
        <f t="shared" si="1"/>
        <v>Patna</v>
      </c>
      <c r="C80" s="417">
        <f t="shared" si="7"/>
        <v>0.67478688840306766</v>
      </c>
      <c r="D80" s="417">
        <f t="shared" si="5"/>
        <v>0.53308164183842344</v>
      </c>
    </row>
    <row r="81" spans="2:8" hidden="1" x14ac:dyDescent="0.35">
      <c r="B81" t="str">
        <f t="shared" si="1"/>
        <v>Surat</v>
      </c>
      <c r="C81" s="417">
        <f t="shared" si="7"/>
        <v>0.67671625718264716</v>
      </c>
      <c r="D81" s="417">
        <f t="shared" si="5"/>
        <v>0.53460584317429127</v>
      </c>
      <c r="H81" s="478" t="s">
        <v>545</v>
      </c>
    </row>
    <row r="82" spans="2:8" hidden="1" x14ac:dyDescent="0.35">
      <c r="B82" t="str">
        <f t="shared" si="1"/>
        <v>Visakhapatnam</v>
      </c>
      <c r="C82" s="417">
        <f t="shared" si="7"/>
        <v>0.67198595826292284</v>
      </c>
      <c r="D82" s="417">
        <f t="shared" si="5"/>
        <v>0.53086890702770906</v>
      </c>
      <c r="H82" s="478" t="s">
        <v>546</v>
      </c>
    </row>
    <row r="83" spans="2:8" hidden="1" x14ac:dyDescent="0.35">
      <c r="H83" s="478" t="s">
        <v>27</v>
      </c>
    </row>
    <row r="84" spans="2:8" hidden="1" x14ac:dyDescent="0.35"/>
  </sheetData>
  <mergeCells count="7">
    <mergeCell ref="N1:P1"/>
    <mergeCell ref="Q1:R1"/>
    <mergeCell ref="N7:P7"/>
    <mergeCell ref="Q7:R7"/>
    <mergeCell ref="S7:T7"/>
    <mergeCell ref="N4:P4"/>
    <mergeCell ref="Q4:R4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C7354-E525-456B-BD01-FF58BCD6EFE4}">
  <sheetPr>
    <tabColor theme="4" tint="0.59999389629810485"/>
  </sheetPr>
  <dimension ref="A1:M28"/>
  <sheetViews>
    <sheetView showGridLines="0" zoomScale="70" zoomScaleNormal="70" workbookViewId="0">
      <selection activeCell="M21" sqref="M21"/>
    </sheetView>
  </sheetViews>
  <sheetFormatPr defaultColWidth="9.08984375" defaultRowHeight="14.5" x14ac:dyDescent="0.35"/>
  <cols>
    <col min="1" max="1" width="32.36328125" bestFit="1" customWidth="1"/>
    <col min="2" max="2" width="12.453125" bestFit="1" customWidth="1"/>
    <col min="3" max="3" width="11" bestFit="1" customWidth="1"/>
    <col min="4" max="4" width="5.54296875" bestFit="1" customWidth="1"/>
    <col min="5" max="5" width="10.08984375" bestFit="1" customWidth="1"/>
    <col min="6" max="6" width="15.453125" bestFit="1" customWidth="1"/>
    <col min="7" max="7" width="12.08984375" bestFit="1" customWidth="1"/>
    <col min="8" max="8" width="5.54296875" bestFit="1" customWidth="1"/>
    <col min="9" max="11" width="8.453125" bestFit="1" customWidth="1"/>
    <col min="12" max="12" width="11.08984375" bestFit="1" customWidth="1"/>
    <col min="13" max="13" width="12.90625" bestFit="1" customWidth="1"/>
    <col min="14" max="14" width="11.08984375" bestFit="1" customWidth="1"/>
    <col min="15" max="15" width="10.08984375" bestFit="1" customWidth="1"/>
  </cols>
  <sheetData>
    <row r="1" spans="1:13" x14ac:dyDescent="0.35">
      <c r="A1" s="1" t="s">
        <v>225</v>
      </c>
    </row>
    <row r="2" spans="1:13" x14ac:dyDescent="0.35">
      <c r="A2" s="1" t="s">
        <v>471</v>
      </c>
    </row>
    <row r="3" spans="1:13" x14ac:dyDescent="0.35">
      <c r="A3" s="1" t="s">
        <v>29</v>
      </c>
    </row>
    <row r="4" spans="1:13" x14ac:dyDescent="0.35">
      <c r="A4" s="23" t="s">
        <v>226</v>
      </c>
    </row>
    <row r="5" spans="1:13" x14ac:dyDescent="0.35">
      <c r="A5" s="8" t="s">
        <v>486</v>
      </c>
    </row>
    <row r="6" spans="1:13" x14ac:dyDescent="0.35">
      <c r="A6" s="115"/>
    </row>
    <row r="8" spans="1:13" x14ac:dyDescent="0.35">
      <c r="A8" s="1" t="s">
        <v>454</v>
      </c>
      <c r="B8" s="594" t="s">
        <v>455</v>
      </c>
      <c r="C8" s="594"/>
      <c r="F8" s="1" t="s">
        <v>456</v>
      </c>
      <c r="G8" s="595" t="s">
        <v>457</v>
      </c>
      <c r="H8" s="595"/>
      <c r="I8" s="595"/>
      <c r="J8" s="595"/>
      <c r="L8" s="1"/>
      <c r="M8" s="1"/>
    </row>
    <row r="9" spans="1:13" x14ac:dyDescent="0.35">
      <c r="A9" s="9" t="s">
        <v>458</v>
      </c>
      <c r="B9" s="22" t="s">
        <v>487</v>
      </c>
      <c r="C9" s="22" t="s">
        <v>459</v>
      </c>
      <c r="F9" s="9" t="s">
        <v>458</v>
      </c>
      <c r="G9" s="22" t="s">
        <v>487</v>
      </c>
      <c r="H9" s="22" t="s">
        <v>460</v>
      </c>
      <c r="I9" s="9" t="s">
        <v>456</v>
      </c>
      <c r="J9" s="22" t="s">
        <v>459</v>
      </c>
    </row>
    <row r="10" spans="1:13" x14ac:dyDescent="0.35">
      <c r="A10" s="10" t="s">
        <v>388</v>
      </c>
      <c r="B10" s="70">
        <v>861.88</v>
      </c>
      <c r="C10" s="2">
        <f>+B10/(MAX($B$10:$B$13))*100</f>
        <v>96.830657573953189</v>
      </c>
      <c r="F10" s="10" t="s">
        <v>388</v>
      </c>
      <c r="G10" s="72">
        <v>0.78</v>
      </c>
      <c r="H10" s="2">
        <v>1269.8687910028116</v>
      </c>
      <c r="I10" s="12">
        <f>H10/G10</f>
        <v>1628.036911542066</v>
      </c>
      <c r="J10" s="2">
        <f>(MIN($I$10:$I$13))/I10*100</f>
        <v>85.105083235632677</v>
      </c>
      <c r="K10" s="7"/>
    </row>
    <row r="11" spans="1:13" x14ac:dyDescent="0.35">
      <c r="A11" s="10" t="s">
        <v>255</v>
      </c>
      <c r="B11" s="70">
        <v>890.09</v>
      </c>
      <c r="C11" s="2">
        <f>+B11/(MAX($B$10:$B$13))*100</f>
        <v>100</v>
      </c>
      <c r="F11" s="10" t="s">
        <v>255</v>
      </c>
      <c r="G11" s="72">
        <v>0.97</v>
      </c>
      <c r="H11" s="2">
        <v>1572.2297297297296</v>
      </c>
      <c r="I11" s="12">
        <f t="shared" ref="I11:I13" si="0">H11/G11</f>
        <v>1620.855391473948</v>
      </c>
      <c r="J11" s="2">
        <f>(MIN($I$10:$I$13))/I11*100</f>
        <v>85.48215812236873</v>
      </c>
      <c r="K11" s="7"/>
    </row>
    <row r="12" spans="1:13" x14ac:dyDescent="0.35">
      <c r="A12" s="10" t="s">
        <v>389</v>
      </c>
      <c r="B12" s="70">
        <v>851.38</v>
      </c>
      <c r="C12" s="2">
        <f>+B12/(MAX($B$10:$B$13))*100</f>
        <v>95.651001584109466</v>
      </c>
      <c r="F12" s="10" t="s">
        <v>389</v>
      </c>
      <c r="G12" s="72">
        <v>0.83</v>
      </c>
      <c r="H12" s="2">
        <v>1150</v>
      </c>
      <c r="I12" s="12">
        <f t="shared" si="0"/>
        <v>1385.5421686746988</v>
      </c>
      <c r="J12" s="2">
        <f>(MIN($I$10:$I$13))/I12*100</f>
        <v>100</v>
      </c>
      <c r="K12" s="7"/>
    </row>
    <row r="13" spans="1:13" x14ac:dyDescent="0.35">
      <c r="A13" s="10" t="s">
        <v>387</v>
      </c>
      <c r="B13" s="70">
        <v>787.42</v>
      </c>
      <c r="C13" s="2">
        <f>+B13/(MAX($B$10:$B$13))*100</f>
        <v>88.465211383118557</v>
      </c>
      <c r="F13" s="10" t="s">
        <v>387</v>
      </c>
      <c r="G13" s="72">
        <v>0.44</v>
      </c>
      <c r="H13" s="2">
        <v>632.5</v>
      </c>
      <c r="I13" s="12">
        <f t="shared" si="0"/>
        <v>1437.5</v>
      </c>
      <c r="J13" s="2">
        <f>(MIN($I$10:$I$13))/I13*100</f>
        <v>96.385542168674704</v>
      </c>
      <c r="K13" s="7"/>
    </row>
    <row r="15" spans="1:13" x14ac:dyDescent="0.35">
      <c r="A15" s="1" t="s">
        <v>462</v>
      </c>
      <c r="B15" s="594" t="s">
        <v>463</v>
      </c>
      <c r="C15" s="594"/>
      <c r="F15" s="1"/>
      <c r="G15" s="595" t="s">
        <v>464</v>
      </c>
      <c r="H15" s="595"/>
      <c r="I15" s="595"/>
      <c r="J15" s="595"/>
    </row>
    <row r="16" spans="1:13" x14ac:dyDescent="0.35">
      <c r="A16" s="9" t="s">
        <v>458</v>
      </c>
      <c r="B16" s="22" t="s">
        <v>487</v>
      </c>
      <c r="C16" s="22" t="s">
        <v>459</v>
      </c>
      <c r="F16" s="9" t="s">
        <v>227</v>
      </c>
      <c r="G16" s="22" t="s">
        <v>487</v>
      </c>
      <c r="H16" s="24" t="s">
        <v>465</v>
      </c>
      <c r="I16" s="24" t="s">
        <v>466</v>
      </c>
      <c r="J16" s="24" t="s">
        <v>459</v>
      </c>
    </row>
    <row r="17" spans="1:10" x14ac:dyDescent="0.35">
      <c r="A17" s="10" t="s">
        <v>388</v>
      </c>
      <c r="B17" s="129">
        <v>7.5925925925930003E-3</v>
      </c>
      <c r="C17" s="2">
        <f>+B17/(MAX($B$17:$B$20))*100</f>
        <v>90.733056708160504</v>
      </c>
      <c r="F17" s="10" t="s">
        <v>387</v>
      </c>
      <c r="G17" s="72">
        <v>2.15</v>
      </c>
      <c r="H17" s="91">
        <v>1.49</v>
      </c>
      <c r="I17" s="128">
        <f>+G17/H17*100</f>
        <v>144.29530201342283</v>
      </c>
      <c r="J17" s="2">
        <f>+I17/(MAX($I$17:$I$20))*100</f>
        <v>100</v>
      </c>
    </row>
    <row r="18" spans="1:10" x14ac:dyDescent="0.35">
      <c r="A18" s="10" t="s">
        <v>255</v>
      </c>
      <c r="B18" s="129">
        <v>8.3680555555559998E-3</v>
      </c>
      <c r="C18" s="2">
        <f>+B18/(MAX($B$17:$B$20))*100</f>
        <v>100</v>
      </c>
      <c r="F18" s="10" t="s">
        <v>388</v>
      </c>
      <c r="G18" s="72">
        <v>3.81</v>
      </c>
      <c r="H18" s="91">
        <v>3.5</v>
      </c>
      <c r="I18" s="128">
        <f>+G18/H18*100</f>
        <v>108.85714285714285</v>
      </c>
      <c r="J18" s="2">
        <f>+I18/(MAX($I$17:$I$20))*100</f>
        <v>75.440531561461782</v>
      </c>
    </row>
    <row r="19" spans="1:10" x14ac:dyDescent="0.35">
      <c r="A19" s="10" t="s">
        <v>389</v>
      </c>
      <c r="B19" s="129">
        <v>8.0439814814809996E-3</v>
      </c>
      <c r="C19" s="2">
        <f>+B19/(MAX($B$17:$B$20))*100</f>
        <v>96.127247579518865</v>
      </c>
      <c r="F19" s="10" t="s">
        <v>255</v>
      </c>
      <c r="G19" s="72">
        <v>4.74</v>
      </c>
      <c r="H19" s="91">
        <v>4.74</v>
      </c>
      <c r="I19" s="128">
        <f>+G19/H19*100</f>
        <v>100</v>
      </c>
      <c r="J19" s="2">
        <f>+I19/(MAX($I$17:$I$20))*100</f>
        <v>69.302325581395337</v>
      </c>
    </row>
    <row r="20" spans="1:10" x14ac:dyDescent="0.35">
      <c r="A20" s="10" t="s">
        <v>387</v>
      </c>
      <c r="B20" s="129">
        <v>7.6851851851849999E-3</v>
      </c>
      <c r="C20" s="2">
        <f>+B20/(MAX($B$17:$B$20))*100</f>
        <v>91.839557399716284</v>
      </c>
      <c r="F20" s="10" t="s">
        <v>389</v>
      </c>
      <c r="G20" s="72">
        <v>4.05</v>
      </c>
      <c r="H20" s="91">
        <v>4.1399999999999997</v>
      </c>
      <c r="I20" s="128">
        <f>+G20/H20*100</f>
        <v>97.826086956521735</v>
      </c>
      <c r="J20" s="2">
        <f>+I20/(MAX($I$17:$I$20))*100</f>
        <v>67.795753286147615</v>
      </c>
    </row>
    <row r="22" spans="1:10" x14ac:dyDescent="0.35">
      <c r="A22" s="22" t="s">
        <v>487</v>
      </c>
    </row>
    <row r="23" spans="1:10" x14ac:dyDescent="0.35">
      <c r="A23" s="9" t="s">
        <v>467</v>
      </c>
      <c r="B23" s="22">
        <v>0.3</v>
      </c>
      <c r="C23" s="22">
        <v>0.2</v>
      </c>
      <c r="D23" s="22">
        <v>0.3</v>
      </c>
      <c r="E23" s="22">
        <v>0.2</v>
      </c>
      <c r="F23" s="22"/>
    </row>
    <row r="24" spans="1:10" x14ac:dyDescent="0.35">
      <c r="A24" s="9" t="s">
        <v>458</v>
      </c>
      <c r="B24" s="22" t="s">
        <v>36</v>
      </c>
      <c r="C24" s="22" t="s">
        <v>468</v>
      </c>
      <c r="D24" s="22" t="s">
        <v>456</v>
      </c>
      <c r="E24" s="22" t="s">
        <v>469</v>
      </c>
      <c r="F24" s="22" t="s">
        <v>470</v>
      </c>
    </row>
    <row r="25" spans="1:10" x14ac:dyDescent="0.35">
      <c r="A25" s="117" t="s">
        <v>387</v>
      </c>
      <c r="B25" s="2">
        <f>VLOOKUP(A25,$A$9:$C$13,3,0)</f>
        <v>88.465211383118557</v>
      </c>
      <c r="C25" s="2">
        <f>VLOOKUP(A25,$A$16:$C$20,3,0)</f>
        <v>91.839557399716284</v>
      </c>
      <c r="D25" s="2">
        <f>VLOOKUP(A25,$F$9:$J$13,5,0)</f>
        <v>96.385542168674704</v>
      </c>
      <c r="E25" s="2">
        <f>VLOOKUP(A25,$F$16:$J$20,5,0)</f>
        <v>100</v>
      </c>
      <c r="F25" s="26">
        <f>B25*$B$23+C25*$C$23+D25*$D$23+E25*$E$23</f>
        <v>93.823137545481231</v>
      </c>
    </row>
    <row r="26" spans="1:10" x14ac:dyDescent="0.35">
      <c r="A26" s="116" t="s">
        <v>389</v>
      </c>
      <c r="B26" s="25">
        <f>VLOOKUP(A26,$A$9:$C$13,3,0)</f>
        <v>95.651001584109466</v>
      </c>
      <c r="C26" s="25">
        <f>VLOOKUP(A26,$A$16:$C$20,3,0)</f>
        <v>96.127247579518865</v>
      </c>
      <c r="D26" s="25">
        <f>VLOOKUP(A26,$F$9:$J$13,5,0)</f>
        <v>100</v>
      </c>
      <c r="E26" s="25">
        <f>VLOOKUP(A26,$F$16:$J$20,5,0)</f>
        <v>67.795753286147615</v>
      </c>
      <c r="F26" s="26">
        <f>B26*$B$23+C26*$C$23+D26*$D$23+E26*$E$23</f>
        <v>91.47990064836614</v>
      </c>
    </row>
    <row r="27" spans="1:10" x14ac:dyDescent="0.35">
      <c r="A27" s="116" t="s">
        <v>255</v>
      </c>
      <c r="B27" s="25">
        <f>VLOOKUP(A27,$A$9:$C$13,3,0)</f>
        <v>100</v>
      </c>
      <c r="C27" s="25">
        <f>VLOOKUP(A27,$A$16:$C$20,3,0)</f>
        <v>100</v>
      </c>
      <c r="D27" s="25">
        <f>VLOOKUP(A27,$F$9:$J$13,5,0)</f>
        <v>85.48215812236873</v>
      </c>
      <c r="E27" s="25">
        <f>VLOOKUP(A27,$F$16:$J$20,5,0)</f>
        <v>69.302325581395337</v>
      </c>
      <c r="F27" s="26">
        <f>B27*$B$23+C27*$C$23+D27*$D$23+E27*$E$23</f>
        <v>89.505112552989686</v>
      </c>
    </row>
    <row r="28" spans="1:10" x14ac:dyDescent="0.35">
      <c r="A28" s="116" t="s">
        <v>388</v>
      </c>
      <c r="B28" s="25">
        <f>VLOOKUP(A28,$A$9:$C$13,3,0)</f>
        <v>96.830657573953189</v>
      </c>
      <c r="C28" s="25">
        <f>VLOOKUP(A28,$A$16:$C$20,3,0)</f>
        <v>90.733056708160504</v>
      </c>
      <c r="D28" s="25">
        <f>VLOOKUP(A28,$F$9:$J$13,5,0)</f>
        <v>85.105083235632677</v>
      </c>
      <c r="E28" s="25">
        <f>VLOOKUP(A28,$F$16:$J$20,5,0)</f>
        <v>75.440531561461782</v>
      </c>
      <c r="F28" s="26">
        <f>B28*$B$23+C28*$C$23+D28*$D$23+E28*$E$23</f>
        <v>87.815439896800214</v>
      </c>
    </row>
  </sheetData>
  <sortState xmlns:xlrd2="http://schemas.microsoft.com/office/spreadsheetml/2017/richdata2" ref="A25:F28">
    <sortCondition descending="1" ref="F25:F28"/>
  </sortState>
  <mergeCells count="4">
    <mergeCell ref="B8:C8"/>
    <mergeCell ref="G8:J8"/>
    <mergeCell ref="B15:C15"/>
    <mergeCell ref="G15:J15"/>
  </mergeCells>
  <conditionalFormatting sqref="F25:F2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8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31DD4-3AC0-47CD-B51C-C08E24626AFC}">
  <sheetPr>
    <tabColor theme="4" tint="0.59999389629810485"/>
  </sheetPr>
  <dimension ref="A1:M31"/>
  <sheetViews>
    <sheetView showGridLines="0" zoomScale="70" zoomScaleNormal="70" workbookViewId="0">
      <selection activeCell="M21" sqref="M21"/>
    </sheetView>
  </sheetViews>
  <sheetFormatPr defaultColWidth="9.08984375" defaultRowHeight="14.5" x14ac:dyDescent="0.35"/>
  <cols>
    <col min="1" max="1" width="32.36328125" bestFit="1" customWidth="1"/>
    <col min="2" max="2" width="12.453125" bestFit="1" customWidth="1"/>
    <col min="3" max="3" width="11" bestFit="1" customWidth="1"/>
    <col min="4" max="4" width="5.54296875" bestFit="1" customWidth="1"/>
    <col min="5" max="5" width="10.08984375" bestFit="1" customWidth="1"/>
    <col min="6" max="6" width="27.08984375" bestFit="1" customWidth="1"/>
    <col min="7" max="7" width="12.08984375" bestFit="1" customWidth="1"/>
    <col min="8" max="8" width="5.54296875" bestFit="1" customWidth="1"/>
    <col min="9" max="10" width="8.453125" bestFit="1" customWidth="1"/>
    <col min="11" max="11" width="5.90625" bestFit="1" customWidth="1"/>
    <col min="12" max="12" width="11.08984375" bestFit="1" customWidth="1"/>
    <col min="13" max="13" width="12.90625" bestFit="1" customWidth="1"/>
    <col min="14" max="14" width="11.08984375" bestFit="1" customWidth="1"/>
    <col min="15" max="15" width="10.08984375" bestFit="1" customWidth="1"/>
  </cols>
  <sheetData>
    <row r="1" spans="1:13" x14ac:dyDescent="0.35">
      <c r="A1" s="1" t="s">
        <v>225</v>
      </c>
    </row>
    <row r="2" spans="1:13" x14ac:dyDescent="0.35">
      <c r="A2" s="1" t="s">
        <v>471</v>
      </c>
    </row>
    <row r="3" spans="1:13" x14ac:dyDescent="0.35">
      <c r="A3" s="1" t="s">
        <v>29</v>
      </c>
    </row>
    <row r="4" spans="1:13" x14ac:dyDescent="0.35">
      <c r="A4" s="23" t="s">
        <v>226</v>
      </c>
    </row>
    <row r="5" spans="1:13" x14ac:dyDescent="0.35">
      <c r="A5" s="8" t="s">
        <v>486</v>
      </c>
    </row>
    <row r="6" spans="1:13" x14ac:dyDescent="0.35">
      <c r="A6" s="115"/>
    </row>
    <row r="8" spans="1:13" x14ac:dyDescent="0.35">
      <c r="A8" s="1" t="s">
        <v>454</v>
      </c>
      <c r="B8" s="594" t="s">
        <v>455</v>
      </c>
      <c r="C8" s="594"/>
      <c r="F8" s="1" t="s">
        <v>456</v>
      </c>
      <c r="G8" s="595" t="s">
        <v>457</v>
      </c>
      <c r="H8" s="595"/>
      <c r="I8" s="595"/>
      <c r="J8" s="595"/>
      <c r="L8" s="1"/>
      <c r="M8" s="1"/>
    </row>
    <row r="9" spans="1:13" x14ac:dyDescent="0.35">
      <c r="A9" s="9" t="s">
        <v>458</v>
      </c>
      <c r="B9" s="22" t="s">
        <v>487</v>
      </c>
      <c r="C9" s="22" t="s">
        <v>459</v>
      </c>
      <c r="F9" s="9" t="s">
        <v>458</v>
      </c>
      <c r="G9" s="22" t="s">
        <v>487</v>
      </c>
      <c r="H9" s="22" t="s">
        <v>460</v>
      </c>
      <c r="I9" s="9" t="s">
        <v>456</v>
      </c>
      <c r="J9" s="22" t="s">
        <v>459</v>
      </c>
    </row>
    <row r="10" spans="1:13" x14ac:dyDescent="0.35">
      <c r="A10" s="10" t="s">
        <v>391</v>
      </c>
      <c r="B10" s="70">
        <v>1068.77</v>
      </c>
      <c r="C10" s="2">
        <f>+B10/(MAX($B$10:$B$14))*100</f>
        <v>98.312958210300721</v>
      </c>
      <c r="F10" s="10" t="s">
        <v>257</v>
      </c>
      <c r="G10" s="72">
        <v>0.38</v>
      </c>
      <c r="H10" s="2">
        <v>148.75</v>
      </c>
      <c r="I10" s="12">
        <f>H10/G10</f>
        <v>391.4473684210526</v>
      </c>
      <c r="J10" s="2">
        <f>(MIN($I$10:$I$14))/I10*100</f>
        <v>100</v>
      </c>
    </row>
    <row r="11" spans="1:13" x14ac:dyDescent="0.35">
      <c r="A11" s="10" t="s">
        <v>393</v>
      </c>
      <c r="B11" s="70">
        <v>1087.1099999999999</v>
      </c>
      <c r="C11" s="2">
        <f>+B11/(MAX($B$10:$B$14))*100</f>
        <v>100</v>
      </c>
      <c r="F11" s="10" t="s">
        <v>256</v>
      </c>
      <c r="G11" s="72">
        <v>0.25</v>
      </c>
      <c r="H11" s="2">
        <v>212.5</v>
      </c>
      <c r="I11" s="12">
        <f>H11/G11</f>
        <v>850</v>
      </c>
      <c r="J11" s="2">
        <f>(MIN($I$10:$I$14))/I11*100</f>
        <v>46.05263157894737</v>
      </c>
    </row>
    <row r="12" spans="1:13" x14ac:dyDescent="0.35">
      <c r="A12" s="10" t="s">
        <v>257</v>
      </c>
      <c r="B12" s="70">
        <v>1066.57</v>
      </c>
      <c r="C12" s="2">
        <f>+B12/(MAX($B$10:$B$14))*100</f>
        <v>98.110586785145941</v>
      </c>
      <c r="F12" s="10" t="s">
        <v>391</v>
      </c>
      <c r="G12" s="72">
        <v>0.41</v>
      </c>
      <c r="H12" s="73">
        <v>1900</v>
      </c>
      <c r="I12" s="12">
        <f>H12/G12</f>
        <v>4634.1463414634145</v>
      </c>
      <c r="J12" s="2">
        <f>(MIN($I$10:$I$14))/I12*100</f>
        <v>8.4470221606648206</v>
      </c>
    </row>
    <row r="13" spans="1:13" x14ac:dyDescent="0.35">
      <c r="A13" s="10" t="s">
        <v>392</v>
      </c>
      <c r="B13" s="70">
        <v>954.08</v>
      </c>
      <c r="C13" s="2">
        <f>+B13/(MAX($B$10:$B$14))*100</f>
        <v>87.762967868936911</v>
      </c>
      <c r="F13" s="10" t="s">
        <v>392</v>
      </c>
      <c r="G13" s="72">
        <v>0.36</v>
      </c>
      <c r="H13" s="2">
        <v>467.5</v>
      </c>
      <c r="I13" s="12">
        <f>H13/G13</f>
        <v>1298.6111111111111</v>
      </c>
      <c r="J13" s="2">
        <f>(MIN($I$10:$I$14))/I13*100</f>
        <v>30.143540669856456</v>
      </c>
    </row>
    <row r="14" spans="1:13" x14ac:dyDescent="0.35">
      <c r="A14" s="10" t="s">
        <v>256</v>
      </c>
      <c r="B14" s="70">
        <v>942.01</v>
      </c>
      <c r="C14" s="2">
        <f>+B14/(MAX($B$10:$B$14))*100</f>
        <v>86.652684640928712</v>
      </c>
      <c r="F14" s="10" t="s">
        <v>393</v>
      </c>
      <c r="G14" s="72">
        <v>0.38</v>
      </c>
      <c r="H14" s="2">
        <v>1487.5</v>
      </c>
      <c r="I14" s="12">
        <f>H14/G14</f>
        <v>3914.4736842105262</v>
      </c>
      <c r="J14" s="2">
        <f>(MIN($I$10:$I$14))/I14*100</f>
        <v>10</v>
      </c>
    </row>
    <row r="16" spans="1:13" x14ac:dyDescent="0.35">
      <c r="A16" s="1" t="s">
        <v>462</v>
      </c>
      <c r="B16" s="596" t="s">
        <v>463</v>
      </c>
      <c r="C16" s="597"/>
      <c r="F16" s="1" t="s">
        <v>464</v>
      </c>
    </row>
    <row r="17" spans="1:10" x14ac:dyDescent="0.35">
      <c r="A17" s="9" t="s">
        <v>458</v>
      </c>
      <c r="B17" s="22" t="s">
        <v>487</v>
      </c>
      <c r="C17" s="22" t="s">
        <v>459</v>
      </c>
      <c r="F17" s="9" t="s">
        <v>227</v>
      </c>
      <c r="G17" s="22" t="s">
        <v>487</v>
      </c>
      <c r="H17" s="24" t="s">
        <v>465</v>
      </c>
      <c r="I17" s="24" t="s">
        <v>466</v>
      </c>
      <c r="J17" s="24" t="s">
        <v>459</v>
      </c>
    </row>
    <row r="18" spans="1:10" x14ac:dyDescent="0.35">
      <c r="A18" s="10" t="s">
        <v>257</v>
      </c>
      <c r="B18" s="129">
        <v>6.0185185185189999E-3</v>
      </c>
      <c r="C18" s="2">
        <f>+B18/(MAX($B$18:$B$22))*100</f>
        <v>100</v>
      </c>
      <c r="F18" s="10" t="s">
        <v>391</v>
      </c>
      <c r="G18" s="72">
        <v>1.98</v>
      </c>
      <c r="H18" s="91">
        <v>1.42</v>
      </c>
      <c r="I18" s="128">
        <f>+G18/H18*100</f>
        <v>139.43661971830988</v>
      </c>
      <c r="J18" s="2">
        <f>+I18/(MAX($I$18:$I$22))*100</f>
        <v>100</v>
      </c>
    </row>
    <row r="19" spans="1:10" x14ac:dyDescent="0.35">
      <c r="A19" s="10" t="s">
        <v>393</v>
      </c>
      <c r="B19" s="129">
        <v>5.2314814814809997E-3</v>
      </c>
      <c r="C19" s="2">
        <f>+B19/(MAX($B$18:$B$22))*100</f>
        <v>86.92307692306197</v>
      </c>
      <c r="F19" s="10" t="s">
        <v>392</v>
      </c>
      <c r="G19" s="72">
        <v>1.77</v>
      </c>
      <c r="H19" s="91">
        <v>1.39</v>
      </c>
      <c r="I19" s="128">
        <f>+G19/H19*100</f>
        <v>127.33812949640289</v>
      </c>
      <c r="J19" s="2">
        <f>+I19/(MAX($I$18:$I$22))*100</f>
        <v>91.323304992369728</v>
      </c>
    </row>
    <row r="20" spans="1:10" x14ac:dyDescent="0.35">
      <c r="A20" s="10" t="s">
        <v>391</v>
      </c>
      <c r="B20" s="129">
        <v>5.6018518518520001E-3</v>
      </c>
      <c r="C20" s="2">
        <f>+B20/(MAX($B$18:$B$22))*100</f>
        <v>93.076923076918092</v>
      </c>
      <c r="F20" s="10" t="s">
        <v>257</v>
      </c>
      <c r="G20" s="72">
        <v>1.85</v>
      </c>
      <c r="H20" s="91">
        <v>1.74</v>
      </c>
      <c r="I20" s="128">
        <f>+G20/H20*100</f>
        <v>106.32183908045978</v>
      </c>
      <c r="J20" s="2">
        <f>+I20/(MAX($I$18:$I$22))*100</f>
        <v>76.251015906188314</v>
      </c>
    </row>
    <row r="21" spans="1:10" x14ac:dyDescent="0.35">
      <c r="A21" s="10" t="s">
        <v>392</v>
      </c>
      <c r="B21" s="129">
        <v>5.7175925925930004E-3</v>
      </c>
      <c r="C21" s="2">
        <f>+B21/(MAX($B$18:$B$22))*100</f>
        <v>94.999999999999176</v>
      </c>
      <c r="F21" s="10" t="s">
        <v>393</v>
      </c>
      <c r="G21" s="72">
        <v>1.85</v>
      </c>
      <c r="H21" s="91">
        <v>1.83</v>
      </c>
      <c r="I21" s="128">
        <f>+G21/H21*100</f>
        <v>101.09289617486338</v>
      </c>
      <c r="J21" s="2">
        <f>+I21/(MAX($I$18:$I$22))*100</f>
        <v>72.500965943588881</v>
      </c>
    </row>
    <row r="22" spans="1:10" x14ac:dyDescent="0.35">
      <c r="A22" s="10" t="s">
        <v>256</v>
      </c>
      <c r="B22" s="129">
        <v>4.9074074074070004E-3</v>
      </c>
      <c r="C22" s="2">
        <f>+B22/(MAX($B$18:$B$22))*100</f>
        <v>81.53846153844826</v>
      </c>
      <c r="F22" s="10" t="s">
        <v>256</v>
      </c>
      <c r="G22" s="72">
        <v>1.22</v>
      </c>
      <c r="H22" s="91">
        <v>1.5</v>
      </c>
      <c r="I22" s="128">
        <f>+G22/H22*100</f>
        <v>81.333333333333329</v>
      </c>
      <c r="J22" s="2">
        <f>+I22/(MAX($I$18:$I$22))*100</f>
        <v>58.329966329966318</v>
      </c>
    </row>
    <row r="24" spans="1:10" x14ac:dyDescent="0.35">
      <c r="A24" s="119" t="s">
        <v>487</v>
      </c>
    </row>
    <row r="25" spans="1:10" x14ac:dyDescent="0.35">
      <c r="A25" s="9" t="s">
        <v>467</v>
      </c>
      <c r="B25" s="22">
        <v>0.3</v>
      </c>
      <c r="C25" s="22">
        <v>0.2</v>
      </c>
      <c r="D25" s="22">
        <v>0.3</v>
      </c>
      <c r="E25" s="22">
        <v>0.2</v>
      </c>
      <c r="F25" s="22"/>
    </row>
    <row r="26" spans="1:10" x14ac:dyDescent="0.35">
      <c r="A26" s="9" t="s">
        <v>458</v>
      </c>
      <c r="B26" s="22" t="s">
        <v>36</v>
      </c>
      <c r="C26" s="22" t="s">
        <v>468</v>
      </c>
      <c r="D26" s="22" t="s">
        <v>456</v>
      </c>
      <c r="E26" s="22" t="s">
        <v>469</v>
      </c>
      <c r="F26" s="22" t="s">
        <v>470</v>
      </c>
    </row>
    <row r="27" spans="1:10" x14ac:dyDescent="0.35">
      <c r="A27" s="116" t="s">
        <v>257</v>
      </c>
      <c r="B27" s="25">
        <f>VLOOKUP(A27,$A$9:$C$14,3,0)</f>
        <v>98.110586785145941</v>
      </c>
      <c r="C27" s="25">
        <f>VLOOKUP(A27,$A$17:$C$22,3,0)</f>
        <v>100</v>
      </c>
      <c r="D27" s="25">
        <f>VLOOKUP(A27,$F$9:$J$14,5,0)</f>
        <v>100</v>
      </c>
      <c r="E27" s="25">
        <f>VLOOKUP(A27,$F$17:$J$22,5,0)</f>
        <v>76.251015906188314</v>
      </c>
      <c r="F27" s="26">
        <f>B27*$B$25+C27*$C$25+D27*$D$25+E27*$E$25</f>
        <v>94.683379216781447</v>
      </c>
    </row>
    <row r="28" spans="1:10" x14ac:dyDescent="0.35">
      <c r="A28" s="116" t="s">
        <v>392</v>
      </c>
      <c r="B28" s="25">
        <f>VLOOKUP(A28,$A$9:$C$14,3,0)</f>
        <v>87.762967868936911</v>
      </c>
      <c r="C28" s="25">
        <f>VLOOKUP(A28,$A$17:$C$22,3,0)</f>
        <v>94.999999999999176</v>
      </c>
      <c r="D28" s="25">
        <f>VLOOKUP(A28,$F$9:$J$14,5,0)</f>
        <v>30.143540669856456</v>
      </c>
      <c r="E28" s="25">
        <f>VLOOKUP(A28,$F$17:$J$22,5,0)</f>
        <v>91.323304992369728</v>
      </c>
      <c r="F28" s="26">
        <f>B28*$B$25+C28*$C$25+D28*$D$25+E28*$E$25</f>
        <v>72.636613560111797</v>
      </c>
    </row>
    <row r="29" spans="1:10" x14ac:dyDescent="0.35">
      <c r="A29" s="117" t="s">
        <v>391</v>
      </c>
      <c r="B29" s="2">
        <f>VLOOKUP(A29,$A$9:$C$14,3,0)</f>
        <v>98.312958210300721</v>
      </c>
      <c r="C29" s="2">
        <f>VLOOKUP(A29,$A$17:$C$22,3,0)</f>
        <v>93.076923076918092</v>
      </c>
      <c r="D29" s="2">
        <f>VLOOKUP(A29,$F$9:$J$14,5,0)</f>
        <v>8.4470221606648206</v>
      </c>
      <c r="E29" s="2">
        <f>VLOOKUP(A29,$F$17:$J$22,5,0)</f>
        <v>100</v>
      </c>
      <c r="F29" s="26">
        <f>B29*$B$25+C29*$C$25+D29*$D$25+E29*$E$25</f>
        <v>70.643378726673291</v>
      </c>
    </row>
    <row r="30" spans="1:10" x14ac:dyDescent="0.35">
      <c r="A30" s="117" t="s">
        <v>256</v>
      </c>
      <c r="B30" s="2">
        <f>VLOOKUP(A30,$A$9:$C$14,3,0)</f>
        <v>86.652684640928712</v>
      </c>
      <c r="C30" s="2">
        <f>VLOOKUP(A30,$A$17:$C$22,3,0)</f>
        <v>81.53846153844826</v>
      </c>
      <c r="D30" s="2">
        <f>VLOOKUP(A30,$F$9:$J$14,5,0)</f>
        <v>46.05263157894737</v>
      </c>
      <c r="E30" s="2">
        <f>VLOOKUP(A30,$F$17:$J$22,5,0)</f>
        <v>58.329966329966318</v>
      </c>
      <c r="F30" s="26">
        <f>B30*$B$25+C30*$C$25+D30*$D$25+E30*$E$25</f>
        <v>67.785280439645732</v>
      </c>
    </row>
    <row r="31" spans="1:10" x14ac:dyDescent="0.35">
      <c r="A31" s="116" t="s">
        <v>393</v>
      </c>
      <c r="B31" s="25">
        <f>VLOOKUP(A31,$A$9:$C$14,3,0)</f>
        <v>100</v>
      </c>
      <c r="C31" s="25">
        <f>VLOOKUP(A31,$A$17:$C$22,3,0)</f>
        <v>86.92307692306197</v>
      </c>
      <c r="D31" s="25">
        <f>VLOOKUP(A31,$F$9:$J$14,5,0)</f>
        <v>10</v>
      </c>
      <c r="E31" s="25">
        <f>VLOOKUP(A31,$F$17:$J$22,5,0)</f>
        <v>72.500965943588881</v>
      </c>
      <c r="F31" s="26">
        <f>B31*$B$25+C31*$C$25+D31*$D$25+E31*$E$25</f>
        <v>64.884808573330176</v>
      </c>
    </row>
  </sheetData>
  <sortState xmlns:xlrd2="http://schemas.microsoft.com/office/spreadsheetml/2017/richdata2" ref="A27:F31">
    <sortCondition descending="1" ref="F27:F31"/>
  </sortState>
  <mergeCells count="3">
    <mergeCell ref="B8:C8"/>
    <mergeCell ref="G8:J8"/>
    <mergeCell ref="B16:C16"/>
  </mergeCells>
  <conditionalFormatting sqref="F27:F3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22E37-C70D-49A6-B376-70039B212B5C}">
  <sheetPr>
    <tabColor theme="4" tint="0.59999389629810485"/>
  </sheetPr>
  <dimension ref="A1:L37"/>
  <sheetViews>
    <sheetView showGridLines="0" zoomScale="70" zoomScaleNormal="70" workbookViewId="0">
      <selection activeCell="M21" sqref="M21"/>
    </sheetView>
  </sheetViews>
  <sheetFormatPr defaultColWidth="9.08984375" defaultRowHeight="14.5" x14ac:dyDescent="0.35"/>
  <cols>
    <col min="1" max="1" width="32.90625" bestFit="1" customWidth="1"/>
    <col min="2" max="2" width="12.08984375" bestFit="1" customWidth="1"/>
    <col min="3" max="3" width="11.36328125" bestFit="1" customWidth="1"/>
    <col min="4" max="4" width="4.453125" bestFit="1" customWidth="1"/>
    <col min="5" max="5" width="10.36328125" bestFit="1" customWidth="1"/>
    <col min="6" max="6" width="28.6328125" bestFit="1" customWidth="1"/>
    <col min="7" max="7" width="12.08984375" bestFit="1" customWidth="1"/>
    <col min="8" max="8" width="5.54296875" bestFit="1" customWidth="1"/>
    <col min="9" max="9" width="8" bestFit="1" customWidth="1"/>
    <col min="10" max="10" width="6" bestFit="1" customWidth="1"/>
    <col min="11" max="11" width="5.36328125" bestFit="1" customWidth="1"/>
    <col min="12" max="12" width="11.08984375" bestFit="1" customWidth="1"/>
    <col min="13" max="13" width="12.90625" bestFit="1" customWidth="1"/>
    <col min="14" max="14" width="11.08984375" bestFit="1" customWidth="1"/>
    <col min="15" max="15" width="10.08984375" bestFit="1" customWidth="1"/>
  </cols>
  <sheetData>
    <row r="1" spans="1:12" x14ac:dyDescent="0.35">
      <c r="A1" s="1" t="s">
        <v>225</v>
      </c>
    </row>
    <row r="2" spans="1:12" x14ac:dyDescent="0.35">
      <c r="A2" s="1" t="s">
        <v>471</v>
      </c>
    </row>
    <row r="3" spans="1:12" x14ac:dyDescent="0.35">
      <c r="A3" s="1" t="s">
        <v>29</v>
      </c>
    </row>
    <row r="4" spans="1:12" x14ac:dyDescent="0.35">
      <c r="A4" s="23" t="s">
        <v>226</v>
      </c>
    </row>
    <row r="5" spans="1:12" ht="15.9" customHeight="1" x14ac:dyDescent="0.35">
      <c r="A5" s="8" t="s">
        <v>486</v>
      </c>
    </row>
    <row r="8" spans="1:12" x14ac:dyDescent="0.35">
      <c r="A8" s="1" t="s">
        <v>454</v>
      </c>
      <c r="B8" s="594" t="s">
        <v>455</v>
      </c>
      <c r="C8" s="594"/>
      <c r="F8" s="1" t="s">
        <v>456</v>
      </c>
      <c r="G8" s="595" t="s">
        <v>457</v>
      </c>
      <c r="H8" s="595"/>
      <c r="I8" s="595"/>
      <c r="K8" s="1"/>
      <c r="L8" s="1"/>
    </row>
    <row r="9" spans="1:12" x14ac:dyDescent="0.35">
      <c r="A9" s="9" t="s">
        <v>458</v>
      </c>
      <c r="B9" s="22" t="s">
        <v>487</v>
      </c>
      <c r="C9" s="22" t="s">
        <v>459</v>
      </c>
      <c r="F9" s="9" t="s">
        <v>458</v>
      </c>
      <c r="G9" s="22" t="s">
        <v>487</v>
      </c>
      <c r="H9" s="120" t="s">
        <v>460</v>
      </c>
      <c r="I9" s="120" t="s">
        <v>459</v>
      </c>
    </row>
    <row r="10" spans="1:12" x14ac:dyDescent="0.35">
      <c r="A10" s="10" t="s">
        <v>394</v>
      </c>
      <c r="B10" s="70">
        <v>261.24</v>
      </c>
      <c r="C10" s="2">
        <f t="shared" ref="C10:C16" si="0">+B10/(MAX($B$10:$B$16))*100</f>
        <v>85.883358537707934</v>
      </c>
      <c r="F10" s="10" t="s">
        <v>394</v>
      </c>
      <c r="G10" s="72">
        <v>0.39</v>
      </c>
      <c r="H10" s="2">
        <v>1019.5165394402035</v>
      </c>
      <c r="I10" s="2">
        <f t="shared" ref="I10:I16" si="1">(MIN($H$10:$H$16))/H10*100</f>
        <v>12.455597745379114</v>
      </c>
    </row>
    <row r="11" spans="1:12" x14ac:dyDescent="0.35">
      <c r="A11" s="10" t="s">
        <v>396</v>
      </c>
      <c r="B11" s="70">
        <v>301.14</v>
      </c>
      <c r="C11" s="2">
        <f t="shared" si="0"/>
        <v>99.000591754881967</v>
      </c>
      <c r="F11" s="10" t="s">
        <v>396</v>
      </c>
      <c r="G11" s="72">
        <v>0.33</v>
      </c>
      <c r="H11" s="2">
        <v>376.04355567907118</v>
      </c>
      <c r="I11" s="2">
        <f t="shared" si="1"/>
        <v>33.769194334673358</v>
      </c>
    </row>
    <row r="12" spans="1:12" x14ac:dyDescent="0.35">
      <c r="A12" s="10" t="s">
        <v>261</v>
      </c>
      <c r="B12" s="70">
        <v>304.18</v>
      </c>
      <c r="C12" s="2">
        <f t="shared" si="0"/>
        <v>100</v>
      </c>
      <c r="F12" s="10" t="s">
        <v>261</v>
      </c>
      <c r="G12" s="72">
        <v>1.34</v>
      </c>
      <c r="H12" s="2">
        <v>411.82539682539687</v>
      </c>
      <c r="I12" s="2">
        <f t="shared" si="1"/>
        <v>30.835125778831035</v>
      </c>
    </row>
    <row r="13" spans="1:12" x14ac:dyDescent="0.35">
      <c r="A13" s="10" t="s">
        <v>258</v>
      </c>
      <c r="B13" s="70">
        <v>280.3</v>
      </c>
      <c r="C13" s="2">
        <f t="shared" si="0"/>
        <v>92.149385232428173</v>
      </c>
      <c r="F13" s="10" t="s">
        <v>258</v>
      </c>
      <c r="G13" s="72">
        <v>0.25</v>
      </c>
      <c r="H13" s="2">
        <v>150</v>
      </c>
      <c r="I13" s="2">
        <f t="shared" si="1"/>
        <v>84.657919400187438</v>
      </c>
    </row>
    <row r="14" spans="1:12" x14ac:dyDescent="0.35">
      <c r="A14" s="10" t="s">
        <v>260</v>
      </c>
      <c r="B14" s="70">
        <v>278.74</v>
      </c>
      <c r="C14" s="2">
        <f t="shared" si="0"/>
        <v>91.63653100138076</v>
      </c>
      <c r="F14" s="10" t="s">
        <v>260</v>
      </c>
      <c r="G14" s="72">
        <v>0.2</v>
      </c>
      <c r="H14" s="2">
        <v>126.98687910028116</v>
      </c>
      <c r="I14" s="2">
        <f t="shared" si="1"/>
        <v>100</v>
      </c>
    </row>
    <row r="15" spans="1:12" x14ac:dyDescent="0.35">
      <c r="A15" s="10" t="s">
        <v>395</v>
      </c>
      <c r="B15" s="70">
        <v>243.59</v>
      </c>
      <c r="C15" s="2">
        <f t="shared" si="0"/>
        <v>80.08087316720362</v>
      </c>
      <c r="F15" s="10" t="s">
        <v>395</v>
      </c>
      <c r="G15" s="72">
        <v>0.42</v>
      </c>
      <c r="H15" s="2">
        <v>295.3708378954272</v>
      </c>
      <c r="I15" s="2">
        <f t="shared" si="1"/>
        <v>42.992354968109439</v>
      </c>
    </row>
    <row r="16" spans="1:12" x14ac:dyDescent="0.35">
      <c r="A16" s="10" t="s">
        <v>259</v>
      </c>
      <c r="B16" s="70">
        <v>200.1</v>
      </c>
      <c r="C16" s="2">
        <f t="shared" si="0"/>
        <v>65.78341771319613</v>
      </c>
      <c r="F16" s="10" t="s">
        <v>259</v>
      </c>
      <c r="G16" s="72">
        <v>0.67</v>
      </c>
      <c r="H16" s="2">
        <v>168.57142857142858</v>
      </c>
      <c r="I16" s="2">
        <f t="shared" si="1"/>
        <v>75.331199466268473</v>
      </c>
    </row>
    <row r="18" spans="1:10" x14ac:dyDescent="0.35">
      <c r="A18" s="1" t="s">
        <v>462</v>
      </c>
      <c r="B18" s="594" t="s">
        <v>463</v>
      </c>
      <c r="C18" s="594"/>
      <c r="F18" s="1"/>
      <c r="G18" s="595" t="s">
        <v>464</v>
      </c>
      <c r="H18" s="595"/>
      <c r="I18" s="595"/>
      <c r="J18" s="595"/>
    </row>
    <row r="19" spans="1:10" x14ac:dyDescent="0.35">
      <c r="A19" s="9" t="s">
        <v>458</v>
      </c>
      <c r="B19" s="22" t="s">
        <v>487</v>
      </c>
      <c r="C19" s="22" t="s">
        <v>459</v>
      </c>
      <c r="F19" s="9" t="s">
        <v>227</v>
      </c>
      <c r="G19" s="22" t="s">
        <v>487</v>
      </c>
      <c r="H19" s="24" t="s">
        <v>465</v>
      </c>
      <c r="I19" s="24" t="s">
        <v>466</v>
      </c>
      <c r="J19" s="24" t="s">
        <v>459</v>
      </c>
    </row>
    <row r="20" spans="1:10" x14ac:dyDescent="0.35">
      <c r="A20" s="10" t="s">
        <v>394</v>
      </c>
      <c r="B20" s="129">
        <v>1.1689814814815E-2</v>
      </c>
      <c r="C20" s="2">
        <f t="shared" ref="C20:C26" si="2">+B20/(MAX($B$20:$B$26))*100</f>
        <v>80.158730158733263</v>
      </c>
      <c r="F20" s="10" t="s">
        <v>259</v>
      </c>
      <c r="G20" s="72">
        <v>3.27</v>
      </c>
      <c r="H20" s="91">
        <v>1.1000000000000001</v>
      </c>
      <c r="I20" s="128">
        <f t="shared" ref="I20:I26" si="3">+G20/H20*100</f>
        <v>297.27272727272725</v>
      </c>
      <c r="J20" s="2">
        <f t="shared" ref="J20:J26" si="4">+I20/(MAX($I$20:$I$26))*100</f>
        <v>100</v>
      </c>
    </row>
    <row r="21" spans="1:10" x14ac:dyDescent="0.35">
      <c r="A21" s="10" t="s">
        <v>396</v>
      </c>
      <c r="B21" s="129">
        <v>9.5254629629629994E-3</v>
      </c>
      <c r="C21" s="2">
        <f t="shared" si="2"/>
        <v>65.317460317462064</v>
      </c>
      <c r="F21" s="10" t="s">
        <v>394</v>
      </c>
      <c r="G21" s="72">
        <v>1.91</v>
      </c>
      <c r="H21" s="91">
        <v>0.74</v>
      </c>
      <c r="I21" s="128">
        <f t="shared" si="3"/>
        <v>258.10810810810813</v>
      </c>
      <c r="J21" s="2">
        <f t="shared" si="4"/>
        <v>86.825357467559314</v>
      </c>
    </row>
    <row r="22" spans="1:10" x14ac:dyDescent="0.35">
      <c r="A22" s="10" t="s">
        <v>261</v>
      </c>
      <c r="B22" s="129">
        <v>1.4583333333333E-2</v>
      </c>
      <c r="C22" s="2">
        <f t="shared" si="2"/>
        <v>100</v>
      </c>
      <c r="F22" s="10" t="s">
        <v>261</v>
      </c>
      <c r="G22" s="72">
        <v>6.54</v>
      </c>
      <c r="H22" s="91">
        <v>2.67</v>
      </c>
      <c r="I22" s="128">
        <f t="shared" si="3"/>
        <v>244.94382022471913</v>
      </c>
      <c r="J22" s="2">
        <f t="shared" si="4"/>
        <v>82.397003745318358</v>
      </c>
    </row>
    <row r="23" spans="1:10" x14ac:dyDescent="0.35">
      <c r="A23" s="10" t="s">
        <v>258</v>
      </c>
      <c r="B23" s="129">
        <v>1.0277777777778E-2</v>
      </c>
      <c r="C23" s="2">
        <f t="shared" si="2"/>
        <v>70.476190476193608</v>
      </c>
      <c r="F23" s="10" t="s">
        <v>395</v>
      </c>
      <c r="G23" s="72">
        <v>2.02</v>
      </c>
      <c r="H23" s="91">
        <v>0.85</v>
      </c>
      <c r="I23" s="128">
        <f t="shared" si="3"/>
        <v>237.64705882352942</v>
      </c>
      <c r="J23" s="2">
        <f t="shared" si="4"/>
        <v>79.942435689872283</v>
      </c>
    </row>
    <row r="24" spans="1:10" x14ac:dyDescent="0.35">
      <c r="A24" s="10" t="s">
        <v>260</v>
      </c>
      <c r="B24" s="129">
        <v>7.9976851851850002E-3</v>
      </c>
      <c r="C24" s="2">
        <f t="shared" si="2"/>
        <v>54.841269841269821</v>
      </c>
      <c r="F24" s="10" t="s">
        <v>260</v>
      </c>
      <c r="G24" s="72">
        <v>0.96</v>
      </c>
      <c r="H24" s="91">
        <v>0.41</v>
      </c>
      <c r="I24" s="128">
        <f t="shared" si="3"/>
        <v>234.14634146341461</v>
      </c>
      <c r="J24" s="2">
        <f t="shared" si="4"/>
        <v>78.764824345491164</v>
      </c>
    </row>
    <row r="25" spans="1:10" x14ac:dyDescent="0.35">
      <c r="A25" s="10" t="s">
        <v>395</v>
      </c>
      <c r="B25" s="129">
        <v>9.9074074074070005E-3</v>
      </c>
      <c r="C25" s="2">
        <f t="shared" si="2"/>
        <v>67.9365079365067</v>
      </c>
      <c r="F25" s="10" t="s">
        <v>258</v>
      </c>
      <c r="G25" s="72">
        <v>1.21</v>
      </c>
      <c r="H25" s="91">
        <v>0.53</v>
      </c>
      <c r="I25" s="128">
        <f t="shared" si="3"/>
        <v>228.30188679245279</v>
      </c>
      <c r="J25" s="2">
        <f t="shared" si="4"/>
        <v>76.798799838439777</v>
      </c>
    </row>
    <row r="26" spans="1:10" x14ac:dyDescent="0.35">
      <c r="A26" s="10" t="s">
        <v>259</v>
      </c>
      <c r="B26" s="129">
        <v>1.2488425925926E-2</v>
      </c>
      <c r="C26" s="2">
        <f t="shared" si="2"/>
        <v>85.634920634923091</v>
      </c>
      <c r="F26" s="10" t="s">
        <v>396</v>
      </c>
      <c r="G26" s="72">
        <v>1.59</v>
      </c>
      <c r="H26" s="91">
        <v>0.83</v>
      </c>
      <c r="I26" s="128">
        <f t="shared" si="3"/>
        <v>191.56626506024099</v>
      </c>
      <c r="J26" s="2">
        <f t="shared" si="4"/>
        <v>64.441251243506144</v>
      </c>
    </row>
    <row r="28" spans="1:10" x14ac:dyDescent="0.35">
      <c r="A28" s="22" t="s">
        <v>487</v>
      </c>
    </row>
    <row r="29" spans="1:10" x14ac:dyDescent="0.35">
      <c r="A29" s="9" t="s">
        <v>467</v>
      </c>
      <c r="B29" s="22">
        <v>0.3</v>
      </c>
      <c r="C29" s="22">
        <v>0.2</v>
      </c>
      <c r="D29" s="22">
        <v>0.3</v>
      </c>
      <c r="E29" s="22">
        <v>0.2</v>
      </c>
      <c r="F29" s="22"/>
    </row>
    <row r="30" spans="1:10" x14ac:dyDescent="0.35">
      <c r="A30" s="9" t="s">
        <v>458</v>
      </c>
      <c r="B30" s="22" t="s">
        <v>36</v>
      </c>
      <c r="C30" s="22" t="s">
        <v>468</v>
      </c>
      <c r="D30" s="22" t="s">
        <v>460</v>
      </c>
      <c r="E30" s="22" t="s">
        <v>469</v>
      </c>
      <c r="F30" s="22" t="s">
        <v>470</v>
      </c>
    </row>
    <row r="31" spans="1:10" x14ac:dyDescent="0.35">
      <c r="A31" s="116" t="s">
        <v>260</v>
      </c>
      <c r="B31" s="25">
        <f t="shared" ref="B31:B37" si="5">VLOOKUP(A31,$A$9:$C$16,3,0)</f>
        <v>91.63653100138076</v>
      </c>
      <c r="C31" s="25">
        <f t="shared" ref="C31:C37" si="6">VLOOKUP(A31,$A$19:$C$26,3,0)</f>
        <v>54.841269841269821</v>
      </c>
      <c r="D31" s="25">
        <f t="shared" ref="D31:D37" si="7">VLOOKUP(A31,$F$9:$I$16,4,0)</f>
        <v>100</v>
      </c>
      <c r="E31" s="25">
        <f t="shared" ref="E31:E37" si="8">VLOOKUP(A31,$F$19:$J$26,5,0)</f>
        <v>78.764824345491164</v>
      </c>
      <c r="F31" s="26">
        <f t="shared" ref="F31:F37" si="9">B31*$B$29+C31*$C$29+D31*$D$29+E31*$E$29</f>
        <v>84.212178137766429</v>
      </c>
    </row>
    <row r="32" spans="1:10" x14ac:dyDescent="0.35">
      <c r="A32" s="117" t="s">
        <v>258</v>
      </c>
      <c r="B32" s="2">
        <f t="shared" si="5"/>
        <v>92.149385232428173</v>
      </c>
      <c r="C32" s="2">
        <f t="shared" si="6"/>
        <v>70.476190476193608</v>
      </c>
      <c r="D32" s="2">
        <f t="shared" si="7"/>
        <v>84.657919400187438</v>
      </c>
      <c r="E32" s="2">
        <f t="shared" si="8"/>
        <v>76.798799838439777</v>
      </c>
      <c r="F32" s="26">
        <f t="shared" si="9"/>
        <v>82.497189452711353</v>
      </c>
    </row>
    <row r="33" spans="1:6" x14ac:dyDescent="0.35">
      <c r="A33" s="117" t="s">
        <v>259</v>
      </c>
      <c r="B33" s="2">
        <f t="shared" si="5"/>
        <v>65.78341771319613</v>
      </c>
      <c r="C33" s="2">
        <f t="shared" si="6"/>
        <v>85.634920634923091</v>
      </c>
      <c r="D33" s="2">
        <f t="shared" si="7"/>
        <v>75.331199466268473</v>
      </c>
      <c r="E33" s="2">
        <f t="shared" si="8"/>
        <v>100</v>
      </c>
      <c r="F33" s="26">
        <f t="shared" si="9"/>
        <v>79.461369280824002</v>
      </c>
    </row>
    <row r="34" spans="1:6" x14ac:dyDescent="0.35">
      <c r="A34" s="116" t="s">
        <v>261</v>
      </c>
      <c r="B34" s="25">
        <f t="shared" si="5"/>
        <v>100</v>
      </c>
      <c r="C34" s="25">
        <f t="shared" si="6"/>
        <v>100</v>
      </c>
      <c r="D34" s="25">
        <f t="shared" si="7"/>
        <v>30.835125778831035</v>
      </c>
      <c r="E34" s="25">
        <f t="shared" si="8"/>
        <v>82.397003745318358</v>
      </c>
      <c r="F34" s="26">
        <f t="shared" si="9"/>
        <v>75.729938482712981</v>
      </c>
    </row>
    <row r="35" spans="1:6" x14ac:dyDescent="0.35">
      <c r="A35" s="117" t="s">
        <v>395</v>
      </c>
      <c r="B35" s="2">
        <f t="shared" si="5"/>
        <v>80.08087316720362</v>
      </c>
      <c r="C35" s="2">
        <f t="shared" si="6"/>
        <v>67.9365079365067</v>
      </c>
      <c r="D35" s="2">
        <f t="shared" si="7"/>
        <v>42.992354968109439</v>
      </c>
      <c r="E35" s="2">
        <f t="shared" si="8"/>
        <v>79.942435689872283</v>
      </c>
      <c r="F35" s="26">
        <f t="shared" si="9"/>
        <v>66.497757165869714</v>
      </c>
    </row>
    <row r="36" spans="1:6" x14ac:dyDescent="0.35">
      <c r="A36" s="116" t="s">
        <v>396</v>
      </c>
      <c r="B36" s="25">
        <f t="shared" si="5"/>
        <v>99.000591754881967</v>
      </c>
      <c r="C36" s="25">
        <f t="shared" si="6"/>
        <v>65.317460317462064</v>
      </c>
      <c r="D36" s="25">
        <f t="shared" si="7"/>
        <v>33.769194334673358</v>
      </c>
      <c r="E36" s="25">
        <f t="shared" si="8"/>
        <v>64.441251243506144</v>
      </c>
      <c r="F36" s="26">
        <f t="shared" si="9"/>
        <v>65.782678139060238</v>
      </c>
    </row>
    <row r="37" spans="1:6" x14ac:dyDescent="0.35">
      <c r="A37" s="116" t="s">
        <v>394</v>
      </c>
      <c r="B37" s="25">
        <f t="shared" si="5"/>
        <v>85.883358537707934</v>
      </c>
      <c r="C37" s="25">
        <f t="shared" si="6"/>
        <v>80.158730158733263</v>
      </c>
      <c r="D37" s="25">
        <f t="shared" si="7"/>
        <v>12.455597745379114</v>
      </c>
      <c r="E37" s="25">
        <f t="shared" si="8"/>
        <v>86.825357467559314</v>
      </c>
      <c r="F37" s="26">
        <f t="shared" si="9"/>
        <v>62.898504410184636</v>
      </c>
    </row>
  </sheetData>
  <sortState xmlns:xlrd2="http://schemas.microsoft.com/office/spreadsheetml/2017/richdata2" ref="A31:F37">
    <sortCondition descending="1" ref="F31:F37"/>
  </sortState>
  <mergeCells count="4">
    <mergeCell ref="B8:C8"/>
    <mergeCell ref="G8:I8"/>
    <mergeCell ref="B18:C18"/>
    <mergeCell ref="G18:J18"/>
  </mergeCells>
  <conditionalFormatting sqref="F31:F3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E5052-52BA-4FE9-B144-51C8C7FA47FC}">
  <sheetPr>
    <tabColor theme="9" tint="0.79998168889431442"/>
  </sheetPr>
  <dimension ref="A1:M40"/>
  <sheetViews>
    <sheetView showGridLines="0" zoomScale="70" zoomScaleNormal="70" workbookViewId="0">
      <selection activeCell="M21" sqref="M21"/>
    </sheetView>
  </sheetViews>
  <sheetFormatPr defaultColWidth="9.08984375" defaultRowHeight="14.5" x14ac:dyDescent="0.35"/>
  <cols>
    <col min="1" max="1" width="32.36328125" bestFit="1" customWidth="1"/>
    <col min="2" max="2" width="12.453125" bestFit="1" customWidth="1"/>
    <col min="3" max="3" width="11" bestFit="1" customWidth="1"/>
    <col min="4" max="4" width="5.54296875" bestFit="1" customWidth="1"/>
    <col min="5" max="5" width="10.08984375" bestFit="1" customWidth="1"/>
    <col min="6" max="6" width="28.54296875" bestFit="1" customWidth="1"/>
    <col min="7" max="7" width="12.08984375" bestFit="1" customWidth="1"/>
    <col min="8" max="8" width="6.54296875" bestFit="1" customWidth="1"/>
    <col min="9" max="9" width="8.453125" bestFit="1" customWidth="1"/>
    <col min="10" max="10" width="6" bestFit="1" customWidth="1"/>
    <col min="11" max="11" width="8.6328125" style="7" bestFit="1" customWidth="1"/>
    <col min="12" max="12" width="11.08984375" bestFit="1" customWidth="1"/>
    <col min="13" max="13" width="12.90625" bestFit="1" customWidth="1"/>
    <col min="14" max="14" width="11.08984375" bestFit="1" customWidth="1"/>
    <col min="15" max="15" width="10.08984375" bestFit="1" customWidth="1"/>
  </cols>
  <sheetData>
    <row r="1" spans="1:13" x14ac:dyDescent="0.35">
      <c r="A1" s="1" t="s">
        <v>225</v>
      </c>
    </row>
    <row r="2" spans="1:13" x14ac:dyDescent="0.35">
      <c r="A2" s="1" t="s">
        <v>471</v>
      </c>
    </row>
    <row r="3" spans="1:13" x14ac:dyDescent="0.35">
      <c r="A3" s="1" t="s">
        <v>29</v>
      </c>
    </row>
    <row r="4" spans="1:13" x14ac:dyDescent="0.35">
      <c r="A4" s="23" t="s">
        <v>226</v>
      </c>
    </row>
    <row r="5" spans="1:13" x14ac:dyDescent="0.35">
      <c r="A5" s="8" t="s">
        <v>488</v>
      </c>
    </row>
    <row r="6" spans="1:13" x14ac:dyDescent="0.35">
      <c r="A6" s="8"/>
    </row>
    <row r="7" spans="1:13" x14ac:dyDescent="0.35">
      <c r="A7" s="8"/>
    </row>
    <row r="8" spans="1:13" x14ac:dyDescent="0.35">
      <c r="A8" s="1" t="s">
        <v>454</v>
      </c>
      <c r="B8" s="594" t="s">
        <v>455</v>
      </c>
      <c r="C8" s="594"/>
      <c r="F8" s="1" t="s">
        <v>456</v>
      </c>
      <c r="G8" s="595" t="s">
        <v>457</v>
      </c>
      <c r="H8" s="595"/>
      <c r="I8" s="595"/>
      <c r="J8" s="595"/>
      <c r="L8" s="1"/>
      <c r="M8" s="1"/>
    </row>
    <row r="9" spans="1:13" x14ac:dyDescent="0.35">
      <c r="A9" s="9" t="s">
        <v>458</v>
      </c>
      <c r="B9" s="22" t="s">
        <v>487</v>
      </c>
      <c r="C9" s="22" t="s">
        <v>459</v>
      </c>
      <c r="F9" s="9" t="s">
        <v>458</v>
      </c>
      <c r="G9" s="22" t="s">
        <v>487</v>
      </c>
      <c r="H9" s="22" t="s">
        <v>460</v>
      </c>
      <c r="I9" s="9" t="s">
        <v>456</v>
      </c>
      <c r="J9" s="22" t="s">
        <v>459</v>
      </c>
    </row>
    <row r="10" spans="1:13" x14ac:dyDescent="0.35">
      <c r="A10" s="10" t="s">
        <v>288</v>
      </c>
      <c r="B10" s="70">
        <v>1500.15</v>
      </c>
      <c r="C10" s="2">
        <f t="shared" ref="C10:C17" si="0">+B10/(MAX($B$10:$B$17))*100</f>
        <v>100</v>
      </c>
      <c r="F10" s="10" t="s">
        <v>288</v>
      </c>
      <c r="G10" s="121">
        <v>3.12</v>
      </c>
      <c r="H10" s="2">
        <v>6600.8465116279067</v>
      </c>
      <c r="I10" s="12">
        <f>H10/G10</f>
        <v>2115.6559332140728</v>
      </c>
      <c r="J10" s="2">
        <f t="shared" ref="J10:J17" si="1">(MIN($I$10:$I$17))/I10*100</f>
        <v>71.009919798870044</v>
      </c>
    </row>
    <row r="11" spans="1:13" x14ac:dyDescent="0.35">
      <c r="A11" s="10" t="s">
        <v>397</v>
      </c>
      <c r="B11" s="70">
        <v>1491.62</v>
      </c>
      <c r="C11" s="2">
        <f t="shared" si="0"/>
        <v>99.431390194313877</v>
      </c>
      <c r="F11" s="10" t="s">
        <v>397</v>
      </c>
      <c r="G11" s="121">
        <v>3.05</v>
      </c>
      <c r="H11" s="2">
        <v>7126.3392857142853</v>
      </c>
      <c r="I11" s="12">
        <f t="shared" ref="I11:I17" si="2">H11/G11</f>
        <v>2336.5046838407493</v>
      </c>
      <c r="J11" s="2">
        <f t="shared" si="1"/>
        <v>64.297991430765052</v>
      </c>
    </row>
    <row r="12" spans="1:13" x14ac:dyDescent="0.35">
      <c r="A12" s="10" t="s">
        <v>401</v>
      </c>
      <c r="B12" s="70">
        <v>1278.81</v>
      </c>
      <c r="C12" s="2">
        <f t="shared" si="0"/>
        <v>85.245475452454741</v>
      </c>
      <c r="F12" s="10" t="s">
        <v>401</v>
      </c>
      <c r="G12" s="121">
        <v>0.92</v>
      </c>
      <c r="H12" s="2">
        <v>2832.9738219895285</v>
      </c>
      <c r="I12" s="12">
        <f t="shared" si="2"/>
        <v>3079.3193717277481</v>
      </c>
      <c r="J12" s="2">
        <f t="shared" si="1"/>
        <v>48.78758582785202</v>
      </c>
    </row>
    <row r="13" spans="1:13" x14ac:dyDescent="0.35">
      <c r="A13" s="10" t="s">
        <v>286</v>
      </c>
      <c r="B13" s="70">
        <v>1365.75</v>
      </c>
      <c r="C13" s="2">
        <f t="shared" si="0"/>
        <v>91.040895910408963</v>
      </c>
      <c r="F13" s="10" t="s">
        <v>286</v>
      </c>
      <c r="G13" s="121">
        <v>0.47</v>
      </c>
      <c r="H13" s="2">
        <v>1334.4827586206895</v>
      </c>
      <c r="I13" s="12">
        <f t="shared" si="2"/>
        <v>2839.3250183418927</v>
      </c>
      <c r="J13" s="2">
        <f t="shared" si="1"/>
        <v>52.91136349978968</v>
      </c>
    </row>
    <row r="14" spans="1:13" x14ac:dyDescent="0.35">
      <c r="A14" s="10" t="s">
        <v>398</v>
      </c>
      <c r="B14" s="70">
        <v>1241.44</v>
      </c>
      <c r="C14" s="2">
        <f t="shared" si="0"/>
        <v>82.754391227543906</v>
      </c>
      <c r="F14" s="10" t="s">
        <v>398</v>
      </c>
      <c r="G14" s="121">
        <v>0.18</v>
      </c>
      <c r="H14" s="2">
        <v>348.83333333333326</v>
      </c>
      <c r="I14" s="12">
        <f t="shared" si="2"/>
        <v>1937.9629629629626</v>
      </c>
      <c r="J14" s="2">
        <f t="shared" si="1"/>
        <v>77.520861342903828</v>
      </c>
    </row>
    <row r="15" spans="1:13" x14ac:dyDescent="0.35">
      <c r="A15" s="10" t="s">
        <v>287</v>
      </c>
      <c r="B15" s="70">
        <v>1311.92</v>
      </c>
      <c r="C15" s="2">
        <f t="shared" si="0"/>
        <v>87.452588074525877</v>
      </c>
      <c r="F15" s="10" t="s">
        <v>287</v>
      </c>
      <c r="G15" s="121">
        <v>0.25</v>
      </c>
      <c r="H15" s="2">
        <v>375.58139534883719</v>
      </c>
      <c r="I15" s="12">
        <f t="shared" si="2"/>
        <v>1502.3255813953488</v>
      </c>
      <c r="J15" s="2">
        <f t="shared" si="1"/>
        <v>100</v>
      </c>
    </row>
    <row r="16" spans="1:13" x14ac:dyDescent="0.35">
      <c r="A16" s="10" t="s">
        <v>399</v>
      </c>
      <c r="B16" s="70">
        <v>1219.3900000000001</v>
      </c>
      <c r="C16" s="2">
        <f t="shared" si="0"/>
        <v>81.284538212845376</v>
      </c>
      <c r="F16" s="10" t="s">
        <v>399</v>
      </c>
      <c r="G16" s="121">
        <v>0.37</v>
      </c>
      <c r="H16" s="2">
        <v>575</v>
      </c>
      <c r="I16" s="12">
        <f t="shared" si="2"/>
        <v>1554.0540540540542</v>
      </c>
      <c r="J16" s="2">
        <f t="shared" si="1"/>
        <v>96.671385237613734</v>
      </c>
    </row>
    <row r="17" spans="1:10" x14ac:dyDescent="0.35">
      <c r="A17" s="10" t="s">
        <v>400</v>
      </c>
      <c r="B17" s="70">
        <v>1060.5</v>
      </c>
      <c r="C17" s="2">
        <f t="shared" si="0"/>
        <v>70.692930706929303</v>
      </c>
      <c r="F17" s="10" t="s">
        <v>400</v>
      </c>
      <c r="G17" s="121">
        <v>0.08</v>
      </c>
      <c r="H17" s="2">
        <v>4500</v>
      </c>
      <c r="I17" s="12">
        <f t="shared" si="2"/>
        <v>56250</v>
      </c>
      <c r="J17" s="2">
        <f t="shared" si="1"/>
        <v>2.6708010335917312</v>
      </c>
    </row>
    <row r="19" spans="1:10" x14ac:dyDescent="0.35">
      <c r="A19" s="1" t="s">
        <v>462</v>
      </c>
      <c r="B19" s="594" t="s">
        <v>463</v>
      </c>
      <c r="C19" s="594"/>
      <c r="F19" s="1"/>
      <c r="G19" s="595" t="s">
        <v>464</v>
      </c>
      <c r="H19" s="595"/>
      <c r="I19" s="595"/>
      <c r="J19" s="595"/>
    </row>
    <row r="20" spans="1:10" x14ac:dyDescent="0.35">
      <c r="A20" s="9" t="s">
        <v>458</v>
      </c>
      <c r="B20" s="22" t="s">
        <v>487</v>
      </c>
      <c r="C20" s="22" t="s">
        <v>459</v>
      </c>
      <c r="F20" s="9" t="s">
        <v>227</v>
      </c>
      <c r="G20" s="22" t="s">
        <v>487</v>
      </c>
      <c r="H20" s="24" t="s">
        <v>465</v>
      </c>
      <c r="I20" s="24" t="s">
        <v>466</v>
      </c>
      <c r="J20" s="24" t="s">
        <v>459</v>
      </c>
    </row>
    <row r="21" spans="1:10" x14ac:dyDescent="0.35">
      <c r="A21" s="10" t="s">
        <v>288</v>
      </c>
      <c r="B21" s="129">
        <v>1.2662037037036999E-2</v>
      </c>
      <c r="C21" s="2">
        <f t="shared" ref="C21:C28" si="3">+B21/(MAX($B$21:$B$28))*100</f>
        <v>100</v>
      </c>
      <c r="F21" s="10" t="s">
        <v>288</v>
      </c>
      <c r="G21" s="72">
        <v>17.760000000000002</v>
      </c>
      <c r="H21" s="91">
        <v>21.33</v>
      </c>
      <c r="I21" s="128">
        <f>+G21/H21*100</f>
        <v>83.263009845288337</v>
      </c>
      <c r="J21" s="2">
        <f t="shared" ref="J21:J28" si="4">+I21/(MAX($I$21:$I$28))*100</f>
        <v>75.524811904276405</v>
      </c>
    </row>
    <row r="22" spans="1:10" x14ac:dyDescent="0.35">
      <c r="A22" s="10" t="s">
        <v>397</v>
      </c>
      <c r="B22" s="129">
        <v>1.2303240740741E-2</v>
      </c>
      <c r="C22" s="2">
        <f t="shared" si="3"/>
        <v>97.16636197440819</v>
      </c>
      <c r="F22" s="10" t="s">
        <v>397</v>
      </c>
      <c r="G22" s="72">
        <v>17.38</v>
      </c>
      <c r="H22" s="91">
        <v>18.04</v>
      </c>
      <c r="I22" s="128">
        <f t="shared" ref="I22:I28" si="5">+G22/H22*100</f>
        <v>96.341463414634148</v>
      </c>
      <c r="J22" s="2">
        <f t="shared" si="4"/>
        <v>87.387795811043617</v>
      </c>
    </row>
    <row r="23" spans="1:10" x14ac:dyDescent="0.35">
      <c r="A23" s="10" t="s">
        <v>401</v>
      </c>
      <c r="B23" s="129">
        <v>1.0115740740741E-2</v>
      </c>
      <c r="C23" s="2">
        <f t="shared" si="3"/>
        <v>79.890310786108316</v>
      </c>
      <c r="F23" s="10" t="s">
        <v>401</v>
      </c>
      <c r="G23" s="72">
        <v>5.24</v>
      </c>
      <c r="H23" s="91">
        <v>6.86</v>
      </c>
      <c r="I23" s="128">
        <f t="shared" si="5"/>
        <v>76.384839650145778</v>
      </c>
      <c r="J23" s="2">
        <f t="shared" si="4"/>
        <v>69.285876857381297</v>
      </c>
    </row>
    <row r="24" spans="1:10" x14ac:dyDescent="0.35">
      <c r="A24" s="10" t="s">
        <v>286</v>
      </c>
      <c r="B24" s="129">
        <v>8.148148148148E-3</v>
      </c>
      <c r="C24" s="2">
        <f t="shared" si="3"/>
        <v>64.351005484459705</v>
      </c>
      <c r="F24" s="10" t="s">
        <v>286</v>
      </c>
      <c r="G24" s="72">
        <v>2.69</v>
      </c>
      <c r="H24" s="91">
        <v>2.44</v>
      </c>
      <c r="I24" s="128">
        <f t="shared" si="5"/>
        <v>110.24590163934427</v>
      </c>
      <c r="J24" s="2">
        <f t="shared" si="4"/>
        <v>100</v>
      </c>
    </row>
    <row r="25" spans="1:10" x14ac:dyDescent="0.35">
      <c r="A25" s="10" t="s">
        <v>398</v>
      </c>
      <c r="B25" s="129">
        <v>6.7129629629630004E-3</v>
      </c>
      <c r="C25" s="2">
        <f t="shared" si="3"/>
        <v>53.016453382084549</v>
      </c>
      <c r="F25" s="10" t="s">
        <v>398</v>
      </c>
      <c r="G25" s="72">
        <v>1.01</v>
      </c>
      <c r="H25" s="91">
        <v>1.1100000000000001</v>
      </c>
      <c r="I25" s="128">
        <f t="shared" si="5"/>
        <v>90.99099099099098</v>
      </c>
      <c r="J25" s="2">
        <f t="shared" si="4"/>
        <v>82.534579188854266</v>
      </c>
    </row>
    <row r="26" spans="1:10" x14ac:dyDescent="0.35">
      <c r="A26" s="10" t="s">
        <v>287</v>
      </c>
      <c r="B26" s="129">
        <v>6.3773148148149996E-3</v>
      </c>
      <c r="C26" s="2">
        <f t="shared" si="3"/>
        <v>50.365630712981499</v>
      </c>
      <c r="F26" s="10" t="s">
        <v>287</v>
      </c>
      <c r="G26" s="72">
        <v>1.41</v>
      </c>
      <c r="H26" s="91">
        <v>1.42</v>
      </c>
      <c r="I26" s="128">
        <f t="shared" si="5"/>
        <v>99.295774647887328</v>
      </c>
      <c r="J26" s="2">
        <f t="shared" si="4"/>
        <v>90.06754280328812</v>
      </c>
    </row>
    <row r="27" spans="1:10" x14ac:dyDescent="0.35">
      <c r="A27" s="10" t="s">
        <v>399</v>
      </c>
      <c r="B27" s="129">
        <v>8.0902777777779999E-3</v>
      </c>
      <c r="C27" s="2">
        <f t="shared" si="3"/>
        <v>63.893967093237777</v>
      </c>
      <c r="F27" s="10" t="s">
        <v>399</v>
      </c>
      <c r="G27" s="72">
        <v>2.09</v>
      </c>
      <c r="H27" s="91">
        <v>2.34</v>
      </c>
      <c r="I27" s="128">
        <f t="shared" si="5"/>
        <v>89.316239316239319</v>
      </c>
      <c r="J27" s="2">
        <f t="shared" si="4"/>
        <v>81.015473580529346</v>
      </c>
    </row>
    <row r="28" spans="1:10" x14ac:dyDescent="0.35">
      <c r="A28" s="10" t="s">
        <v>400</v>
      </c>
      <c r="B28" s="129">
        <v>4.1203703703700002E-3</v>
      </c>
      <c r="C28" s="2">
        <f t="shared" si="3"/>
        <v>32.541133455207408</v>
      </c>
      <c r="F28" s="10" t="s">
        <v>400</v>
      </c>
      <c r="G28" s="72">
        <v>0.45</v>
      </c>
      <c r="H28" s="91">
        <v>0.56000000000000005</v>
      </c>
      <c r="I28" s="128">
        <f t="shared" si="5"/>
        <v>80.357142857142847</v>
      </c>
      <c r="J28" s="2">
        <f t="shared" si="4"/>
        <v>72.889006903876776</v>
      </c>
    </row>
    <row r="30" spans="1:10" x14ac:dyDescent="0.35">
      <c r="A30" s="22" t="s">
        <v>487</v>
      </c>
    </row>
    <row r="31" spans="1:10" x14ac:dyDescent="0.35">
      <c r="A31" s="9" t="s">
        <v>467</v>
      </c>
      <c r="B31" s="22">
        <v>0.4</v>
      </c>
      <c r="C31" s="22">
        <v>0.2</v>
      </c>
      <c r="D31" s="22">
        <v>0.2</v>
      </c>
      <c r="E31" s="22">
        <v>0.2</v>
      </c>
      <c r="F31" s="22"/>
    </row>
    <row r="32" spans="1:10" x14ac:dyDescent="0.35">
      <c r="A32" s="9" t="s">
        <v>458</v>
      </c>
      <c r="B32" s="22" t="s">
        <v>36</v>
      </c>
      <c r="C32" s="22" t="s">
        <v>468</v>
      </c>
      <c r="D32" s="22" t="s">
        <v>456</v>
      </c>
      <c r="E32" s="22" t="s">
        <v>469</v>
      </c>
      <c r="F32" s="22" t="s">
        <v>470</v>
      </c>
    </row>
    <row r="33" spans="1:6" x14ac:dyDescent="0.35">
      <c r="A33" s="122" t="s">
        <v>397</v>
      </c>
      <c r="B33" s="25">
        <f t="shared" ref="B33:B40" si="6">VLOOKUP(A33,$A$10:$C$17,3,0)</f>
        <v>99.431390194313877</v>
      </c>
      <c r="C33" s="25">
        <f t="shared" ref="C33:C40" si="7">VLOOKUP(A33,$A$21:$C$28,3,0)</f>
        <v>97.16636197440819</v>
      </c>
      <c r="D33" s="25">
        <f t="shared" ref="D33:D40" si="8">VLOOKUP(A33,$F$10:$J$17,5,0)</f>
        <v>64.297991430765052</v>
      </c>
      <c r="E33" s="25">
        <f t="shared" ref="E33:E40" si="9">VLOOKUP(A33,$F$21:$J$28,5,0)</f>
        <v>87.387795811043617</v>
      </c>
      <c r="F33" s="26">
        <f t="shared" ref="F33:F40" si="10">B33*$B$31+C33*$C$31+D33*$D$31+E33*$E$31</f>
        <v>89.542985920968931</v>
      </c>
    </row>
    <row r="34" spans="1:6" x14ac:dyDescent="0.35">
      <c r="A34" s="122" t="s">
        <v>288</v>
      </c>
      <c r="B34" s="25">
        <f t="shared" si="6"/>
        <v>100</v>
      </c>
      <c r="C34" s="25">
        <f t="shared" si="7"/>
        <v>100</v>
      </c>
      <c r="D34" s="25">
        <f t="shared" si="8"/>
        <v>71.009919798870044</v>
      </c>
      <c r="E34" s="25">
        <f t="shared" si="9"/>
        <v>75.524811904276405</v>
      </c>
      <c r="F34" s="26">
        <f t="shared" si="10"/>
        <v>89.306946340629295</v>
      </c>
    </row>
    <row r="35" spans="1:6" x14ac:dyDescent="0.35">
      <c r="A35" s="122" t="s">
        <v>287</v>
      </c>
      <c r="B35" s="25">
        <f t="shared" si="6"/>
        <v>87.452588074525877</v>
      </c>
      <c r="C35" s="25">
        <f t="shared" si="7"/>
        <v>50.365630712981499</v>
      </c>
      <c r="D35" s="25">
        <f t="shared" si="8"/>
        <v>100</v>
      </c>
      <c r="E35" s="25">
        <f t="shared" si="9"/>
        <v>90.06754280328812</v>
      </c>
      <c r="F35" s="26">
        <f t="shared" si="10"/>
        <v>83.06766993306428</v>
      </c>
    </row>
    <row r="36" spans="1:6" x14ac:dyDescent="0.35">
      <c r="A36" s="10" t="s">
        <v>399</v>
      </c>
      <c r="B36" s="2">
        <f t="shared" si="6"/>
        <v>81.284538212845376</v>
      </c>
      <c r="C36" s="2">
        <f t="shared" si="7"/>
        <v>63.893967093237777</v>
      </c>
      <c r="D36" s="2">
        <f t="shared" si="8"/>
        <v>96.671385237613734</v>
      </c>
      <c r="E36" s="2">
        <f t="shared" si="9"/>
        <v>81.015473580529346</v>
      </c>
      <c r="F36" s="26">
        <f t="shared" si="10"/>
        <v>80.829980467414316</v>
      </c>
    </row>
    <row r="37" spans="1:6" x14ac:dyDescent="0.35">
      <c r="A37" s="10" t="s">
        <v>286</v>
      </c>
      <c r="B37" s="2">
        <f t="shared" si="6"/>
        <v>91.040895910408963</v>
      </c>
      <c r="C37" s="2">
        <f t="shared" si="7"/>
        <v>64.351005484459705</v>
      </c>
      <c r="D37" s="2">
        <f t="shared" si="8"/>
        <v>52.91136349978968</v>
      </c>
      <c r="E37" s="2">
        <f t="shared" si="9"/>
        <v>100</v>
      </c>
      <c r="F37" s="26">
        <f t="shared" si="10"/>
        <v>79.868832161013458</v>
      </c>
    </row>
    <row r="38" spans="1:6" x14ac:dyDescent="0.35">
      <c r="A38" s="10" t="s">
        <v>398</v>
      </c>
      <c r="B38" s="2">
        <f t="shared" si="6"/>
        <v>82.754391227543906</v>
      </c>
      <c r="C38" s="2">
        <f t="shared" si="7"/>
        <v>53.016453382084549</v>
      </c>
      <c r="D38" s="2">
        <f t="shared" si="8"/>
        <v>77.520861342903828</v>
      </c>
      <c r="E38" s="2">
        <f t="shared" si="9"/>
        <v>82.534579188854266</v>
      </c>
      <c r="F38" s="26">
        <f t="shared" si="10"/>
        <v>75.716135273786094</v>
      </c>
    </row>
    <row r="39" spans="1:6" x14ac:dyDescent="0.35">
      <c r="A39" s="122" t="s">
        <v>401</v>
      </c>
      <c r="B39" s="25">
        <f t="shared" si="6"/>
        <v>85.245475452454741</v>
      </c>
      <c r="C39" s="25">
        <f t="shared" si="7"/>
        <v>79.890310786108316</v>
      </c>
      <c r="D39" s="25">
        <f t="shared" si="8"/>
        <v>48.78758582785202</v>
      </c>
      <c r="E39" s="25">
        <f t="shared" si="9"/>
        <v>69.285876857381297</v>
      </c>
      <c r="F39" s="26">
        <f t="shared" si="10"/>
        <v>73.690944875250224</v>
      </c>
    </row>
    <row r="40" spans="1:6" x14ac:dyDescent="0.35">
      <c r="A40" s="10" t="s">
        <v>400</v>
      </c>
      <c r="B40" s="2">
        <f t="shared" si="6"/>
        <v>70.692930706929303</v>
      </c>
      <c r="C40" s="2">
        <f t="shared" si="7"/>
        <v>32.541133455207408</v>
      </c>
      <c r="D40" s="2">
        <f t="shared" si="8"/>
        <v>2.6708010335917312</v>
      </c>
      <c r="E40" s="2">
        <f t="shared" si="9"/>
        <v>72.889006903876776</v>
      </c>
      <c r="F40" s="26">
        <f t="shared" si="10"/>
        <v>49.897360561306904</v>
      </c>
    </row>
  </sheetData>
  <sortState xmlns:xlrd2="http://schemas.microsoft.com/office/spreadsheetml/2017/richdata2" ref="A33:F40">
    <sortCondition descending="1" ref="F33:F40"/>
  </sortState>
  <mergeCells count="4">
    <mergeCell ref="B8:C8"/>
    <mergeCell ref="G8:J8"/>
    <mergeCell ref="B19:C19"/>
    <mergeCell ref="G19:J19"/>
  </mergeCells>
  <conditionalFormatting sqref="F33:F40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97294-6047-40B9-9737-30DF6402F1B1}">
  <sheetPr>
    <tabColor theme="9" tint="0.79998168889431442"/>
  </sheetPr>
  <dimension ref="A1:O30"/>
  <sheetViews>
    <sheetView showGridLines="0" zoomScale="70" zoomScaleNormal="70" workbookViewId="0">
      <selection activeCell="M21" sqref="M21"/>
    </sheetView>
  </sheetViews>
  <sheetFormatPr defaultColWidth="9.08984375" defaultRowHeight="14.5" x14ac:dyDescent="0.35"/>
  <cols>
    <col min="1" max="1" width="32.36328125" style="4" bestFit="1" customWidth="1"/>
    <col min="2" max="2" width="12.453125" bestFit="1" customWidth="1"/>
    <col min="3" max="3" width="11" bestFit="1" customWidth="1"/>
    <col min="4" max="4" width="5.54296875" bestFit="1" customWidth="1"/>
    <col min="5" max="5" width="10.08984375" bestFit="1" customWidth="1"/>
    <col min="6" max="6" width="15.453125" style="4" bestFit="1" customWidth="1"/>
    <col min="7" max="7" width="11.453125" style="4" bestFit="1" customWidth="1"/>
    <col min="8" max="8" width="5.54296875" style="4" bestFit="1" customWidth="1"/>
    <col min="9" max="9" width="5.6328125" style="4" bestFit="1" customWidth="1"/>
    <col min="10" max="10" width="6" style="4" bestFit="1" customWidth="1"/>
    <col min="11" max="11" width="6.54296875" style="7" bestFit="1" customWidth="1"/>
    <col min="12" max="12" width="11.08984375" bestFit="1" customWidth="1"/>
    <col min="13" max="13" width="12.90625" bestFit="1" customWidth="1"/>
    <col min="14" max="14" width="11.08984375" bestFit="1" customWidth="1"/>
    <col min="15" max="15" width="10.08984375" bestFit="1" customWidth="1"/>
  </cols>
  <sheetData>
    <row r="1" spans="1:13" x14ac:dyDescent="0.35">
      <c r="A1" s="1" t="s">
        <v>225</v>
      </c>
    </row>
    <row r="2" spans="1:13" x14ac:dyDescent="0.35">
      <c r="A2" s="1" t="s">
        <v>471</v>
      </c>
    </row>
    <row r="3" spans="1:13" x14ac:dyDescent="0.35">
      <c r="A3" s="1" t="s">
        <v>29</v>
      </c>
    </row>
    <row r="4" spans="1:13" x14ac:dyDescent="0.35">
      <c r="A4" s="23" t="s">
        <v>226</v>
      </c>
    </row>
    <row r="5" spans="1:13" x14ac:dyDescent="0.35">
      <c r="A5" s="8" t="s">
        <v>488</v>
      </c>
    </row>
    <row r="9" spans="1:13" x14ac:dyDescent="0.35">
      <c r="A9" s="1" t="s">
        <v>454</v>
      </c>
      <c r="B9" s="594" t="s">
        <v>455</v>
      </c>
      <c r="C9" s="594"/>
      <c r="F9" s="1" t="s">
        <v>456</v>
      </c>
      <c r="G9" s="595" t="s">
        <v>457</v>
      </c>
      <c r="H9" s="595"/>
      <c r="I9" s="595"/>
      <c r="J9" s="595"/>
      <c r="L9" s="1"/>
      <c r="M9" s="1"/>
    </row>
    <row r="10" spans="1:13" x14ac:dyDescent="0.35">
      <c r="A10" s="9" t="s">
        <v>458</v>
      </c>
      <c r="B10" s="9" t="s">
        <v>340</v>
      </c>
      <c r="C10" s="9" t="s">
        <v>459</v>
      </c>
      <c r="F10" s="9" t="s">
        <v>458</v>
      </c>
      <c r="G10" s="9" t="s">
        <v>340</v>
      </c>
      <c r="H10" s="22" t="s">
        <v>460</v>
      </c>
      <c r="I10" s="9" t="s">
        <v>456</v>
      </c>
      <c r="J10" s="22" t="s">
        <v>459</v>
      </c>
    </row>
    <row r="11" spans="1:13" x14ac:dyDescent="0.35">
      <c r="A11" s="10" t="s">
        <v>290</v>
      </c>
      <c r="B11" s="70">
        <v>1455.42</v>
      </c>
      <c r="C11" s="2">
        <f>+B11/(MAX($B$11:$B$14))*100</f>
        <v>100</v>
      </c>
      <c r="F11" s="10" t="s">
        <v>290</v>
      </c>
      <c r="G11" s="72">
        <v>0.8</v>
      </c>
      <c r="H11" s="2">
        <v>1742.1985815602839</v>
      </c>
      <c r="I11" s="12">
        <f>H11/G11</f>
        <v>2177.7482269503548</v>
      </c>
      <c r="J11" s="2">
        <f>(MIN($I$11:$I$14))/I11*100</f>
        <v>83.959714397531855</v>
      </c>
    </row>
    <row r="12" spans="1:13" x14ac:dyDescent="0.35">
      <c r="A12" s="10" t="s">
        <v>402</v>
      </c>
      <c r="B12" s="70">
        <v>1399.85</v>
      </c>
      <c r="C12" s="2">
        <f>+B12/(MAX($B$11:$B$14))*100</f>
        <v>96.181858157782614</v>
      </c>
      <c r="F12" s="10" t="s">
        <v>402</v>
      </c>
      <c r="G12" s="72">
        <v>0.49</v>
      </c>
      <c r="H12" s="2">
        <v>895.93128390596746</v>
      </c>
      <c r="I12" s="12">
        <f t="shared" ref="I12:I14" si="0">H12/G12</f>
        <v>1828.4311916448316</v>
      </c>
      <c r="J12" s="2">
        <f>(MIN($I$11:$I$14))/I12*100</f>
        <v>100</v>
      </c>
    </row>
    <row r="13" spans="1:13" x14ac:dyDescent="0.35">
      <c r="A13" s="10" t="s">
        <v>289</v>
      </c>
      <c r="B13" s="70">
        <v>1131.8599999999999</v>
      </c>
      <c r="C13" s="2">
        <f>+B13/(MAX($B$11:$B$14))*100</f>
        <v>77.768616619257656</v>
      </c>
      <c r="F13" s="10" t="s">
        <v>289</v>
      </c>
      <c r="G13" s="72">
        <v>0.28999999999999998</v>
      </c>
      <c r="H13" s="2">
        <v>637.97468354430384</v>
      </c>
      <c r="I13" s="12">
        <f t="shared" si="0"/>
        <v>2199.91270187691</v>
      </c>
      <c r="J13" s="2">
        <f>(MIN($I$11:$I$14))/I13*100</f>
        <v>83.113806747188661</v>
      </c>
    </row>
    <row r="14" spans="1:13" x14ac:dyDescent="0.35">
      <c r="A14" s="10" t="s">
        <v>403</v>
      </c>
      <c r="B14" s="70">
        <v>858.65</v>
      </c>
      <c r="C14" s="2">
        <f>+B14/(MAX($B$11:$B$14))*100</f>
        <v>58.996715724670537</v>
      </c>
      <c r="F14" s="10" t="s">
        <v>403</v>
      </c>
      <c r="G14" s="72">
        <v>0.12</v>
      </c>
      <c r="H14" s="2">
        <v>277.91666666666669</v>
      </c>
      <c r="I14" s="12">
        <f t="shared" si="0"/>
        <v>2315.9722222222226</v>
      </c>
      <c r="J14" s="2">
        <f>(MIN($I$11:$I$14))/I14*100</f>
        <v>78.948753102505464</v>
      </c>
    </row>
    <row r="15" spans="1:13" x14ac:dyDescent="0.35">
      <c r="G15"/>
    </row>
    <row r="16" spans="1:13" x14ac:dyDescent="0.35">
      <c r="A16" s="1" t="s">
        <v>462</v>
      </c>
      <c r="B16" s="596" t="s">
        <v>463</v>
      </c>
      <c r="C16" s="597"/>
      <c r="F16" s="1"/>
      <c r="G16" s="595" t="s">
        <v>464</v>
      </c>
      <c r="H16" s="595"/>
      <c r="I16" s="595"/>
      <c r="J16" s="595"/>
    </row>
    <row r="17" spans="1:15" x14ac:dyDescent="0.35">
      <c r="A17" s="9" t="s">
        <v>458</v>
      </c>
      <c r="B17" s="9" t="s">
        <v>340</v>
      </c>
      <c r="C17" s="22" t="s">
        <v>459</v>
      </c>
      <c r="F17" s="9" t="s">
        <v>227</v>
      </c>
      <c r="G17" s="9" t="s">
        <v>340</v>
      </c>
      <c r="H17" s="22" t="s">
        <v>465</v>
      </c>
      <c r="I17" s="22" t="s">
        <v>466</v>
      </c>
      <c r="J17" s="22" t="s">
        <v>459</v>
      </c>
    </row>
    <row r="18" spans="1:15" x14ac:dyDescent="0.35">
      <c r="A18" s="10" t="s">
        <v>290</v>
      </c>
      <c r="B18" s="129">
        <v>7.6388888888889997E-3</v>
      </c>
      <c r="C18" s="2">
        <f>+B18/(MAX($B$18:$B$21))*100</f>
        <v>99.848714069592489</v>
      </c>
      <c r="F18" s="10" t="s">
        <v>290</v>
      </c>
      <c r="G18" s="72">
        <v>4.55</v>
      </c>
      <c r="H18" s="91">
        <v>5.0599999999999996</v>
      </c>
      <c r="I18" s="12">
        <f>G18/H18*100</f>
        <v>89.920948616600796</v>
      </c>
      <c r="J18" s="2">
        <f>+I18/(MAX($I$18:$I$21))*100</f>
        <v>85.045716462688702</v>
      </c>
    </row>
    <row r="19" spans="1:15" x14ac:dyDescent="0.35">
      <c r="A19" s="10" t="s">
        <v>402</v>
      </c>
      <c r="B19" s="129">
        <v>7.6504629629630004E-3</v>
      </c>
      <c r="C19" s="2">
        <f>+B19/(MAX($B$18:$B$21))*100</f>
        <v>100</v>
      </c>
      <c r="F19" s="10" t="s">
        <v>402</v>
      </c>
      <c r="G19" s="72">
        <v>2.77</v>
      </c>
      <c r="H19" s="91">
        <v>2.64</v>
      </c>
      <c r="I19" s="12">
        <f>G19/H19*100</f>
        <v>104.92424242424244</v>
      </c>
      <c r="J19" s="2">
        <f>+I19/(MAX($I$18:$I$21))*100</f>
        <v>99.235578678349768</v>
      </c>
    </row>
    <row r="20" spans="1:15" x14ac:dyDescent="0.35">
      <c r="A20" s="10" t="s">
        <v>289</v>
      </c>
      <c r="B20" s="129">
        <v>7.3148148148150004E-3</v>
      </c>
      <c r="C20" s="2">
        <f>+B20/(MAX($B$18:$B$21))*100</f>
        <v>95.612708018156269</v>
      </c>
      <c r="F20" s="10" t="s">
        <v>289</v>
      </c>
      <c r="G20" s="72">
        <v>1.66</v>
      </c>
      <c r="H20" s="91">
        <v>1.57</v>
      </c>
      <c r="I20" s="12">
        <f>G20/H20*100</f>
        <v>105.73248407643312</v>
      </c>
      <c r="J20" s="2">
        <f>+I20/(MAX($I$18:$I$21))*100</f>
        <v>100</v>
      </c>
    </row>
    <row r="21" spans="1:15" x14ac:dyDescent="0.35">
      <c r="A21" s="10" t="s">
        <v>403</v>
      </c>
      <c r="B21" s="129">
        <v>6.6550925925930003E-3</v>
      </c>
      <c r="C21" s="2">
        <f>+B21/(MAX($B$18:$B$21))*100</f>
        <v>86.989409984876303</v>
      </c>
      <c r="F21" s="10" t="s">
        <v>403</v>
      </c>
      <c r="G21" s="72">
        <v>0.7</v>
      </c>
      <c r="H21" s="91">
        <v>0.7</v>
      </c>
      <c r="I21" s="12">
        <f>G21/H21*100</f>
        <v>100</v>
      </c>
      <c r="J21" s="2">
        <f>+I21/(MAX($I$18:$I$21))*100</f>
        <v>94.578313253012041</v>
      </c>
    </row>
    <row r="22" spans="1:15" x14ac:dyDescent="0.35">
      <c r="G22"/>
    </row>
    <row r="24" spans="1:15" x14ac:dyDescent="0.35">
      <c r="A24" s="9" t="s">
        <v>340</v>
      </c>
    </row>
    <row r="25" spans="1:15" s="4" customFormat="1" x14ac:dyDescent="0.35">
      <c r="A25" s="9" t="s">
        <v>467</v>
      </c>
      <c r="B25" s="22">
        <v>0.3</v>
      </c>
      <c r="C25" s="22">
        <v>0.2</v>
      </c>
      <c r="D25" s="22">
        <v>0.3</v>
      </c>
      <c r="E25" s="22">
        <v>0.2</v>
      </c>
      <c r="K25" s="7"/>
    </row>
    <row r="26" spans="1:15" s="4" customFormat="1" x14ac:dyDescent="0.35">
      <c r="A26" s="9" t="s">
        <v>458</v>
      </c>
      <c r="B26" s="22" t="s">
        <v>36</v>
      </c>
      <c r="C26" s="22" t="s">
        <v>468</v>
      </c>
      <c r="D26" s="22" t="s">
        <v>456</v>
      </c>
      <c r="E26" s="22" t="s">
        <v>469</v>
      </c>
      <c r="F26" s="22" t="s">
        <v>470</v>
      </c>
      <c r="K26" s="7"/>
    </row>
    <row r="27" spans="1:15" s="4" customFormat="1" x14ac:dyDescent="0.35">
      <c r="A27" s="122" t="s">
        <v>402</v>
      </c>
      <c r="B27" s="25">
        <f>VLOOKUP(A27,$A$11:$C$14,3,0)</f>
        <v>96.181858157782614</v>
      </c>
      <c r="C27" s="25">
        <f>VLOOKUP(A27,$A$18:$C$21,3,0)</f>
        <v>100</v>
      </c>
      <c r="D27" s="25">
        <f>VLOOKUP(A27,$F$11:$J$14,5,0)</f>
        <v>100</v>
      </c>
      <c r="E27" s="25">
        <f>VLOOKUP(A27,$F$18:$J$21,5,0)</f>
        <v>99.235578678349768</v>
      </c>
      <c r="F27" s="123">
        <f>+B27*$B$25+C27*$C$25+E27*$E$25+D27*$D$25</f>
        <v>98.701673183004743</v>
      </c>
      <c r="K27" s="7"/>
      <c r="L27"/>
      <c r="M27"/>
      <c r="N27"/>
      <c r="O27"/>
    </row>
    <row r="28" spans="1:15" s="4" customFormat="1" x14ac:dyDescent="0.35">
      <c r="A28" s="122" t="s">
        <v>290</v>
      </c>
      <c r="B28" s="25">
        <f>VLOOKUP(A28,$A$11:$C$14,3,0)</f>
        <v>100</v>
      </c>
      <c r="C28" s="25">
        <f>VLOOKUP(A28,$A$18:$C$21,3,0)</f>
        <v>99.848714069592489</v>
      </c>
      <c r="D28" s="25">
        <f>VLOOKUP(A28,$F$11:$J$14,5,0)</f>
        <v>83.959714397531855</v>
      </c>
      <c r="E28" s="25">
        <f>VLOOKUP(A28,$F$18:$J$21,5,0)</f>
        <v>85.045716462688702</v>
      </c>
      <c r="F28" s="123">
        <f>+B28*$B$25+C28*$C$25+E28*$E$25+D28*$D$25</f>
        <v>92.166800425715792</v>
      </c>
      <c r="K28" s="7"/>
      <c r="L28"/>
      <c r="M28"/>
      <c r="N28"/>
      <c r="O28"/>
    </row>
    <row r="29" spans="1:15" s="4" customFormat="1" x14ac:dyDescent="0.35">
      <c r="A29" s="10" t="s">
        <v>289</v>
      </c>
      <c r="B29" s="2">
        <f>VLOOKUP(A29,$A$11:$C$14,3,0)</f>
        <v>77.768616619257656</v>
      </c>
      <c r="C29" s="2">
        <f>VLOOKUP(A29,$A$18:$C$21,3,0)</f>
        <v>95.612708018156269</v>
      </c>
      <c r="D29" s="2">
        <f>VLOOKUP(A29,$F$11:$J$14,5,0)</f>
        <v>83.113806747188661</v>
      </c>
      <c r="E29" s="2">
        <f>VLOOKUP(A29,$F$18:$J$21,5,0)</f>
        <v>100</v>
      </c>
      <c r="F29" s="123">
        <f>+B29*$B$25+C29*$C$25+E29*$E$25+D29*$D$25</f>
        <v>87.387268613565155</v>
      </c>
      <c r="K29" s="7"/>
      <c r="L29"/>
      <c r="M29"/>
      <c r="N29"/>
      <c r="O29"/>
    </row>
    <row r="30" spans="1:15" s="4" customFormat="1" x14ac:dyDescent="0.35">
      <c r="A30" s="10" t="s">
        <v>403</v>
      </c>
      <c r="B30" s="2">
        <f>VLOOKUP(A30,$A$11:$C$14,3,0)</f>
        <v>58.996715724670537</v>
      </c>
      <c r="C30" s="2">
        <f>VLOOKUP(A30,$A$18:$C$21,3,0)</f>
        <v>86.989409984876303</v>
      </c>
      <c r="D30" s="2">
        <f>VLOOKUP(A30,$F$11:$J$14,5,0)</f>
        <v>78.948753102505464</v>
      </c>
      <c r="E30" s="2">
        <f>VLOOKUP(A30,$F$18:$J$21,5,0)</f>
        <v>94.578313253012041</v>
      </c>
      <c r="F30" s="123">
        <f>+B30*$B$25+C30*$C$25+E30*$E$25+D30*$D$25</f>
        <v>77.697185295730463</v>
      </c>
      <c r="K30" s="7"/>
      <c r="L30"/>
      <c r="M30"/>
      <c r="N30"/>
      <c r="O30"/>
    </row>
  </sheetData>
  <sortState xmlns:xlrd2="http://schemas.microsoft.com/office/spreadsheetml/2017/richdata2" ref="A27:F30">
    <sortCondition descending="1" ref="F27:F30"/>
  </sortState>
  <mergeCells count="4">
    <mergeCell ref="B9:C9"/>
    <mergeCell ref="G9:J9"/>
    <mergeCell ref="B16:C16"/>
    <mergeCell ref="G16:J16"/>
  </mergeCells>
  <conditionalFormatting sqref="F27:F3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C50B3-5B7B-4C60-85BB-A42407E843E0}">
  <sheetPr>
    <tabColor theme="9" tint="0.79998168889431442"/>
  </sheetPr>
  <dimension ref="A1:O28"/>
  <sheetViews>
    <sheetView showGridLines="0" zoomScale="70" zoomScaleNormal="70" workbookViewId="0">
      <selection activeCell="M21" sqref="M21"/>
    </sheetView>
  </sheetViews>
  <sheetFormatPr defaultColWidth="9.08984375" defaultRowHeight="14.5" x14ac:dyDescent="0.35"/>
  <cols>
    <col min="1" max="1" width="32.36328125" style="4" bestFit="1" customWidth="1"/>
    <col min="2" max="2" width="11.90625" bestFit="1" customWidth="1"/>
    <col min="3" max="3" width="11" bestFit="1" customWidth="1"/>
    <col min="4" max="4" width="5.54296875" bestFit="1" customWidth="1"/>
    <col min="5" max="5" width="10.08984375" bestFit="1" customWidth="1"/>
    <col min="6" max="6" width="28.54296875" style="4" bestFit="1" customWidth="1"/>
    <col min="7" max="7" width="11.453125" style="4" bestFit="1" customWidth="1"/>
    <col min="8" max="8" width="5.54296875" style="4" bestFit="1" customWidth="1"/>
    <col min="9" max="9" width="6.54296875" style="4" bestFit="1" customWidth="1"/>
    <col min="10" max="10" width="6" style="4" bestFit="1" customWidth="1"/>
    <col min="11" max="11" width="6.54296875" style="7" bestFit="1" customWidth="1"/>
    <col min="12" max="12" width="11.08984375" bestFit="1" customWidth="1"/>
    <col min="13" max="13" width="12.90625" bestFit="1" customWidth="1"/>
    <col min="14" max="14" width="11.08984375" bestFit="1" customWidth="1"/>
    <col min="15" max="15" width="10.08984375" bestFit="1" customWidth="1"/>
  </cols>
  <sheetData>
    <row r="1" spans="1:13" x14ac:dyDescent="0.35">
      <c r="A1" s="1" t="s">
        <v>225</v>
      </c>
    </row>
    <row r="2" spans="1:13" x14ac:dyDescent="0.35">
      <c r="A2" s="1" t="s">
        <v>471</v>
      </c>
    </row>
    <row r="3" spans="1:13" x14ac:dyDescent="0.35">
      <c r="A3" s="1" t="s">
        <v>29</v>
      </c>
    </row>
    <row r="4" spans="1:13" x14ac:dyDescent="0.35">
      <c r="A4" s="23" t="s">
        <v>226</v>
      </c>
    </row>
    <row r="5" spans="1:13" x14ac:dyDescent="0.35">
      <c r="A5" s="8" t="s">
        <v>488</v>
      </c>
    </row>
    <row r="9" spans="1:13" x14ac:dyDescent="0.35">
      <c r="A9" s="1" t="s">
        <v>454</v>
      </c>
      <c r="B9" s="594" t="s">
        <v>455</v>
      </c>
      <c r="C9" s="594"/>
      <c r="F9" s="1" t="s">
        <v>456</v>
      </c>
      <c r="G9" s="595" t="s">
        <v>457</v>
      </c>
      <c r="H9" s="595"/>
      <c r="I9" s="595"/>
      <c r="J9" s="595"/>
      <c r="L9" s="1"/>
      <c r="M9" s="1"/>
    </row>
    <row r="10" spans="1:13" x14ac:dyDescent="0.35">
      <c r="A10" s="9" t="s">
        <v>458</v>
      </c>
      <c r="B10" s="9" t="s">
        <v>340</v>
      </c>
      <c r="C10" s="9" t="s">
        <v>459</v>
      </c>
      <c r="F10" s="9" t="s">
        <v>458</v>
      </c>
      <c r="G10" s="9" t="s">
        <v>340</v>
      </c>
      <c r="H10" s="22" t="s">
        <v>460</v>
      </c>
      <c r="I10" s="9" t="s">
        <v>456</v>
      </c>
      <c r="J10" s="22" t="s">
        <v>459</v>
      </c>
    </row>
    <row r="11" spans="1:13" x14ac:dyDescent="0.35">
      <c r="A11" s="10" t="s">
        <v>404</v>
      </c>
      <c r="B11" s="2">
        <v>1202.1300000000001</v>
      </c>
      <c r="C11" s="2">
        <f>+B11/(MAX($B$11:$B$13))*100</f>
        <v>87.632217759278035</v>
      </c>
      <c r="F11" s="10" t="s">
        <v>404</v>
      </c>
      <c r="G11" s="11">
        <v>0.21</v>
      </c>
      <c r="H11" s="2">
        <v>800</v>
      </c>
      <c r="I11" s="12">
        <f>H11/G11</f>
        <v>3809.5238095238096</v>
      </c>
      <c r="J11" s="2">
        <f>(MIN($I$11:$I$13))/I11*100</f>
        <v>61.250000000000007</v>
      </c>
    </row>
    <row r="12" spans="1:13" x14ac:dyDescent="0.35">
      <c r="A12" s="10" t="s">
        <v>292</v>
      </c>
      <c r="B12" s="2">
        <v>1371.79</v>
      </c>
      <c r="C12" s="2">
        <f>+B12/(MAX($B$11:$B$13))*100</f>
        <v>100</v>
      </c>
      <c r="F12" s="10" t="s">
        <v>292</v>
      </c>
      <c r="G12" s="11">
        <v>0.25</v>
      </c>
      <c r="H12" s="2">
        <v>1000</v>
      </c>
      <c r="I12" s="12">
        <f t="shared" ref="I12:I13" si="0">H12/G12</f>
        <v>4000</v>
      </c>
      <c r="J12" s="2">
        <f>(MIN($I$11:$I$13))/I12*100</f>
        <v>58.333333333333336</v>
      </c>
    </row>
    <row r="13" spans="1:13" x14ac:dyDescent="0.35">
      <c r="A13" s="10" t="s">
        <v>291</v>
      </c>
      <c r="B13" s="2">
        <v>803.93</v>
      </c>
      <c r="C13" s="2">
        <f>+B13/(MAX($B$11:$B$13))*100</f>
        <v>58.604451118611443</v>
      </c>
      <c r="F13" s="10" t="s">
        <v>291</v>
      </c>
      <c r="G13" s="11">
        <v>0.12</v>
      </c>
      <c r="H13" s="2">
        <v>280</v>
      </c>
      <c r="I13" s="12">
        <f t="shared" si="0"/>
        <v>2333.3333333333335</v>
      </c>
      <c r="J13" s="2">
        <f>(MIN($I$11:$I$13))/I13*100</f>
        <v>100</v>
      </c>
    </row>
    <row r="15" spans="1:13" x14ac:dyDescent="0.35">
      <c r="A15" s="1" t="s">
        <v>462</v>
      </c>
      <c r="B15" s="596" t="s">
        <v>463</v>
      </c>
      <c r="C15" s="597"/>
      <c r="F15" s="1"/>
      <c r="G15" s="595" t="s">
        <v>464</v>
      </c>
      <c r="H15" s="595"/>
      <c r="I15" s="595"/>
      <c r="J15" s="595"/>
    </row>
    <row r="16" spans="1:13" x14ac:dyDescent="0.35">
      <c r="A16" s="9" t="s">
        <v>458</v>
      </c>
      <c r="B16" s="9" t="s">
        <v>340</v>
      </c>
      <c r="C16" s="22" t="s">
        <v>459</v>
      </c>
      <c r="F16" s="9" t="s">
        <v>227</v>
      </c>
      <c r="G16" s="9" t="s">
        <v>340</v>
      </c>
      <c r="H16" s="22" t="s">
        <v>465</v>
      </c>
      <c r="I16" s="22" t="s">
        <v>466</v>
      </c>
      <c r="J16" s="22" t="s">
        <v>459</v>
      </c>
    </row>
    <row r="17" spans="1:15" x14ac:dyDescent="0.35">
      <c r="A17" s="10" t="s">
        <v>404</v>
      </c>
      <c r="B17" s="129">
        <v>5.3009259259259997E-3</v>
      </c>
      <c r="C17" s="2">
        <f>+B17/(MAX($B$17:$B$19))*100</f>
        <v>90.157480314956203</v>
      </c>
      <c r="F17" s="10" t="s">
        <v>404</v>
      </c>
      <c r="G17" s="11">
        <v>1.17</v>
      </c>
      <c r="H17" s="11">
        <v>1.04</v>
      </c>
      <c r="I17" s="12">
        <f>G17/H17*100</f>
        <v>112.5</v>
      </c>
      <c r="J17" s="2">
        <f>+I17/(MAX($I$17:$I$19))*100</f>
        <v>84.771126760563376</v>
      </c>
    </row>
    <row r="18" spans="1:15" x14ac:dyDescent="0.35">
      <c r="A18" s="10" t="s">
        <v>292</v>
      </c>
      <c r="B18" s="129">
        <v>5.87962962963E-3</v>
      </c>
      <c r="C18" s="2">
        <f>+B18/(MAX($B$17:$B$19))*100</f>
        <v>100</v>
      </c>
      <c r="F18" s="10" t="s">
        <v>292</v>
      </c>
      <c r="G18" s="11">
        <v>1.42</v>
      </c>
      <c r="H18" s="11">
        <v>1.07</v>
      </c>
      <c r="I18" s="12">
        <f>G18/H18*100</f>
        <v>132.71028037383178</v>
      </c>
      <c r="J18" s="2">
        <f>+I18/(MAX($I$17:$I$19))*100</f>
        <v>100</v>
      </c>
    </row>
    <row r="19" spans="1:15" x14ac:dyDescent="0.35">
      <c r="A19" s="10" t="s">
        <v>291</v>
      </c>
      <c r="B19" s="129">
        <v>5.0115740740739999E-3</v>
      </c>
      <c r="C19" s="2">
        <f>+B19/(MAX($B$17:$B$19))*100</f>
        <v>85.236220472434312</v>
      </c>
      <c r="F19" s="10" t="s">
        <v>291</v>
      </c>
      <c r="G19" s="11">
        <v>0.66</v>
      </c>
      <c r="H19" s="11">
        <v>0.73</v>
      </c>
      <c r="I19" s="12">
        <f t="shared" ref="I19" si="1">G19/H19*100</f>
        <v>90.410958904109592</v>
      </c>
      <c r="J19" s="2">
        <f>+I19/(MAX($I$17:$I$19))*100</f>
        <v>68.126567624927645</v>
      </c>
    </row>
    <row r="22" spans="1:15" x14ac:dyDescent="0.35">
      <c r="A22" s="9" t="s">
        <v>340</v>
      </c>
    </row>
    <row r="23" spans="1:15" s="4" customFormat="1" x14ac:dyDescent="0.35">
      <c r="A23" s="9" t="s">
        <v>467</v>
      </c>
      <c r="B23" s="22">
        <v>0.3</v>
      </c>
      <c r="C23" s="22">
        <v>0.2</v>
      </c>
      <c r="D23" s="22">
        <v>0.3</v>
      </c>
      <c r="E23" s="22">
        <v>0.2</v>
      </c>
      <c r="K23" s="7"/>
    </row>
    <row r="24" spans="1:15" s="4" customFormat="1" x14ac:dyDescent="0.35">
      <c r="A24" s="9" t="s">
        <v>458</v>
      </c>
      <c r="B24" s="22" t="s">
        <v>36</v>
      </c>
      <c r="C24" s="22" t="s">
        <v>468</v>
      </c>
      <c r="D24" s="22" t="s">
        <v>456</v>
      </c>
      <c r="E24" s="22" t="s">
        <v>469</v>
      </c>
      <c r="F24" s="22" t="s">
        <v>470</v>
      </c>
      <c r="K24" s="7"/>
    </row>
    <row r="25" spans="1:15" s="4" customFormat="1" x14ac:dyDescent="0.35">
      <c r="A25" s="10" t="s">
        <v>292</v>
      </c>
      <c r="B25" s="2">
        <f>VLOOKUP(A25,$A$11:$C$13,3,0)</f>
        <v>100</v>
      </c>
      <c r="C25" s="2">
        <f>VLOOKUP(A25,$A$17:$C$19,3,0)</f>
        <v>100</v>
      </c>
      <c r="D25" s="2">
        <f>VLOOKUP(A25,$F$11:$J$13,5,0)</f>
        <v>58.333333333333336</v>
      </c>
      <c r="E25" s="2">
        <f>VLOOKUP(A25,$F$17:$J$19,5,0)</f>
        <v>100</v>
      </c>
      <c r="F25" s="26">
        <f>+B25*$B$23+C25*$C$23+E25*$E$23+D25*$D$23</f>
        <v>87.5</v>
      </c>
      <c r="K25" s="7"/>
      <c r="L25"/>
      <c r="M25"/>
      <c r="N25"/>
      <c r="O25"/>
    </row>
    <row r="26" spans="1:15" s="4" customFormat="1" x14ac:dyDescent="0.35">
      <c r="A26" s="122" t="s">
        <v>404</v>
      </c>
      <c r="B26" s="25">
        <f>VLOOKUP(A26,$A$11:$C$13,3,0)</f>
        <v>87.632217759278035</v>
      </c>
      <c r="C26" s="25">
        <f>VLOOKUP(A26,$A$17:$C$19,3,0)</f>
        <v>90.157480314956203</v>
      </c>
      <c r="D26" s="25">
        <f>VLOOKUP(A26,$F$11:$J$13,5,0)</f>
        <v>61.250000000000007</v>
      </c>
      <c r="E26" s="25">
        <f>VLOOKUP(A26,$F$17:$J$19,5,0)</f>
        <v>84.771126760563376</v>
      </c>
      <c r="F26" s="26">
        <f>+B26*$B$23+C26*$C$23+E26*$E$23+D26*$D$23</f>
        <v>79.650386742887321</v>
      </c>
      <c r="K26" s="7"/>
      <c r="L26"/>
      <c r="M26"/>
      <c r="N26"/>
      <c r="O26"/>
    </row>
    <row r="27" spans="1:15" s="4" customFormat="1" ht="15" customHeight="1" x14ac:dyDescent="0.35">
      <c r="A27" s="10" t="s">
        <v>291</v>
      </c>
      <c r="B27" s="2">
        <f>VLOOKUP(A27,$A$11:$C$13,3,0)</f>
        <v>58.604451118611443</v>
      </c>
      <c r="C27" s="2">
        <f>VLOOKUP(A27,$A$17:$C$19,3,0)</f>
        <v>85.236220472434312</v>
      </c>
      <c r="D27" s="2">
        <f>VLOOKUP(A27,$F$11:$J$13,5,0)</f>
        <v>100</v>
      </c>
      <c r="E27" s="2">
        <f>VLOOKUP(A27,$F$17:$J$19,5,0)</f>
        <v>68.126567624927645</v>
      </c>
      <c r="F27" s="26">
        <f>+B27*$B$23+C27*$C$23+E27*$E$23+D27*$D$23</f>
        <v>78.253892955055818</v>
      </c>
      <c r="G27" s="124"/>
      <c r="K27" s="7"/>
      <c r="L27"/>
      <c r="M27"/>
      <c r="N27"/>
      <c r="O27"/>
    </row>
    <row r="28" spans="1:15" ht="15" customHeight="1" x14ac:dyDescent="0.35"/>
  </sheetData>
  <sortState xmlns:xlrd2="http://schemas.microsoft.com/office/spreadsheetml/2017/richdata2" ref="A24:F27">
    <sortCondition descending="1" ref="F25:F27"/>
  </sortState>
  <mergeCells count="4">
    <mergeCell ref="B9:C9"/>
    <mergeCell ref="G9:J9"/>
    <mergeCell ref="B15:C15"/>
    <mergeCell ref="G15:J15"/>
  </mergeCells>
  <conditionalFormatting sqref="F25:F27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25C47-2029-437B-98CA-2CA03845B542}">
  <sheetPr>
    <tabColor theme="9" tint="0.79998168889431442"/>
  </sheetPr>
  <dimension ref="A1:O36"/>
  <sheetViews>
    <sheetView showGridLines="0" zoomScale="70" zoomScaleNormal="70" workbookViewId="0">
      <selection activeCell="M21" sqref="M21"/>
    </sheetView>
  </sheetViews>
  <sheetFormatPr defaultColWidth="9.08984375" defaultRowHeight="14.5" x14ac:dyDescent="0.35"/>
  <cols>
    <col min="1" max="1" width="32.36328125" style="4" bestFit="1" customWidth="1"/>
    <col min="2" max="2" width="12.453125" bestFit="1" customWidth="1"/>
    <col min="3" max="3" width="11" bestFit="1" customWidth="1"/>
    <col min="4" max="4" width="5.54296875" bestFit="1" customWidth="1"/>
    <col min="5" max="5" width="10.08984375" bestFit="1" customWidth="1"/>
    <col min="6" max="6" width="28.54296875" style="4" bestFit="1" customWidth="1"/>
    <col min="7" max="7" width="11.453125" style="4" bestFit="1" customWidth="1"/>
    <col min="8" max="8" width="5.54296875" style="4" bestFit="1" customWidth="1"/>
    <col min="9" max="9" width="7" style="4" bestFit="1" customWidth="1"/>
    <col min="10" max="10" width="6" style="4" bestFit="1" customWidth="1"/>
    <col min="11" max="11" width="6.54296875" style="7" bestFit="1" customWidth="1"/>
    <col min="12" max="12" width="11.08984375" bestFit="1" customWidth="1"/>
    <col min="13" max="13" width="12.90625" bestFit="1" customWidth="1"/>
    <col min="14" max="14" width="11.08984375" bestFit="1" customWidth="1"/>
    <col min="15" max="15" width="10.08984375" bestFit="1" customWidth="1"/>
  </cols>
  <sheetData>
    <row r="1" spans="1:13" x14ac:dyDescent="0.35">
      <c r="A1" s="1" t="s">
        <v>225</v>
      </c>
    </row>
    <row r="2" spans="1:13" x14ac:dyDescent="0.35">
      <c r="A2" s="1" t="s">
        <v>471</v>
      </c>
    </row>
    <row r="3" spans="1:13" x14ac:dyDescent="0.35">
      <c r="A3" s="1" t="s">
        <v>29</v>
      </c>
    </row>
    <row r="4" spans="1:13" x14ac:dyDescent="0.35">
      <c r="A4" s="23" t="s">
        <v>226</v>
      </c>
    </row>
    <row r="5" spans="1:13" x14ac:dyDescent="0.35">
      <c r="A5" s="8" t="s">
        <v>488</v>
      </c>
    </row>
    <row r="9" spans="1:13" x14ac:dyDescent="0.35">
      <c r="A9" s="1" t="s">
        <v>454</v>
      </c>
      <c r="B9" s="594" t="s">
        <v>455</v>
      </c>
      <c r="C9" s="594"/>
      <c r="F9" s="1" t="s">
        <v>456</v>
      </c>
      <c r="G9" s="595" t="s">
        <v>457</v>
      </c>
      <c r="H9" s="595"/>
      <c r="I9" s="595"/>
      <c r="J9" s="595"/>
      <c r="L9" s="1"/>
      <c r="M9" s="1"/>
    </row>
    <row r="10" spans="1:13" x14ac:dyDescent="0.35">
      <c r="A10" s="9" t="s">
        <v>458</v>
      </c>
      <c r="B10" s="9" t="s">
        <v>340</v>
      </c>
      <c r="C10" s="9" t="s">
        <v>459</v>
      </c>
      <c r="F10" s="9" t="s">
        <v>458</v>
      </c>
      <c r="G10" s="9" t="s">
        <v>340</v>
      </c>
      <c r="H10" s="22" t="s">
        <v>460</v>
      </c>
      <c r="I10" s="22" t="s">
        <v>456</v>
      </c>
      <c r="J10" s="22" t="s">
        <v>459</v>
      </c>
    </row>
    <row r="11" spans="1:13" x14ac:dyDescent="0.35">
      <c r="A11" s="10" t="s">
        <v>293</v>
      </c>
      <c r="B11" s="70">
        <v>381.72</v>
      </c>
      <c r="C11" s="2">
        <f t="shared" ref="C11:C16" si="0">+B11/(MAX($B$11:$B$16))*100</f>
        <v>100</v>
      </c>
      <c r="F11" s="10" t="s">
        <v>293</v>
      </c>
      <c r="G11" s="72">
        <v>0.86</v>
      </c>
      <c r="H11" s="2">
        <v>660.08465116279069</v>
      </c>
      <c r="I11" s="12">
        <f>H11</f>
        <v>660.08465116279069</v>
      </c>
      <c r="J11" s="2">
        <f t="shared" ref="J11:J16" si="1">(MIN($I$11:$I$16))/I11*100</f>
        <v>8.0835017829092592</v>
      </c>
    </row>
    <row r="12" spans="1:13" x14ac:dyDescent="0.35">
      <c r="A12" s="10" t="s">
        <v>406</v>
      </c>
      <c r="B12" s="70">
        <v>231.88</v>
      </c>
      <c r="C12" s="2">
        <f t="shared" si="0"/>
        <v>60.74609661532012</v>
      </c>
      <c r="F12" s="10" t="s">
        <v>406</v>
      </c>
      <c r="G12" s="72">
        <v>0.06</v>
      </c>
      <c r="H12" s="2">
        <v>345</v>
      </c>
      <c r="I12" s="12">
        <f t="shared" ref="I12:I16" si="2">H12</f>
        <v>345</v>
      </c>
      <c r="J12" s="2">
        <f t="shared" si="1"/>
        <v>15.466073781291175</v>
      </c>
    </row>
    <row r="13" spans="1:13" x14ac:dyDescent="0.35">
      <c r="A13" s="10" t="s">
        <v>407</v>
      </c>
      <c r="B13" s="70">
        <v>325.57</v>
      </c>
      <c r="C13" s="2">
        <f t="shared" si="0"/>
        <v>85.290265115791669</v>
      </c>
      <c r="F13" s="10" t="s">
        <v>407</v>
      </c>
      <c r="G13" s="72">
        <v>0.15</v>
      </c>
      <c r="H13" s="2">
        <v>400</v>
      </c>
      <c r="I13" s="12">
        <f t="shared" si="2"/>
        <v>400</v>
      </c>
      <c r="J13" s="2">
        <f t="shared" si="1"/>
        <v>13.339488636363638</v>
      </c>
    </row>
    <row r="14" spans="1:13" x14ac:dyDescent="0.35">
      <c r="A14" s="10" t="s">
        <v>489</v>
      </c>
      <c r="B14" s="70">
        <v>173.26</v>
      </c>
      <c r="C14" s="2">
        <f t="shared" si="0"/>
        <v>45.389290579482342</v>
      </c>
      <c r="F14" s="10" t="s">
        <v>489</v>
      </c>
      <c r="G14" s="72">
        <v>0.01</v>
      </c>
      <c r="H14" s="2">
        <v>53.357954545454554</v>
      </c>
      <c r="I14" s="12">
        <f t="shared" si="2"/>
        <v>53.357954545454554</v>
      </c>
      <c r="J14" s="2">
        <f t="shared" si="1"/>
        <v>100</v>
      </c>
    </row>
    <row r="15" spans="1:13" x14ac:dyDescent="0.35">
      <c r="A15" s="10" t="s">
        <v>405</v>
      </c>
      <c r="B15" s="70">
        <v>251.05</v>
      </c>
      <c r="C15" s="2">
        <f t="shared" si="0"/>
        <v>65.768102273918046</v>
      </c>
      <c r="F15" s="10" t="s">
        <v>405</v>
      </c>
      <c r="G15" s="72">
        <v>0.43</v>
      </c>
      <c r="H15" s="2">
        <v>712.63392857142856</v>
      </c>
      <c r="I15" s="12">
        <f t="shared" si="2"/>
        <v>712.63392857142856</v>
      </c>
      <c r="J15" s="2">
        <f t="shared" si="1"/>
        <v>7.4874283143405496</v>
      </c>
    </row>
    <row r="16" spans="1:13" x14ac:dyDescent="0.35">
      <c r="A16" s="10" t="s">
        <v>408</v>
      </c>
      <c r="B16" s="70">
        <v>181.02</v>
      </c>
      <c r="C16" s="2">
        <f t="shared" si="0"/>
        <v>47.422194278528764</v>
      </c>
      <c r="F16" s="10" t="s">
        <v>408</v>
      </c>
      <c r="G16" s="72">
        <v>0.02</v>
      </c>
      <c r="H16" s="2">
        <v>341.1804347826087</v>
      </c>
      <c r="I16" s="12">
        <f t="shared" si="2"/>
        <v>341.1804347826087</v>
      </c>
      <c r="J16" s="2">
        <f t="shared" si="1"/>
        <v>15.639218755158939</v>
      </c>
    </row>
    <row r="18" spans="1:15" x14ac:dyDescent="0.35">
      <c r="A18" s="1" t="s">
        <v>462</v>
      </c>
      <c r="B18" s="596" t="s">
        <v>463</v>
      </c>
      <c r="C18" s="597"/>
      <c r="F18" s="1"/>
      <c r="G18" s="595" t="s">
        <v>464</v>
      </c>
      <c r="H18" s="595"/>
      <c r="I18" s="595"/>
      <c r="J18" s="595"/>
    </row>
    <row r="19" spans="1:15" x14ac:dyDescent="0.35">
      <c r="A19" s="9" t="s">
        <v>458</v>
      </c>
      <c r="B19" s="9" t="s">
        <v>340</v>
      </c>
      <c r="C19" s="22" t="s">
        <v>459</v>
      </c>
      <c r="F19" s="9" t="s">
        <v>227</v>
      </c>
      <c r="G19" s="9" t="s">
        <v>340</v>
      </c>
      <c r="H19" s="22" t="s">
        <v>465</v>
      </c>
      <c r="I19" s="22" t="s">
        <v>466</v>
      </c>
      <c r="J19" s="22" t="s">
        <v>459</v>
      </c>
    </row>
    <row r="20" spans="1:15" x14ac:dyDescent="0.35">
      <c r="A20" s="10" t="s">
        <v>293</v>
      </c>
      <c r="B20" s="129">
        <v>1.4085648148148E-2</v>
      </c>
      <c r="C20" s="2">
        <f t="shared" ref="C20:C25" si="3">+B20/(MAX($B$20:$B$25))*100</f>
        <v>100</v>
      </c>
      <c r="F20" s="10" t="s">
        <v>293</v>
      </c>
      <c r="G20" s="72">
        <v>4.88</v>
      </c>
      <c r="H20" s="91">
        <v>3.69</v>
      </c>
      <c r="I20" s="12">
        <f>G20/H20*100</f>
        <v>132.24932249322495</v>
      </c>
      <c r="J20" s="2">
        <f t="shared" ref="J20:J25" si="4">+I20/(MAX($I$20:$I$25))*100</f>
        <v>85.478220635864915</v>
      </c>
    </row>
    <row r="21" spans="1:15" x14ac:dyDescent="0.35">
      <c r="A21" s="10" t="s">
        <v>406</v>
      </c>
      <c r="B21" s="129">
        <v>8.8773148148149992E-3</v>
      </c>
      <c r="C21" s="2">
        <f t="shared" si="3"/>
        <v>63.02382908792309</v>
      </c>
      <c r="F21" s="10" t="s">
        <v>406</v>
      </c>
      <c r="G21" s="72">
        <v>0.34</v>
      </c>
      <c r="H21" s="91">
        <v>0.25</v>
      </c>
      <c r="I21" s="12">
        <f>G21/H21*100</f>
        <v>136</v>
      </c>
      <c r="J21" s="2">
        <f t="shared" si="4"/>
        <v>87.902439024390262</v>
      </c>
    </row>
    <row r="22" spans="1:15" x14ac:dyDescent="0.35">
      <c r="A22" s="10" t="s">
        <v>407</v>
      </c>
      <c r="B22" s="129">
        <v>8.4722222222219992E-3</v>
      </c>
      <c r="C22" s="2">
        <f t="shared" si="3"/>
        <v>60.147904683647369</v>
      </c>
      <c r="F22" s="10" t="s">
        <v>407</v>
      </c>
      <c r="G22" s="72">
        <v>0.85</v>
      </c>
      <c r="H22" s="91">
        <v>0.64</v>
      </c>
      <c r="I22" s="12">
        <f t="shared" ref="I22:I24" si="5">G22/H22*100</f>
        <v>132.8125</v>
      </c>
      <c r="J22" s="2">
        <f t="shared" si="4"/>
        <v>85.842225609756113</v>
      </c>
    </row>
    <row r="23" spans="1:15" x14ac:dyDescent="0.35">
      <c r="A23" s="10" t="s">
        <v>489</v>
      </c>
      <c r="B23" s="129">
        <v>4.7685185185189997E-3</v>
      </c>
      <c r="C23" s="2">
        <f t="shared" si="3"/>
        <v>33.853738701729327</v>
      </c>
      <c r="F23" s="10" t="s">
        <v>489</v>
      </c>
      <c r="G23" s="72">
        <v>0.06</v>
      </c>
      <c r="H23" s="91">
        <v>0.04</v>
      </c>
      <c r="I23" s="12">
        <f t="shared" si="5"/>
        <v>150</v>
      </c>
      <c r="J23" s="2">
        <f t="shared" si="4"/>
        <v>96.951219512195124</v>
      </c>
    </row>
    <row r="24" spans="1:15" x14ac:dyDescent="0.35">
      <c r="A24" s="10" t="s">
        <v>405</v>
      </c>
      <c r="B24" s="129">
        <v>1.2673611111111E-2</v>
      </c>
      <c r="C24" s="2">
        <f t="shared" si="3"/>
        <v>89.975349219392115</v>
      </c>
      <c r="F24" s="10" t="s">
        <v>405</v>
      </c>
      <c r="G24" s="72">
        <v>2.46</v>
      </c>
      <c r="H24" s="91">
        <v>1.59</v>
      </c>
      <c r="I24" s="12">
        <f t="shared" si="5"/>
        <v>154.71698113207546</v>
      </c>
      <c r="J24" s="2">
        <f t="shared" si="4"/>
        <v>100</v>
      </c>
    </row>
    <row r="25" spans="1:15" x14ac:dyDescent="0.35">
      <c r="A25" s="10" t="s">
        <v>408</v>
      </c>
      <c r="B25" s="129">
        <v>6.7361111111110001E-3</v>
      </c>
      <c r="C25" s="2">
        <f t="shared" si="3"/>
        <v>47.822514379621737</v>
      </c>
      <c r="F25" s="10" t="s">
        <v>408</v>
      </c>
      <c r="G25" s="72">
        <v>0.1</v>
      </c>
      <c r="H25" s="91">
        <v>0.11</v>
      </c>
      <c r="I25" s="12">
        <f>G25/H25*100</f>
        <v>90.909090909090921</v>
      </c>
      <c r="J25" s="2">
        <f t="shared" si="4"/>
        <v>58.758314855875845</v>
      </c>
    </row>
    <row r="28" spans="1:15" x14ac:dyDescent="0.35">
      <c r="A28" s="9" t="s">
        <v>340</v>
      </c>
    </row>
    <row r="29" spans="1:15" s="4" customFormat="1" x14ac:dyDescent="0.35">
      <c r="A29" s="9" t="s">
        <v>467</v>
      </c>
      <c r="B29" s="22">
        <v>0.3</v>
      </c>
      <c r="C29" s="22">
        <v>0.2</v>
      </c>
      <c r="D29" s="22">
        <v>0.3</v>
      </c>
      <c r="E29" s="22">
        <v>0.2</v>
      </c>
      <c r="K29" s="7"/>
    </row>
    <row r="30" spans="1:15" s="4" customFormat="1" x14ac:dyDescent="0.35">
      <c r="A30" s="9" t="s">
        <v>458</v>
      </c>
      <c r="B30" s="22" t="s">
        <v>36</v>
      </c>
      <c r="C30" s="22" t="s">
        <v>468</v>
      </c>
      <c r="D30" s="22" t="s">
        <v>460</v>
      </c>
      <c r="E30" s="22" t="s">
        <v>469</v>
      </c>
      <c r="F30" s="22" t="s">
        <v>470</v>
      </c>
      <c r="K30" s="7"/>
    </row>
    <row r="31" spans="1:15" s="4" customFormat="1" x14ac:dyDescent="0.35">
      <c r="A31" s="10" t="s">
        <v>489</v>
      </c>
      <c r="B31" s="2">
        <f t="shared" ref="B31:B36" si="6">VLOOKUP(A31,$A$11:$C$16,3,0)</f>
        <v>45.389290579482342</v>
      </c>
      <c r="C31" s="2">
        <f t="shared" ref="C31:C36" si="7">VLOOKUP(A31,$A$20:$C$25,3,0)</f>
        <v>33.853738701729327</v>
      </c>
      <c r="D31" s="2">
        <f t="shared" ref="D31:D36" si="8">VLOOKUP(A31,$F$11:$J$16,5,0)</f>
        <v>100</v>
      </c>
      <c r="E31" s="2">
        <f t="shared" ref="E31:E36" si="9">VLOOKUP(A31,$F$20:$J$25,5,0)</f>
        <v>96.951219512195124</v>
      </c>
      <c r="F31" s="26">
        <f t="shared" ref="F31:F36" si="10">+B31*$B$29+C31*$C$29+E31*$E$29+D31*$D$29</f>
        <v>69.777778816629592</v>
      </c>
      <c r="K31" s="7"/>
      <c r="L31"/>
      <c r="M31"/>
      <c r="N31"/>
      <c r="O31"/>
    </row>
    <row r="32" spans="1:15" s="4" customFormat="1" x14ac:dyDescent="0.35">
      <c r="A32" s="122" t="s">
        <v>293</v>
      </c>
      <c r="B32" s="25">
        <f t="shared" si="6"/>
        <v>100</v>
      </c>
      <c r="C32" s="25">
        <f t="shared" si="7"/>
        <v>100</v>
      </c>
      <c r="D32" s="25">
        <f t="shared" si="8"/>
        <v>8.0835017829092592</v>
      </c>
      <c r="E32" s="25">
        <f t="shared" si="9"/>
        <v>85.478220635864915</v>
      </c>
      <c r="F32" s="26">
        <f t="shared" si="10"/>
        <v>69.52069466204577</v>
      </c>
      <c r="K32" s="7"/>
      <c r="L32"/>
      <c r="M32"/>
      <c r="N32"/>
      <c r="O32"/>
    </row>
    <row r="33" spans="1:15" s="4" customFormat="1" x14ac:dyDescent="0.35">
      <c r="A33" s="122" t="s">
        <v>405</v>
      </c>
      <c r="B33" s="25">
        <f t="shared" si="6"/>
        <v>65.768102273918046</v>
      </c>
      <c r="C33" s="25">
        <f t="shared" si="7"/>
        <v>89.975349219392115</v>
      </c>
      <c r="D33" s="25">
        <f t="shared" si="8"/>
        <v>7.4874283143405496</v>
      </c>
      <c r="E33" s="25">
        <f t="shared" si="9"/>
        <v>100</v>
      </c>
      <c r="F33" s="26">
        <f t="shared" si="10"/>
        <v>59.971729020356001</v>
      </c>
      <c r="K33" s="7"/>
      <c r="L33"/>
      <c r="M33"/>
      <c r="N33"/>
      <c r="O33"/>
    </row>
    <row r="34" spans="1:15" s="4" customFormat="1" x14ac:dyDescent="0.35">
      <c r="A34" s="10" t="s">
        <v>407</v>
      </c>
      <c r="B34" s="2">
        <f t="shared" si="6"/>
        <v>85.290265115791669</v>
      </c>
      <c r="C34" s="2">
        <f t="shared" si="7"/>
        <v>60.147904683647369</v>
      </c>
      <c r="D34" s="2">
        <f t="shared" si="8"/>
        <v>13.339488636363638</v>
      </c>
      <c r="E34" s="2">
        <f t="shared" si="9"/>
        <v>85.842225609756113</v>
      </c>
      <c r="F34" s="26">
        <f t="shared" si="10"/>
        <v>58.786952184327284</v>
      </c>
      <c r="K34" s="7"/>
      <c r="L34"/>
      <c r="M34"/>
      <c r="N34"/>
      <c r="O34"/>
    </row>
    <row r="35" spans="1:15" s="4" customFormat="1" x14ac:dyDescent="0.35">
      <c r="A35" s="10" t="s">
        <v>406</v>
      </c>
      <c r="B35" s="2">
        <f t="shared" si="6"/>
        <v>60.74609661532012</v>
      </c>
      <c r="C35" s="2">
        <f t="shared" si="7"/>
        <v>63.02382908792309</v>
      </c>
      <c r="D35" s="2">
        <f t="shared" si="8"/>
        <v>15.466073781291175</v>
      </c>
      <c r="E35" s="2">
        <f t="shared" si="9"/>
        <v>87.902439024390262</v>
      </c>
      <c r="F35" s="26">
        <f t="shared" si="10"/>
        <v>53.048904741446059</v>
      </c>
      <c r="K35" s="7"/>
      <c r="L35"/>
      <c r="M35"/>
      <c r="N35"/>
      <c r="O35"/>
    </row>
    <row r="36" spans="1:15" s="4" customFormat="1" x14ac:dyDescent="0.35">
      <c r="A36" s="10" t="s">
        <v>408</v>
      </c>
      <c r="B36" s="2">
        <f t="shared" si="6"/>
        <v>47.422194278528764</v>
      </c>
      <c r="C36" s="2">
        <f t="shared" si="7"/>
        <v>47.822514379621737</v>
      </c>
      <c r="D36" s="2">
        <f t="shared" si="8"/>
        <v>15.639218755158939</v>
      </c>
      <c r="E36" s="2">
        <f t="shared" si="9"/>
        <v>58.758314855875845</v>
      </c>
      <c r="F36" s="26">
        <f t="shared" si="10"/>
        <v>40.234589757205825</v>
      </c>
      <c r="G36" s="124"/>
      <c r="K36" s="7"/>
      <c r="L36"/>
      <c r="M36"/>
      <c r="N36"/>
      <c r="O36"/>
    </row>
  </sheetData>
  <sortState xmlns:xlrd2="http://schemas.microsoft.com/office/spreadsheetml/2017/richdata2" ref="A31:F36">
    <sortCondition descending="1" ref="F31:F36"/>
  </sortState>
  <mergeCells count="4">
    <mergeCell ref="B9:C9"/>
    <mergeCell ref="G9:J9"/>
    <mergeCell ref="B18:C18"/>
    <mergeCell ref="G18:J18"/>
  </mergeCells>
  <conditionalFormatting sqref="F31:F3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9EED4-A3FE-4CBF-B303-F18AFD4F15A4}">
  <sheetPr>
    <tabColor theme="5"/>
  </sheetPr>
  <dimension ref="A1:M33"/>
  <sheetViews>
    <sheetView showGridLines="0" topLeftCell="A7" zoomScale="70" zoomScaleNormal="70" workbookViewId="0">
      <selection activeCell="M21" sqref="M21"/>
    </sheetView>
  </sheetViews>
  <sheetFormatPr defaultColWidth="9.08984375" defaultRowHeight="14.5" x14ac:dyDescent="0.35"/>
  <cols>
    <col min="1" max="1" width="32.36328125" bestFit="1" customWidth="1"/>
    <col min="2" max="2" width="12.453125" bestFit="1" customWidth="1"/>
    <col min="3" max="3" width="11" bestFit="1" customWidth="1"/>
    <col min="4" max="4" width="5.54296875" bestFit="1" customWidth="1"/>
    <col min="5" max="5" width="10.08984375" bestFit="1" customWidth="1"/>
    <col min="6" max="6" width="15.54296875" bestFit="1" customWidth="1"/>
    <col min="7" max="7" width="12.08984375" bestFit="1" customWidth="1"/>
    <col min="8" max="8" width="5.90625" bestFit="1" customWidth="1"/>
    <col min="9" max="9" width="8" bestFit="1" customWidth="1"/>
    <col min="10" max="10" width="6.36328125" bestFit="1" customWidth="1"/>
    <col min="11" max="11" width="5.90625" style="7" bestFit="1" customWidth="1"/>
    <col min="12" max="12" width="11.08984375" bestFit="1" customWidth="1"/>
    <col min="13" max="13" width="12.90625" bestFit="1" customWidth="1"/>
    <col min="14" max="14" width="11.08984375" bestFit="1" customWidth="1"/>
    <col min="15" max="15" width="10.08984375" bestFit="1" customWidth="1"/>
  </cols>
  <sheetData>
    <row r="1" spans="1:13" x14ac:dyDescent="0.35">
      <c r="A1" s="1" t="s">
        <v>225</v>
      </c>
    </row>
    <row r="2" spans="1:13" x14ac:dyDescent="0.35">
      <c r="A2" s="1" t="s">
        <v>471</v>
      </c>
    </row>
    <row r="3" spans="1:13" x14ac:dyDescent="0.35">
      <c r="A3" s="1" t="s">
        <v>29</v>
      </c>
    </row>
    <row r="4" spans="1:13" x14ac:dyDescent="0.35">
      <c r="A4" s="23" t="s">
        <v>226</v>
      </c>
    </row>
    <row r="5" spans="1:13" x14ac:dyDescent="0.35">
      <c r="A5" s="8" t="s">
        <v>490</v>
      </c>
    </row>
    <row r="7" spans="1:13" x14ac:dyDescent="0.35">
      <c r="A7" s="1" t="s">
        <v>454</v>
      </c>
      <c r="B7" s="594" t="s">
        <v>455</v>
      </c>
      <c r="C7" s="594"/>
      <c r="F7" s="1" t="s">
        <v>456</v>
      </c>
      <c r="G7" s="595" t="s">
        <v>457</v>
      </c>
      <c r="H7" s="595"/>
      <c r="I7" s="595"/>
      <c r="J7" s="595"/>
      <c r="L7" s="1"/>
      <c r="M7" s="1"/>
    </row>
    <row r="8" spans="1:13" x14ac:dyDescent="0.35">
      <c r="A8" s="9" t="s">
        <v>458</v>
      </c>
      <c r="B8" s="9" t="s">
        <v>340</v>
      </c>
      <c r="C8" s="22" t="s">
        <v>459</v>
      </c>
      <c r="F8" s="9" t="s">
        <v>458</v>
      </c>
      <c r="G8" s="9" t="s">
        <v>340</v>
      </c>
      <c r="H8" s="22" t="s">
        <v>460</v>
      </c>
      <c r="I8" s="22" t="s">
        <v>456</v>
      </c>
      <c r="J8" s="22" t="s">
        <v>459</v>
      </c>
    </row>
    <row r="9" spans="1:13" x14ac:dyDescent="0.35">
      <c r="A9" s="10" t="s">
        <v>263</v>
      </c>
      <c r="B9" s="70">
        <v>1158.8599999999999</v>
      </c>
      <c r="C9" s="2">
        <f>+B9/(MAX($B$9:$B$14))*100</f>
        <v>100</v>
      </c>
      <c r="F9" s="10" t="s">
        <v>263</v>
      </c>
      <c r="G9" s="72">
        <v>1.86</v>
      </c>
      <c r="H9" s="2">
        <v>2759.6774193548385</v>
      </c>
      <c r="I9" s="12">
        <f>H9/G9</f>
        <v>1483.6975372875474</v>
      </c>
      <c r="J9" s="2">
        <f>(MIN($I$9:$I$14))/I9*100</f>
        <v>96.778312278020067</v>
      </c>
    </row>
    <row r="10" spans="1:13" x14ac:dyDescent="0.35">
      <c r="A10" s="10" t="s">
        <v>269</v>
      </c>
      <c r="B10" s="70">
        <v>925.53</v>
      </c>
      <c r="C10" s="2">
        <f>+B10/(MAX($B$9:$B$14))*100</f>
        <v>79.865557530676696</v>
      </c>
      <c r="F10" s="10" t="s">
        <v>269</v>
      </c>
      <c r="G10" s="72">
        <v>0.16</v>
      </c>
      <c r="H10" s="2">
        <v>290.40090090090087</v>
      </c>
      <c r="I10" s="12">
        <f t="shared" ref="I10:I14" si="0">H10/G10</f>
        <v>1815.0056306306303</v>
      </c>
      <c r="J10" s="2">
        <f>(MIN($I$9:$I$14))/I10*100</f>
        <v>79.112560956547995</v>
      </c>
    </row>
    <row r="11" spans="1:13" x14ac:dyDescent="0.35">
      <c r="A11" s="10" t="s">
        <v>264</v>
      </c>
      <c r="B11" s="70">
        <v>1003.13</v>
      </c>
      <c r="C11" s="2">
        <f>+B11/(MAX($B$9:$B$14))*100</f>
        <v>86.561793486702456</v>
      </c>
      <c r="F11" s="10" t="s">
        <v>264</v>
      </c>
      <c r="G11" s="72">
        <v>1.05</v>
      </c>
      <c r="H11" s="2">
        <v>1853.3951762523191</v>
      </c>
      <c r="I11" s="12">
        <f t="shared" si="0"/>
        <v>1765.1382630974467</v>
      </c>
      <c r="J11" s="2">
        <f>(MIN($I$9:$I$14))/I11*100</f>
        <v>81.347589926340248</v>
      </c>
    </row>
    <row r="12" spans="1:13" x14ac:dyDescent="0.35">
      <c r="A12" s="10" t="s">
        <v>409</v>
      </c>
      <c r="B12" s="70">
        <v>991.65</v>
      </c>
      <c r="C12" s="2">
        <f t="shared" ref="C12:C14" si="1">+B12/(MAX($B$9:$B$14))*100</f>
        <v>85.57116476537287</v>
      </c>
      <c r="F12" s="10" t="s">
        <v>409</v>
      </c>
      <c r="G12" s="72">
        <v>0.53</v>
      </c>
      <c r="H12" s="2">
        <v>1572.272727272727</v>
      </c>
      <c r="I12" s="12">
        <f t="shared" si="0"/>
        <v>2966.5523156089189</v>
      </c>
      <c r="J12" s="2">
        <f t="shared" ref="J12:J14" si="2">(MIN($I$9:$I$14))/I12*100</f>
        <v>48.40290286951172</v>
      </c>
    </row>
    <row r="13" spans="1:13" x14ac:dyDescent="0.35">
      <c r="A13" s="10" t="s">
        <v>410</v>
      </c>
      <c r="B13" s="70">
        <v>894.35</v>
      </c>
      <c r="C13" s="2">
        <f t="shared" si="1"/>
        <v>77.174982310201415</v>
      </c>
      <c r="F13" s="10" t="s">
        <v>410</v>
      </c>
      <c r="G13" s="72">
        <v>0.39</v>
      </c>
      <c r="H13" s="2">
        <v>560</v>
      </c>
      <c r="I13" s="12">
        <f t="shared" si="0"/>
        <v>1435.8974358974358</v>
      </c>
      <c r="J13" s="2">
        <f t="shared" si="2"/>
        <v>100</v>
      </c>
    </row>
    <row r="14" spans="1:13" x14ac:dyDescent="0.35">
      <c r="A14" s="10" t="s">
        <v>262</v>
      </c>
      <c r="B14" s="70">
        <v>1064.33</v>
      </c>
      <c r="C14" s="2">
        <f t="shared" si="1"/>
        <v>91.842845555114522</v>
      </c>
      <c r="F14" s="10" t="s">
        <v>262</v>
      </c>
      <c r="G14" s="72">
        <v>2.34</v>
      </c>
      <c r="H14" s="2">
        <v>4105.4621848739498</v>
      </c>
      <c r="I14" s="12">
        <f t="shared" si="0"/>
        <v>1754.4710191769018</v>
      </c>
      <c r="J14" s="2">
        <f t="shared" si="2"/>
        <v>81.842186060792116</v>
      </c>
    </row>
    <row r="16" spans="1:13" x14ac:dyDescent="0.35">
      <c r="A16" s="1" t="s">
        <v>462</v>
      </c>
      <c r="B16" s="594" t="s">
        <v>463</v>
      </c>
      <c r="C16" s="594"/>
      <c r="F16" s="1"/>
      <c r="G16" s="595" t="s">
        <v>464</v>
      </c>
      <c r="H16" s="595"/>
      <c r="I16" s="595"/>
      <c r="J16" s="595"/>
    </row>
    <row r="17" spans="1:10" x14ac:dyDescent="0.35">
      <c r="A17" s="9" t="s">
        <v>458</v>
      </c>
      <c r="B17" s="9" t="s">
        <v>340</v>
      </c>
      <c r="C17" s="22" t="s">
        <v>459</v>
      </c>
      <c r="F17" s="9" t="s">
        <v>227</v>
      </c>
      <c r="G17" s="9" t="s">
        <v>340</v>
      </c>
      <c r="H17" s="24" t="s">
        <v>465</v>
      </c>
      <c r="I17" s="24" t="s">
        <v>466</v>
      </c>
      <c r="J17" s="24" t="s">
        <v>459</v>
      </c>
    </row>
    <row r="18" spans="1:10" x14ac:dyDescent="0.35">
      <c r="A18" s="10" t="s">
        <v>263</v>
      </c>
      <c r="B18" s="129">
        <v>1.1226851851852E-2</v>
      </c>
      <c r="C18" s="2">
        <f>+B18/(MAX($B$18:$B$23))*100</f>
        <v>95.566502463056963</v>
      </c>
      <c r="F18" s="10" t="s">
        <v>263</v>
      </c>
      <c r="G18" s="72">
        <v>10.25</v>
      </c>
      <c r="H18" s="91">
        <v>10.220000000000001</v>
      </c>
      <c r="I18" s="128">
        <f t="shared" ref="I18:I23" si="3">G18/H18*100</f>
        <v>100.29354207436398</v>
      </c>
      <c r="J18" s="2">
        <f t="shared" ref="J18:J23" si="4">I18/(MAX($I$18:$I$23))*100</f>
        <v>100</v>
      </c>
    </row>
    <row r="19" spans="1:10" x14ac:dyDescent="0.35">
      <c r="A19" s="10" t="s">
        <v>269</v>
      </c>
      <c r="B19" s="129">
        <v>6.6898148148149999E-3</v>
      </c>
      <c r="C19" s="2">
        <f>+B19/(MAX($B$18:$B$23))*100</f>
        <v>56.945812807884245</v>
      </c>
      <c r="F19" s="10" t="s">
        <v>262</v>
      </c>
      <c r="G19" s="72">
        <v>12.87</v>
      </c>
      <c r="H19" s="91">
        <v>13.04</v>
      </c>
      <c r="I19" s="128">
        <f t="shared" si="3"/>
        <v>98.696319018404907</v>
      </c>
      <c r="J19" s="2">
        <f t="shared" si="4"/>
        <v>98.407451743229089</v>
      </c>
    </row>
    <row r="20" spans="1:10" x14ac:dyDescent="0.35">
      <c r="A20" s="10" t="s">
        <v>264</v>
      </c>
      <c r="B20" s="129">
        <v>9.8495370370370004E-3</v>
      </c>
      <c r="C20" s="2">
        <f>+B20/(MAX($B$18:$B$23))*100</f>
        <v>83.842364532020724</v>
      </c>
      <c r="F20" s="10" t="s">
        <v>264</v>
      </c>
      <c r="G20" s="72">
        <v>5.8</v>
      </c>
      <c r="H20" s="91">
        <v>5.97</v>
      </c>
      <c r="I20" s="128">
        <f t="shared" si="3"/>
        <v>97.152428810720266</v>
      </c>
      <c r="J20" s="2">
        <f t="shared" si="4"/>
        <v>96.868080238591332</v>
      </c>
    </row>
    <row r="21" spans="1:10" x14ac:dyDescent="0.35">
      <c r="A21" s="10" t="s">
        <v>409</v>
      </c>
      <c r="B21" s="129">
        <v>8.1712962962959997E-3</v>
      </c>
      <c r="C21" s="2">
        <f t="shared" ref="C21:C23" si="5">+B21/(MAX($B$18:$B$23))*100</f>
        <v>69.556650246303988</v>
      </c>
      <c r="F21" s="10" t="s">
        <v>410</v>
      </c>
      <c r="G21" s="72">
        <v>2.17</v>
      </c>
      <c r="H21" s="91">
        <v>2.4300000000000002</v>
      </c>
      <c r="I21" s="128">
        <f t="shared" si="3"/>
        <v>89.300411522633738</v>
      </c>
      <c r="J21" s="2">
        <f t="shared" si="4"/>
        <v>89.039044464518724</v>
      </c>
    </row>
    <row r="22" spans="1:10" x14ac:dyDescent="0.35">
      <c r="A22" s="10" t="s">
        <v>410</v>
      </c>
      <c r="B22" s="129">
        <v>1.0381944444444E-2</v>
      </c>
      <c r="C22" s="2">
        <f t="shared" si="5"/>
        <v>88.374384236450808</v>
      </c>
      <c r="F22" s="10" t="s">
        <v>409</v>
      </c>
      <c r="G22" s="72">
        <v>2.94</v>
      </c>
      <c r="H22" s="91">
        <v>3.72</v>
      </c>
      <c r="I22" s="128">
        <f t="shared" si="3"/>
        <v>79.032258064516128</v>
      </c>
      <c r="J22" s="2">
        <f t="shared" si="4"/>
        <v>78.800944138473653</v>
      </c>
    </row>
    <row r="23" spans="1:10" x14ac:dyDescent="0.35">
      <c r="A23" s="10" t="s">
        <v>262</v>
      </c>
      <c r="B23" s="129">
        <v>1.1747685185185E-2</v>
      </c>
      <c r="C23" s="2">
        <f t="shared" si="5"/>
        <v>100</v>
      </c>
      <c r="F23" s="10" t="s">
        <v>269</v>
      </c>
      <c r="G23" s="72">
        <v>0.88</v>
      </c>
      <c r="H23" s="91">
        <v>1.18</v>
      </c>
      <c r="I23" s="128">
        <f t="shared" si="3"/>
        <v>74.576271186440678</v>
      </c>
      <c r="J23" s="2">
        <f t="shared" si="4"/>
        <v>74.357999173212079</v>
      </c>
    </row>
    <row r="25" spans="1:10" x14ac:dyDescent="0.35">
      <c r="A25" s="9" t="s">
        <v>340</v>
      </c>
    </row>
    <row r="26" spans="1:10" x14ac:dyDescent="0.35">
      <c r="A26" s="9" t="s">
        <v>467</v>
      </c>
      <c r="B26" s="22">
        <v>0.3</v>
      </c>
      <c r="C26" s="22">
        <v>0.2</v>
      </c>
      <c r="D26" s="22">
        <v>0.3</v>
      </c>
      <c r="E26" s="22">
        <v>0.2</v>
      </c>
      <c r="F26" s="22"/>
    </row>
    <row r="27" spans="1:10" x14ac:dyDescent="0.35">
      <c r="A27" s="9" t="s">
        <v>458</v>
      </c>
      <c r="B27" s="22" t="s">
        <v>36</v>
      </c>
      <c r="C27" s="22" t="s">
        <v>468</v>
      </c>
      <c r="D27" s="22" t="s">
        <v>456</v>
      </c>
      <c r="E27" s="22" t="s">
        <v>469</v>
      </c>
      <c r="F27" s="22" t="s">
        <v>470</v>
      </c>
    </row>
    <row r="28" spans="1:10" x14ac:dyDescent="0.35">
      <c r="A28" s="122" t="s">
        <v>263</v>
      </c>
      <c r="B28" s="25">
        <f t="shared" ref="B28:B33" si="6">VLOOKUP(A28,$A$8:$C$14,3,0)</f>
        <v>100</v>
      </c>
      <c r="C28" s="25">
        <f t="shared" ref="C28:C33" si="7">VLOOKUP(A28,$A$17:$C$23,3,0)</f>
        <v>95.566502463056963</v>
      </c>
      <c r="D28" s="25">
        <f t="shared" ref="D28:D33" si="8">VLOOKUP(A28,$F$8:$J$14,5,0)</f>
        <v>96.778312278020067</v>
      </c>
      <c r="E28" s="25">
        <f t="shared" ref="E28:E33" si="9">VLOOKUP(A28,$F$17:$J$23,5,0)</f>
        <v>100</v>
      </c>
      <c r="F28" s="26">
        <f t="shared" ref="F28:F33" si="10">B28*$B$26+C28*$C$26+D28*$D$26+E28*$E$26</f>
        <v>98.146794176017409</v>
      </c>
    </row>
    <row r="29" spans="1:10" x14ac:dyDescent="0.35">
      <c r="A29" s="122" t="s">
        <v>262</v>
      </c>
      <c r="B29" s="25">
        <f t="shared" si="6"/>
        <v>91.842845555114522</v>
      </c>
      <c r="C29" s="25">
        <f t="shared" si="7"/>
        <v>100</v>
      </c>
      <c r="D29" s="25">
        <f t="shared" si="8"/>
        <v>81.842186060792116</v>
      </c>
      <c r="E29" s="25">
        <f t="shared" si="9"/>
        <v>98.407451743229089</v>
      </c>
      <c r="F29" s="26">
        <f t="shared" si="10"/>
        <v>91.786999833417823</v>
      </c>
    </row>
    <row r="30" spans="1:10" x14ac:dyDescent="0.35">
      <c r="A30" s="122" t="s">
        <v>410</v>
      </c>
      <c r="B30" s="25">
        <f t="shared" si="6"/>
        <v>77.174982310201415</v>
      </c>
      <c r="C30" s="25">
        <f t="shared" si="7"/>
        <v>88.374384236450808</v>
      </c>
      <c r="D30" s="25">
        <f t="shared" si="8"/>
        <v>100</v>
      </c>
      <c r="E30" s="25">
        <f t="shared" si="9"/>
        <v>89.039044464518724</v>
      </c>
      <c r="F30" s="26">
        <f t="shared" si="10"/>
        <v>88.635180433254334</v>
      </c>
    </row>
    <row r="31" spans="1:10" x14ac:dyDescent="0.35">
      <c r="A31" s="122" t="s">
        <v>264</v>
      </c>
      <c r="B31" s="25">
        <f t="shared" si="6"/>
        <v>86.561793486702456</v>
      </c>
      <c r="C31" s="25">
        <f t="shared" si="7"/>
        <v>83.842364532020724</v>
      </c>
      <c r="D31" s="25">
        <f t="shared" si="8"/>
        <v>81.347589926340248</v>
      </c>
      <c r="E31" s="25">
        <f t="shared" si="9"/>
        <v>96.868080238591332</v>
      </c>
      <c r="F31" s="26">
        <f t="shared" si="10"/>
        <v>86.514903978035221</v>
      </c>
    </row>
    <row r="32" spans="1:10" x14ac:dyDescent="0.35">
      <c r="A32" s="10" t="s">
        <v>269</v>
      </c>
      <c r="B32" s="2">
        <f t="shared" si="6"/>
        <v>79.865557530676696</v>
      </c>
      <c r="C32" s="2">
        <f t="shared" si="7"/>
        <v>56.945812807884245</v>
      </c>
      <c r="D32" s="2">
        <f t="shared" si="8"/>
        <v>79.112560956547995</v>
      </c>
      <c r="E32" s="2">
        <f t="shared" si="9"/>
        <v>74.357999173212079</v>
      </c>
      <c r="F32" s="2">
        <f t="shared" si="10"/>
        <v>73.954197942386671</v>
      </c>
    </row>
    <row r="33" spans="1:6" x14ac:dyDescent="0.35">
      <c r="A33" s="10" t="s">
        <v>409</v>
      </c>
      <c r="B33" s="2">
        <f t="shared" si="6"/>
        <v>85.57116476537287</v>
      </c>
      <c r="C33" s="2">
        <f t="shared" si="7"/>
        <v>69.556650246303988</v>
      </c>
      <c r="D33" s="2">
        <f t="shared" si="8"/>
        <v>48.40290286951172</v>
      </c>
      <c r="E33" s="2">
        <f t="shared" si="9"/>
        <v>78.800944138473653</v>
      </c>
      <c r="F33" s="2">
        <f t="shared" si="10"/>
        <v>69.863739167420903</v>
      </c>
    </row>
  </sheetData>
  <sortState xmlns:xlrd2="http://schemas.microsoft.com/office/spreadsheetml/2017/richdata2" ref="F18:J23">
    <sortCondition descending="1" ref="I18:I23"/>
  </sortState>
  <mergeCells count="4">
    <mergeCell ref="B7:C7"/>
    <mergeCell ref="G7:J7"/>
    <mergeCell ref="B16:C16"/>
    <mergeCell ref="G16:J16"/>
  </mergeCells>
  <conditionalFormatting sqref="F28:F3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E2607-C1B7-4439-BE9C-090AB18053D4}">
  <sheetPr>
    <tabColor theme="5"/>
  </sheetPr>
  <dimension ref="A1:M30"/>
  <sheetViews>
    <sheetView showGridLines="0" zoomScale="70" zoomScaleNormal="70" workbookViewId="0">
      <selection activeCell="M21" sqref="M21"/>
    </sheetView>
  </sheetViews>
  <sheetFormatPr defaultColWidth="9.08984375" defaultRowHeight="14.5" x14ac:dyDescent="0.35"/>
  <cols>
    <col min="1" max="1" width="32.36328125" bestFit="1" customWidth="1"/>
    <col min="2" max="2" width="12.453125" bestFit="1" customWidth="1"/>
    <col min="3" max="3" width="11" bestFit="1" customWidth="1"/>
    <col min="4" max="4" width="5.54296875" bestFit="1" customWidth="1"/>
    <col min="5" max="5" width="10.08984375" bestFit="1" customWidth="1"/>
    <col min="6" max="6" width="20.6328125" bestFit="1" customWidth="1"/>
    <col min="7" max="7" width="12.08984375" bestFit="1" customWidth="1"/>
    <col min="8" max="8" width="5.90625" bestFit="1" customWidth="1"/>
    <col min="9" max="9" width="8" bestFit="1" customWidth="1"/>
    <col min="10" max="10" width="6.36328125" bestFit="1" customWidth="1"/>
    <col min="11" max="11" width="5.90625" style="7" bestFit="1" customWidth="1"/>
    <col min="12" max="12" width="11.08984375" bestFit="1" customWidth="1"/>
    <col min="13" max="13" width="12.90625" bestFit="1" customWidth="1"/>
    <col min="14" max="14" width="11.08984375" bestFit="1" customWidth="1"/>
    <col min="15" max="15" width="10.08984375" bestFit="1" customWidth="1"/>
  </cols>
  <sheetData>
    <row r="1" spans="1:13" x14ac:dyDescent="0.35">
      <c r="A1" s="1" t="s">
        <v>225</v>
      </c>
    </row>
    <row r="2" spans="1:13" x14ac:dyDescent="0.35">
      <c r="A2" s="1" t="s">
        <v>471</v>
      </c>
    </row>
    <row r="3" spans="1:13" x14ac:dyDescent="0.35">
      <c r="A3" s="1" t="s">
        <v>29</v>
      </c>
    </row>
    <row r="4" spans="1:13" x14ac:dyDescent="0.35">
      <c r="A4" s="23" t="s">
        <v>226</v>
      </c>
    </row>
    <row r="5" spans="1:13" x14ac:dyDescent="0.35">
      <c r="A5" s="8" t="s">
        <v>490</v>
      </c>
    </row>
    <row r="7" spans="1:13" x14ac:dyDescent="0.35">
      <c r="A7" s="1" t="s">
        <v>454</v>
      </c>
      <c r="B7" s="594" t="s">
        <v>455</v>
      </c>
      <c r="C7" s="594"/>
      <c r="F7" s="1" t="s">
        <v>456</v>
      </c>
      <c r="G7" s="595" t="s">
        <v>457</v>
      </c>
      <c r="H7" s="595"/>
      <c r="I7" s="595"/>
      <c r="J7" s="595"/>
      <c r="L7" s="1"/>
      <c r="M7" s="1"/>
    </row>
    <row r="8" spans="1:13" x14ac:dyDescent="0.35">
      <c r="A8" s="9" t="s">
        <v>458</v>
      </c>
      <c r="B8" s="9" t="s">
        <v>340</v>
      </c>
      <c r="C8" s="22" t="s">
        <v>459</v>
      </c>
      <c r="F8" s="9" t="s">
        <v>458</v>
      </c>
      <c r="G8" s="9" t="s">
        <v>340</v>
      </c>
      <c r="H8" s="22" t="s">
        <v>460</v>
      </c>
      <c r="I8" s="22" t="s">
        <v>456</v>
      </c>
      <c r="J8" s="22" t="s">
        <v>459</v>
      </c>
    </row>
    <row r="9" spans="1:13" x14ac:dyDescent="0.35">
      <c r="A9" s="10" t="s">
        <v>268</v>
      </c>
      <c r="B9" s="70">
        <v>757.51</v>
      </c>
      <c r="C9" s="2">
        <f>+B9/(MAX($B$9:$B$13))*100</f>
        <v>81.846077382688847</v>
      </c>
      <c r="F9" s="10" t="s">
        <v>268</v>
      </c>
      <c r="G9" s="72">
        <v>0.12</v>
      </c>
      <c r="H9" s="2">
        <v>252.58536585365852</v>
      </c>
      <c r="I9" s="12">
        <f>H9/G9</f>
        <v>2104.8780487804879</v>
      </c>
      <c r="J9" s="2">
        <f>(MIN($I$9:$I$13))/I9*100</f>
        <v>86.940903823870229</v>
      </c>
    </row>
    <row r="10" spans="1:13" x14ac:dyDescent="0.35">
      <c r="A10" s="10" t="s">
        <v>269</v>
      </c>
      <c r="B10" s="70">
        <v>925.53</v>
      </c>
      <c r="C10" s="2">
        <f>+B10/(MAX($B$9:$B$13))*100</f>
        <v>100</v>
      </c>
      <c r="F10" s="10" t="s">
        <v>269</v>
      </c>
      <c r="G10" s="72">
        <v>0.16</v>
      </c>
      <c r="H10" s="2">
        <v>335.20958083832335</v>
      </c>
      <c r="I10" s="12">
        <f t="shared" ref="I10:I13" si="0">H10/G10</f>
        <v>2095.0598802395207</v>
      </c>
      <c r="J10" s="2">
        <f>(MIN($I$9:$I$13))/I10*100</f>
        <v>87.348338692390158</v>
      </c>
    </row>
    <row r="11" spans="1:13" x14ac:dyDescent="0.35">
      <c r="A11" s="10" t="s">
        <v>271</v>
      </c>
      <c r="B11" s="70">
        <v>903.96</v>
      </c>
      <c r="C11" s="2">
        <f>+B11/(MAX($B$9:$B$13))*100</f>
        <v>97.66944345402095</v>
      </c>
      <c r="F11" s="10" t="s">
        <v>271</v>
      </c>
      <c r="G11" s="72">
        <v>0.28999999999999998</v>
      </c>
      <c r="H11" s="2">
        <v>530.70000000000005</v>
      </c>
      <c r="I11" s="12">
        <f t="shared" si="0"/>
        <v>1830.0000000000002</v>
      </c>
      <c r="J11" s="2">
        <f>(MIN($I$9:$I$13))/I11*100</f>
        <v>100</v>
      </c>
    </row>
    <row r="12" spans="1:13" x14ac:dyDescent="0.35">
      <c r="A12" s="10" t="s">
        <v>270</v>
      </c>
      <c r="B12" s="70">
        <v>914.62</v>
      </c>
      <c r="C12" s="2">
        <f>+B12/(MAX($B$9:$B$13))*100</f>
        <v>98.821215951941056</v>
      </c>
      <c r="F12" s="10" t="s">
        <v>270</v>
      </c>
      <c r="G12" s="72">
        <v>0.33</v>
      </c>
      <c r="H12" s="2">
        <v>1052.4282560706401</v>
      </c>
      <c r="I12" s="12">
        <f t="shared" si="0"/>
        <v>3189.1765335473942</v>
      </c>
      <c r="J12" s="2">
        <f>(MIN($I$9:$I$13))/I12*100</f>
        <v>57.381583639223919</v>
      </c>
    </row>
    <row r="13" spans="1:13" x14ac:dyDescent="0.35">
      <c r="A13" s="10" t="s">
        <v>267</v>
      </c>
      <c r="B13" s="70">
        <v>842.9</v>
      </c>
      <c r="C13" s="2">
        <f>+B13/(MAX($B$9:$B$13))*100</f>
        <v>91.07214244811081</v>
      </c>
      <c r="F13" s="10" t="s">
        <v>267</v>
      </c>
      <c r="G13" s="72">
        <v>0.24</v>
      </c>
      <c r="H13" s="2">
        <v>620.49247606019151</v>
      </c>
      <c r="I13" s="12">
        <f t="shared" si="0"/>
        <v>2585.3853169174649</v>
      </c>
      <c r="J13" s="2">
        <f>(MIN($I$9:$I$13))/I13*100</f>
        <v>70.782486000264569</v>
      </c>
    </row>
    <row r="15" spans="1:13" x14ac:dyDescent="0.35">
      <c r="A15" s="1" t="s">
        <v>462</v>
      </c>
      <c r="B15" s="594" t="s">
        <v>463</v>
      </c>
      <c r="C15" s="594"/>
      <c r="F15" s="1"/>
      <c r="G15" s="595" t="s">
        <v>464</v>
      </c>
      <c r="H15" s="595"/>
      <c r="I15" s="595"/>
      <c r="J15" s="595"/>
    </row>
    <row r="16" spans="1:13" x14ac:dyDescent="0.35">
      <c r="A16" s="9" t="s">
        <v>458</v>
      </c>
      <c r="B16" s="9" t="s">
        <v>340</v>
      </c>
      <c r="C16" s="22" t="s">
        <v>459</v>
      </c>
      <c r="F16" s="9" t="s">
        <v>227</v>
      </c>
      <c r="G16" s="9" t="s">
        <v>340</v>
      </c>
      <c r="H16" s="24" t="s">
        <v>465</v>
      </c>
      <c r="I16" s="24" t="s">
        <v>466</v>
      </c>
      <c r="J16" s="24" t="s">
        <v>459</v>
      </c>
    </row>
    <row r="17" spans="1:10" x14ac:dyDescent="0.35">
      <c r="A17" s="10" t="s">
        <v>268</v>
      </c>
      <c r="B17" s="129">
        <v>6.8055555555560001E-3</v>
      </c>
      <c r="C17" s="2">
        <f>+B17/(MAX($B$17:$B$21))*100</f>
        <v>82.237762237767242</v>
      </c>
      <c r="F17" s="10" t="s">
        <v>271</v>
      </c>
      <c r="G17" s="72">
        <v>1.57</v>
      </c>
      <c r="H17" s="91">
        <v>1.68</v>
      </c>
      <c r="I17" s="128">
        <f>G17/H17*100</f>
        <v>93.452380952380963</v>
      </c>
      <c r="J17" s="2">
        <f>I17/(MAX($I$17:$I$21))*100</f>
        <v>100</v>
      </c>
    </row>
    <row r="18" spans="1:10" x14ac:dyDescent="0.35">
      <c r="A18" s="10" t="s">
        <v>269</v>
      </c>
      <c r="B18" s="129">
        <v>6.6898148148149999E-3</v>
      </c>
      <c r="C18" s="2">
        <f>+B18/(MAX($B$17:$B$21))*100</f>
        <v>80.839160839162716</v>
      </c>
      <c r="F18" s="10" t="s">
        <v>267</v>
      </c>
      <c r="G18" s="72">
        <v>1.33</v>
      </c>
      <c r="H18" s="91">
        <v>1.49</v>
      </c>
      <c r="I18" s="128">
        <f>G18/H18*100</f>
        <v>89.261744966442961</v>
      </c>
      <c r="J18" s="2">
        <f>I18/(MAX($I$17:$I$21))*100</f>
        <v>95.515752575556789</v>
      </c>
    </row>
    <row r="19" spans="1:10" x14ac:dyDescent="0.35">
      <c r="A19" s="10" t="s">
        <v>271</v>
      </c>
      <c r="B19" s="129">
        <v>8.2754629629630001E-3</v>
      </c>
      <c r="C19" s="2">
        <f>+B19/(MAX($B$17:$B$21))*100</f>
        <v>100</v>
      </c>
      <c r="F19" s="10" t="s">
        <v>268</v>
      </c>
      <c r="G19" s="72">
        <v>0.63</v>
      </c>
      <c r="H19" s="91">
        <v>0.72</v>
      </c>
      <c r="I19" s="128">
        <f>G19/H19*100</f>
        <v>87.5</v>
      </c>
      <c r="J19" s="2">
        <f>I19/(MAX($I$17:$I$21))*100</f>
        <v>93.630573248407629</v>
      </c>
    </row>
    <row r="20" spans="1:10" x14ac:dyDescent="0.35">
      <c r="A20" s="10" t="s">
        <v>270</v>
      </c>
      <c r="B20" s="129">
        <v>7.4537037037040003E-3</v>
      </c>
      <c r="C20" s="2">
        <f>+B20/(MAX($B$17:$B$21))*100</f>
        <v>90.06993006993325</v>
      </c>
      <c r="F20" s="10" t="s">
        <v>270</v>
      </c>
      <c r="G20" s="72">
        <v>1.81</v>
      </c>
      <c r="H20" s="91">
        <v>2.0699999999999998</v>
      </c>
      <c r="I20" s="128">
        <f>G20/H20*100</f>
        <v>87.439613526570056</v>
      </c>
      <c r="J20" s="2">
        <f>I20/(MAX($I$17:$I$21))*100</f>
        <v>93.565955875565393</v>
      </c>
    </row>
    <row r="21" spans="1:10" x14ac:dyDescent="0.35">
      <c r="A21" s="10" t="s">
        <v>267</v>
      </c>
      <c r="B21" s="129">
        <v>8.0902777777779999E-3</v>
      </c>
      <c r="C21" s="2">
        <f>+B21/(MAX($B$17:$B$21))*100</f>
        <v>97.762237762240005</v>
      </c>
      <c r="F21" s="10" t="s">
        <v>269</v>
      </c>
      <c r="G21" s="72">
        <v>0.88</v>
      </c>
      <c r="H21" s="91">
        <v>1.18</v>
      </c>
      <c r="I21" s="128">
        <f>G21/H21*100</f>
        <v>74.576271186440678</v>
      </c>
      <c r="J21" s="2">
        <f>I21/(MAX($I$17:$I$21))*100</f>
        <v>79.801360250458814</v>
      </c>
    </row>
    <row r="23" spans="1:10" x14ac:dyDescent="0.35">
      <c r="A23" s="9" t="s">
        <v>340</v>
      </c>
    </row>
    <row r="24" spans="1:10" x14ac:dyDescent="0.35">
      <c r="A24" s="9" t="s">
        <v>467</v>
      </c>
      <c r="B24" s="22">
        <v>0.3</v>
      </c>
      <c r="C24" s="22">
        <v>0.2</v>
      </c>
      <c r="D24" s="22">
        <v>0.3</v>
      </c>
      <c r="E24" s="22">
        <v>0.2</v>
      </c>
      <c r="F24" s="22"/>
    </row>
    <row r="25" spans="1:10" x14ac:dyDescent="0.35">
      <c r="A25" s="9" t="s">
        <v>458</v>
      </c>
      <c r="B25" s="22" t="s">
        <v>36</v>
      </c>
      <c r="C25" s="22" t="s">
        <v>468</v>
      </c>
      <c r="D25" s="22" t="s">
        <v>456</v>
      </c>
      <c r="E25" s="22" t="s">
        <v>469</v>
      </c>
      <c r="F25" s="22" t="s">
        <v>470</v>
      </c>
    </row>
    <row r="26" spans="1:10" x14ac:dyDescent="0.35">
      <c r="A26" s="122" t="s">
        <v>271</v>
      </c>
      <c r="B26" s="25">
        <f>VLOOKUP(A26,$A$8:$C$13,3,0)</f>
        <v>97.66944345402095</v>
      </c>
      <c r="C26" s="25">
        <f>VLOOKUP(A26,$A$16:$C$21,3,0)</f>
        <v>100</v>
      </c>
      <c r="D26" s="25">
        <f>VLOOKUP(A26,$F$8:$J$13,5,0)</f>
        <v>100</v>
      </c>
      <c r="E26" s="25">
        <f>VLOOKUP(A26,$F$16:$J$21,5,0)</f>
        <v>100</v>
      </c>
      <c r="F26" s="26">
        <f>B26*$B$24+C26*$C$24+D26*$D$24+E26*$E$24</f>
        <v>99.300833036206285</v>
      </c>
    </row>
    <row r="27" spans="1:10" x14ac:dyDescent="0.35">
      <c r="A27" s="122" t="s">
        <v>269</v>
      </c>
      <c r="B27" s="25">
        <f>VLOOKUP(A27,$A$8:$C$13,3,0)</f>
        <v>100</v>
      </c>
      <c r="C27" s="25">
        <f>VLOOKUP(A27,$A$16:$C$21,3,0)</f>
        <v>80.839160839162716</v>
      </c>
      <c r="D27" s="25">
        <f>VLOOKUP(A27,$F$8:$J$13,5,0)</f>
        <v>87.348338692390158</v>
      </c>
      <c r="E27" s="25">
        <f>VLOOKUP(A27,$F$16:$J$21,5,0)</f>
        <v>79.801360250458814</v>
      </c>
      <c r="F27" s="26">
        <f>B27*$B$24+C27*$C$24+D27*$D$24+E27*$E$24</f>
        <v>88.332605825641352</v>
      </c>
    </row>
    <row r="28" spans="1:10" x14ac:dyDescent="0.35">
      <c r="A28" s="10" t="s">
        <v>267</v>
      </c>
      <c r="B28" s="2">
        <f>VLOOKUP(A28,$A$8:$C$13,3,0)</f>
        <v>91.07214244811081</v>
      </c>
      <c r="C28" s="2">
        <f>VLOOKUP(A28,$A$16:$C$21,3,0)</f>
        <v>97.762237762240005</v>
      </c>
      <c r="D28" s="2">
        <f>VLOOKUP(A28,$F$8:$J$13,5,0)</f>
        <v>70.782486000264569</v>
      </c>
      <c r="E28" s="2">
        <f>VLOOKUP(A28,$F$16:$J$21,5,0)</f>
        <v>95.515752575556789</v>
      </c>
      <c r="F28" s="2">
        <f>B28*$B$24+C28*$C$24+D28*$D$24+E28*$E$24</f>
        <v>87.21198660207196</v>
      </c>
    </row>
    <row r="29" spans="1:10" x14ac:dyDescent="0.35">
      <c r="A29" s="122" t="s">
        <v>268</v>
      </c>
      <c r="B29" s="25">
        <f>VLOOKUP(A29,$A$8:$C$13,3,0)</f>
        <v>81.846077382688847</v>
      </c>
      <c r="C29" s="25">
        <f>VLOOKUP(A29,$A$16:$C$21,3,0)</f>
        <v>82.237762237767242</v>
      </c>
      <c r="D29" s="25">
        <f>VLOOKUP(A29,$F$8:$J$13,5,0)</f>
        <v>86.940903823870229</v>
      </c>
      <c r="E29" s="25">
        <f>VLOOKUP(A29,$F$16:$J$21,5,0)</f>
        <v>93.630573248407629</v>
      </c>
      <c r="F29" s="26">
        <f>B29*$B$24+C29*$C$24+D29*$D$24+E29*$E$24</f>
        <v>85.80976145920269</v>
      </c>
    </row>
    <row r="30" spans="1:10" x14ac:dyDescent="0.35">
      <c r="A30" s="10" t="s">
        <v>270</v>
      </c>
      <c r="B30" s="2">
        <f>VLOOKUP(A30,$A$8:$C$13,3,0)</f>
        <v>98.821215951941056</v>
      </c>
      <c r="C30" s="2">
        <f>VLOOKUP(A30,$A$16:$C$21,3,0)</f>
        <v>90.06993006993325</v>
      </c>
      <c r="D30" s="2">
        <f>VLOOKUP(A30,$F$8:$J$13,5,0)</f>
        <v>57.381583639223919</v>
      </c>
      <c r="E30" s="2">
        <f>VLOOKUP(A30,$F$16:$J$21,5,0)</f>
        <v>93.565955875565393</v>
      </c>
      <c r="F30" s="2">
        <f>B30*$B$24+C30*$C$24+D30*$D$24+E30*$E$24</f>
        <v>83.588017066449211</v>
      </c>
    </row>
  </sheetData>
  <sortState xmlns:xlrd2="http://schemas.microsoft.com/office/spreadsheetml/2017/richdata2" ref="F17:J21">
    <sortCondition descending="1" ref="I17:I21"/>
  </sortState>
  <mergeCells count="4">
    <mergeCell ref="B7:C7"/>
    <mergeCell ref="G7:J7"/>
    <mergeCell ref="B15:C15"/>
    <mergeCell ref="G15:J15"/>
  </mergeCells>
  <conditionalFormatting sqref="F26:F30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2A98B-848B-4389-929D-1E2C716519B0}">
  <sheetPr>
    <tabColor theme="5"/>
  </sheetPr>
  <dimension ref="A1:M27"/>
  <sheetViews>
    <sheetView showGridLines="0" zoomScale="70" zoomScaleNormal="70" workbookViewId="0">
      <selection activeCell="M21" sqref="M21"/>
    </sheetView>
  </sheetViews>
  <sheetFormatPr defaultColWidth="9.08984375" defaultRowHeight="14.5" x14ac:dyDescent="0.35"/>
  <cols>
    <col min="1" max="1" width="32.36328125" bestFit="1" customWidth="1"/>
    <col min="2" max="2" width="12.453125" bestFit="1" customWidth="1"/>
    <col min="3" max="3" width="11" bestFit="1" customWidth="1"/>
    <col min="4" max="4" width="7.54296875" bestFit="1" customWidth="1"/>
    <col min="5" max="5" width="10.08984375" bestFit="1" customWidth="1"/>
    <col min="6" max="6" width="28.54296875" bestFit="1" customWidth="1"/>
    <col min="7" max="7" width="11.54296875" bestFit="1" customWidth="1"/>
    <col min="8" max="8" width="6.54296875" bestFit="1" customWidth="1"/>
    <col min="9" max="10" width="7.54296875" bestFit="1" customWidth="1"/>
    <col min="11" max="11" width="5.90625" bestFit="1" customWidth="1"/>
    <col min="12" max="12" width="11.08984375" bestFit="1" customWidth="1"/>
    <col min="13" max="13" width="12.90625" bestFit="1" customWidth="1"/>
    <col min="14" max="14" width="11.08984375" bestFit="1" customWidth="1"/>
    <col min="15" max="15" width="10.08984375" bestFit="1" customWidth="1"/>
  </cols>
  <sheetData>
    <row r="1" spans="1:13" x14ac:dyDescent="0.35">
      <c r="A1" s="1" t="s">
        <v>225</v>
      </c>
    </row>
    <row r="2" spans="1:13" x14ac:dyDescent="0.35">
      <c r="A2" s="1" t="s">
        <v>471</v>
      </c>
    </row>
    <row r="3" spans="1:13" x14ac:dyDescent="0.35">
      <c r="A3" s="1" t="s">
        <v>29</v>
      </c>
    </row>
    <row r="4" spans="1:13" x14ac:dyDescent="0.35">
      <c r="A4" s="23" t="s">
        <v>226</v>
      </c>
    </row>
    <row r="5" spans="1:13" x14ac:dyDescent="0.35">
      <c r="A5" s="8" t="s">
        <v>490</v>
      </c>
    </row>
    <row r="7" spans="1:13" x14ac:dyDescent="0.35">
      <c r="A7" s="1" t="s">
        <v>454</v>
      </c>
      <c r="B7" s="594" t="s">
        <v>455</v>
      </c>
      <c r="C7" s="594"/>
      <c r="F7" s="1" t="s">
        <v>456</v>
      </c>
      <c r="G7" s="595" t="s">
        <v>457</v>
      </c>
      <c r="H7" s="595"/>
      <c r="I7" s="595"/>
      <c r="J7" s="595"/>
      <c r="L7" s="1"/>
      <c r="M7" s="1"/>
    </row>
    <row r="8" spans="1:13" x14ac:dyDescent="0.35">
      <c r="A8" s="9" t="s">
        <v>458</v>
      </c>
      <c r="B8" s="22" t="s">
        <v>340</v>
      </c>
      <c r="C8" s="22" t="s">
        <v>459</v>
      </c>
      <c r="F8" s="9" t="s">
        <v>458</v>
      </c>
      <c r="G8" s="22" t="s">
        <v>340</v>
      </c>
      <c r="H8" s="22" t="s">
        <v>460</v>
      </c>
      <c r="I8" s="22" t="s">
        <v>456</v>
      </c>
      <c r="J8" s="22" t="s">
        <v>459</v>
      </c>
    </row>
    <row r="9" spans="1:13" x14ac:dyDescent="0.35">
      <c r="A9" s="10" t="s">
        <v>491</v>
      </c>
      <c r="B9" s="70">
        <v>0</v>
      </c>
      <c r="C9" s="2">
        <f>+B9/(MAX($B$9:$B$12))*100</f>
        <v>0</v>
      </c>
      <c r="F9" s="10" t="s">
        <v>491</v>
      </c>
      <c r="G9" s="72">
        <v>0</v>
      </c>
      <c r="H9" s="2">
        <v>209</v>
      </c>
      <c r="I9" s="12"/>
      <c r="J9" s="2"/>
    </row>
    <row r="10" spans="1:13" x14ac:dyDescent="0.35">
      <c r="A10" s="10" t="s">
        <v>266</v>
      </c>
      <c r="B10" s="70">
        <v>1468.57</v>
      </c>
      <c r="C10" s="2">
        <f>+B10/(MAX($B$9:$B$12))*100</f>
        <v>100</v>
      </c>
      <c r="F10" s="10" t="s">
        <v>266</v>
      </c>
      <c r="G10" s="72">
        <v>0.45</v>
      </c>
      <c r="H10" s="2">
        <v>680</v>
      </c>
      <c r="I10" s="12">
        <f t="shared" ref="I10:I12" si="0">H10/G10</f>
        <v>1511.1111111111111</v>
      </c>
      <c r="J10" s="2">
        <f>(MIN($I$9:$I$12))/I10*100</f>
        <v>100</v>
      </c>
    </row>
    <row r="11" spans="1:13" x14ac:dyDescent="0.35">
      <c r="A11" s="10" t="s">
        <v>411</v>
      </c>
      <c r="B11" s="70">
        <v>1361.45</v>
      </c>
      <c r="C11" s="2">
        <f>+B11/(MAX($B$9:$B$12))*100</f>
        <v>92.705829480378881</v>
      </c>
      <c r="F11" s="10" t="s">
        <v>411</v>
      </c>
      <c r="G11" s="72">
        <v>0.16</v>
      </c>
      <c r="H11" s="2">
        <v>433</v>
      </c>
      <c r="I11" s="12">
        <f t="shared" si="0"/>
        <v>2706.25</v>
      </c>
      <c r="J11" s="2">
        <f>(MIN($I$9:$I$12))/I11*100</f>
        <v>55.837823967154222</v>
      </c>
    </row>
    <row r="12" spans="1:13" x14ac:dyDescent="0.35">
      <c r="A12" s="10" t="s">
        <v>265</v>
      </c>
      <c r="B12" s="70">
        <v>1260.9100000000001</v>
      </c>
      <c r="C12" s="2">
        <f>+B12/(MAX($B$9:$B$12))*100</f>
        <v>85.859713871316998</v>
      </c>
      <c r="F12" s="10" t="s">
        <v>265</v>
      </c>
      <c r="G12" s="72">
        <v>0.08</v>
      </c>
      <c r="H12" s="2">
        <f>200*115%</f>
        <v>229.99999999999997</v>
      </c>
      <c r="I12" s="12">
        <f t="shared" si="0"/>
        <v>2874.9999999999995</v>
      </c>
      <c r="J12" s="2">
        <f>(MIN($I$9:$I$12))/I12*100</f>
        <v>52.560386473429958</v>
      </c>
    </row>
    <row r="14" spans="1:13" x14ac:dyDescent="0.35">
      <c r="A14" s="1" t="s">
        <v>462</v>
      </c>
      <c r="B14" s="594" t="s">
        <v>463</v>
      </c>
      <c r="C14" s="594"/>
      <c r="F14" s="1" t="s">
        <v>464</v>
      </c>
    </row>
    <row r="15" spans="1:13" x14ac:dyDescent="0.35">
      <c r="A15" s="9" t="s">
        <v>458</v>
      </c>
      <c r="B15" s="22" t="s">
        <v>340</v>
      </c>
      <c r="C15" s="22" t="s">
        <v>459</v>
      </c>
      <c r="F15" s="9" t="s">
        <v>227</v>
      </c>
      <c r="G15" s="22" t="s">
        <v>340</v>
      </c>
      <c r="H15" s="24" t="s">
        <v>465</v>
      </c>
      <c r="I15" s="24" t="s">
        <v>466</v>
      </c>
      <c r="J15" s="24" t="s">
        <v>459</v>
      </c>
    </row>
    <row r="16" spans="1:13" x14ac:dyDescent="0.35">
      <c r="A16" s="10" t="s">
        <v>491</v>
      </c>
      <c r="B16" s="129"/>
      <c r="C16" s="2">
        <f>+B16/(MAX($B$16:$B$19))*100</f>
        <v>0</v>
      </c>
      <c r="F16" s="10" t="s">
        <v>491</v>
      </c>
      <c r="G16" s="72">
        <v>0</v>
      </c>
      <c r="H16" s="91">
        <v>0</v>
      </c>
      <c r="I16" s="128"/>
      <c r="J16" s="2">
        <f>I16/(MAX($I$16:$I$19))*100</f>
        <v>0</v>
      </c>
    </row>
    <row r="17" spans="1:10" x14ac:dyDescent="0.35">
      <c r="A17" s="10" t="s">
        <v>266</v>
      </c>
      <c r="B17" s="129">
        <v>7.1180555555560004E-3</v>
      </c>
      <c r="C17" s="2">
        <f>+B17/(MAX($B$16:$B$19))*100</f>
        <v>100</v>
      </c>
      <c r="F17" s="10" t="s">
        <v>266</v>
      </c>
      <c r="G17" s="72">
        <v>2.46</v>
      </c>
      <c r="H17" s="91">
        <v>2.56</v>
      </c>
      <c r="I17" s="128">
        <f t="shared" ref="I17:I19" si="1">G17/H17*100</f>
        <v>96.09375</v>
      </c>
      <c r="J17" s="2">
        <f>I17/(MAX($I$16:$I$19))*100</f>
        <v>76.875</v>
      </c>
    </row>
    <row r="18" spans="1:10" x14ac:dyDescent="0.35">
      <c r="A18" s="10" t="s">
        <v>411</v>
      </c>
      <c r="B18" s="129">
        <v>4.2476851851850003E-3</v>
      </c>
      <c r="C18" s="2">
        <f>+B18/(MAX($B$16:$B$19))*100</f>
        <v>59.674796747961153</v>
      </c>
      <c r="F18" s="10" t="s">
        <v>411</v>
      </c>
      <c r="G18" s="72">
        <v>0.9</v>
      </c>
      <c r="H18" s="91">
        <v>0.72</v>
      </c>
      <c r="I18" s="128">
        <f t="shared" si="1"/>
        <v>125</v>
      </c>
      <c r="J18" s="2">
        <f>I18/(MAX($I$16:$I$19))*100</f>
        <v>100</v>
      </c>
    </row>
    <row r="19" spans="1:10" x14ac:dyDescent="0.35">
      <c r="A19" s="10" t="s">
        <v>265</v>
      </c>
      <c r="B19" s="129">
        <v>2.974537037037E-3</v>
      </c>
      <c r="C19" s="2">
        <f>+B19/(MAX($B$16:$B$19))*100</f>
        <v>41.788617886175729</v>
      </c>
      <c r="F19" s="10" t="s">
        <v>265</v>
      </c>
      <c r="G19" s="72">
        <v>0.46</v>
      </c>
      <c r="H19" s="91">
        <v>0.49</v>
      </c>
      <c r="I19" s="128">
        <f t="shared" si="1"/>
        <v>93.877551020408163</v>
      </c>
      <c r="J19" s="2">
        <f>I19/(MAX($I$16:$I$19))*100</f>
        <v>75.102040816326536</v>
      </c>
    </row>
    <row r="21" spans="1:10" x14ac:dyDescent="0.35">
      <c r="A21" s="22" t="s">
        <v>340</v>
      </c>
    </row>
    <row r="22" spans="1:10" x14ac:dyDescent="0.35">
      <c r="A22" s="9" t="s">
        <v>467</v>
      </c>
      <c r="B22" s="22">
        <v>0.3</v>
      </c>
      <c r="C22" s="22">
        <v>0.2</v>
      </c>
      <c r="D22" s="22">
        <v>0.3</v>
      </c>
      <c r="E22" s="22">
        <v>0.2</v>
      </c>
      <c r="F22" s="22"/>
    </row>
    <row r="23" spans="1:10" x14ac:dyDescent="0.35">
      <c r="A23" s="9" t="s">
        <v>458</v>
      </c>
      <c r="B23" s="22" t="s">
        <v>36</v>
      </c>
      <c r="C23" s="22" t="s">
        <v>468</v>
      </c>
      <c r="D23" s="22" t="s">
        <v>456</v>
      </c>
      <c r="E23" s="22" t="s">
        <v>469</v>
      </c>
      <c r="F23" s="22" t="s">
        <v>470</v>
      </c>
    </row>
    <row r="24" spans="1:10" x14ac:dyDescent="0.35">
      <c r="A24" s="122" t="s">
        <v>266</v>
      </c>
      <c r="B24" s="25">
        <f>VLOOKUP(A24,$A$8:$C$12,3,0)</f>
        <v>100</v>
      </c>
      <c r="C24" s="25">
        <f>VLOOKUP(A24,$A$15:$C$19,3,0)</f>
        <v>100</v>
      </c>
      <c r="D24" s="25">
        <f>VLOOKUP(A24,$F$8:$J$12,5,0)</f>
        <v>100</v>
      </c>
      <c r="E24" s="25">
        <f>VLOOKUP(A24,$F$15:$J$19,5,0)</f>
        <v>76.875</v>
      </c>
      <c r="F24" s="26">
        <f>B24*$B$22+C24*$C$22+D24*$D$22+E24*$E$22</f>
        <v>95.375</v>
      </c>
    </row>
    <row r="25" spans="1:10" x14ac:dyDescent="0.35">
      <c r="A25" s="122" t="s">
        <v>411</v>
      </c>
      <c r="B25" s="25">
        <f>VLOOKUP(A25,$A$8:$C$12,3,0)</f>
        <v>92.705829480378881</v>
      </c>
      <c r="C25" s="25">
        <f>VLOOKUP(A25,$A$15:$C$19,3,0)</f>
        <v>59.674796747961153</v>
      </c>
      <c r="D25" s="25">
        <f>VLOOKUP(A25,$F$8:$J$12,5,0)</f>
        <v>55.837823967154222</v>
      </c>
      <c r="E25" s="25">
        <f>VLOOKUP(A25,$F$15:$J$19,5,0)</f>
        <v>100</v>
      </c>
      <c r="F25" s="26">
        <f>B25*$B$22+C25*$C$22+D25*$D$22+E25*$E$22</f>
        <v>76.498055383852162</v>
      </c>
    </row>
    <row r="26" spans="1:10" x14ac:dyDescent="0.35">
      <c r="A26" s="10" t="s">
        <v>265</v>
      </c>
      <c r="B26" s="2">
        <f>VLOOKUP(A26,$A$8:$C$12,3,0)</f>
        <v>85.859713871316998</v>
      </c>
      <c r="C26" s="2">
        <f>VLOOKUP(A26,$A$15:$C$19,3,0)</f>
        <v>41.788617886175729</v>
      </c>
      <c r="D26" s="2">
        <f>VLOOKUP(A26,$F$8:$J$12,5,0)</f>
        <v>52.560386473429958</v>
      </c>
      <c r="E26" s="2">
        <f>VLOOKUP(A26,$F$15:$J$19,5,0)</f>
        <v>75.102040816326536</v>
      </c>
      <c r="F26" s="26">
        <f>B26*$B$22+C26*$C$22+D26*$D$22+E26*$E$22</f>
        <v>64.904161843924541</v>
      </c>
    </row>
    <row r="27" spans="1:10" x14ac:dyDescent="0.35">
      <c r="A27" s="122" t="s">
        <v>491</v>
      </c>
      <c r="B27" s="25">
        <f>VLOOKUP(A27,$A$8:$C$12,3,0)</f>
        <v>0</v>
      </c>
      <c r="C27" s="25">
        <f>VLOOKUP(A27,$A$15:$C$19,3,0)</f>
        <v>0</v>
      </c>
      <c r="D27" s="25">
        <f>VLOOKUP(A27,$F$8:$J$12,5,0)</f>
        <v>0</v>
      </c>
      <c r="E27" s="25">
        <f>VLOOKUP(A27,$F$15:$J$19,5,0)</f>
        <v>0</v>
      </c>
      <c r="F27" s="26">
        <f>B27*$B$22+C27*$C$22+D27*$D$22+E27*$E$22</f>
        <v>0</v>
      </c>
    </row>
  </sheetData>
  <sortState xmlns:xlrd2="http://schemas.microsoft.com/office/spreadsheetml/2017/richdata2" ref="A24:F27">
    <sortCondition descending="1" ref="F24:F27"/>
  </sortState>
  <mergeCells count="3">
    <mergeCell ref="B7:C7"/>
    <mergeCell ref="G7:J7"/>
    <mergeCell ref="B14:C14"/>
  </mergeCells>
  <conditionalFormatting sqref="F24:F2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561B67-A011-490D-82A8-53F9925AA315}">
  <sheetPr>
    <tabColor theme="9" tint="0.79998168889431442"/>
  </sheetPr>
  <dimension ref="A1:B18"/>
  <sheetViews>
    <sheetView workbookViewId="0">
      <selection activeCell="A5" sqref="A5:A17"/>
    </sheetView>
  </sheetViews>
  <sheetFormatPr defaultRowHeight="14.5" x14ac:dyDescent="0.35"/>
  <cols>
    <col min="1" max="1" width="13.36328125" bestFit="1" customWidth="1"/>
    <col min="2" max="2" width="16.453125" bestFit="1" customWidth="1"/>
  </cols>
  <sheetData>
    <row r="1" spans="1:2" x14ac:dyDescent="0.35">
      <c r="A1" s="543" t="s">
        <v>69</v>
      </c>
      <c r="B1" t="s">
        <v>564</v>
      </c>
    </row>
    <row r="2" spans="1:2" x14ac:dyDescent="0.35">
      <c r="A2" s="543" t="s">
        <v>67</v>
      </c>
      <c r="B2" t="s">
        <v>46</v>
      </c>
    </row>
    <row r="4" spans="1:2" x14ac:dyDescent="0.35">
      <c r="A4" s="543" t="s">
        <v>562</v>
      </c>
    </row>
    <row r="5" spans="1:2" x14ac:dyDescent="0.35">
      <c r="A5" s="544" t="s">
        <v>106</v>
      </c>
    </row>
    <row r="6" spans="1:2" x14ac:dyDescent="0.35">
      <c r="A6" s="544" t="s">
        <v>137</v>
      </c>
    </row>
    <row r="7" spans="1:2" x14ac:dyDescent="0.35">
      <c r="A7" s="544" t="s">
        <v>99</v>
      </c>
    </row>
    <row r="8" spans="1:2" x14ac:dyDescent="0.35">
      <c r="A8" s="544" t="s">
        <v>140</v>
      </c>
    </row>
    <row r="9" spans="1:2" x14ac:dyDescent="0.35">
      <c r="A9" s="544" t="s">
        <v>108</v>
      </c>
    </row>
    <row r="10" spans="1:2" x14ac:dyDescent="0.35">
      <c r="A10" s="544" t="s">
        <v>109</v>
      </c>
    </row>
    <row r="11" spans="1:2" x14ac:dyDescent="0.35">
      <c r="A11" s="544" t="s">
        <v>103</v>
      </c>
    </row>
    <row r="12" spans="1:2" x14ac:dyDescent="0.35">
      <c r="A12" s="544" t="s">
        <v>529</v>
      </c>
    </row>
    <row r="13" spans="1:2" x14ac:dyDescent="0.35">
      <c r="A13" s="544" t="s">
        <v>141</v>
      </c>
    </row>
    <row r="14" spans="1:2" x14ac:dyDescent="0.35">
      <c r="A14" s="544" t="s">
        <v>113</v>
      </c>
    </row>
    <row r="15" spans="1:2" x14ac:dyDescent="0.35">
      <c r="A15" s="544" t="s">
        <v>116</v>
      </c>
    </row>
    <row r="16" spans="1:2" x14ac:dyDescent="0.35">
      <c r="A16" s="544" t="s">
        <v>526</v>
      </c>
    </row>
    <row r="17" spans="1:1" x14ac:dyDescent="0.35">
      <c r="A17" s="544" t="s">
        <v>528</v>
      </c>
    </row>
    <row r="18" spans="1:1" x14ac:dyDescent="0.35">
      <c r="A18" s="544" t="s">
        <v>563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572BA-D235-4FC6-A6C8-FEFBF3BFC785}">
  <sheetPr>
    <tabColor theme="5"/>
  </sheetPr>
  <dimension ref="A1:M26"/>
  <sheetViews>
    <sheetView showGridLines="0" zoomScale="70" zoomScaleNormal="70" workbookViewId="0">
      <selection activeCell="M21" sqref="M21"/>
    </sheetView>
  </sheetViews>
  <sheetFormatPr defaultColWidth="9.08984375" defaultRowHeight="14.5" x14ac:dyDescent="0.35"/>
  <cols>
    <col min="1" max="1" width="32.36328125" bestFit="1" customWidth="1"/>
    <col min="2" max="2" width="12.453125" bestFit="1" customWidth="1"/>
    <col min="3" max="3" width="11" bestFit="1" customWidth="1"/>
    <col min="4" max="4" width="5.54296875" bestFit="1" customWidth="1"/>
    <col min="5" max="5" width="10.08984375" bestFit="1" customWidth="1"/>
    <col min="6" max="6" width="28.54296875" bestFit="1" customWidth="1"/>
    <col min="7" max="7" width="11.54296875" bestFit="1" customWidth="1"/>
    <col min="8" max="8" width="6.54296875" bestFit="1" customWidth="1"/>
    <col min="9" max="9" width="8" bestFit="1" customWidth="1"/>
    <col min="10" max="10" width="8.453125" bestFit="1" customWidth="1"/>
    <col min="11" max="11" width="5.36328125" bestFit="1" customWidth="1"/>
    <col min="12" max="12" width="11.08984375" bestFit="1" customWidth="1"/>
    <col min="13" max="13" width="12.90625" bestFit="1" customWidth="1"/>
    <col min="14" max="14" width="11.08984375" bestFit="1" customWidth="1"/>
    <col min="15" max="15" width="10.08984375" bestFit="1" customWidth="1"/>
  </cols>
  <sheetData>
    <row r="1" spans="1:13" x14ac:dyDescent="0.35">
      <c r="A1" s="1" t="s">
        <v>225</v>
      </c>
    </row>
    <row r="2" spans="1:13" x14ac:dyDescent="0.35">
      <c r="A2" s="1" t="s">
        <v>471</v>
      </c>
    </row>
    <row r="3" spans="1:13" x14ac:dyDescent="0.35">
      <c r="A3" s="1" t="s">
        <v>29</v>
      </c>
    </row>
    <row r="4" spans="1:13" x14ac:dyDescent="0.35">
      <c r="A4" s="23" t="s">
        <v>226</v>
      </c>
    </row>
    <row r="5" spans="1:13" x14ac:dyDescent="0.35">
      <c r="A5" s="8" t="s">
        <v>490</v>
      </c>
    </row>
    <row r="6" spans="1:13" ht="15" customHeight="1" x14ac:dyDescent="0.35"/>
    <row r="7" spans="1:13" x14ac:dyDescent="0.35">
      <c r="A7" s="1" t="s">
        <v>454</v>
      </c>
      <c r="B7" s="594" t="s">
        <v>455</v>
      </c>
      <c r="C7" s="594"/>
      <c r="F7" s="1" t="s">
        <v>456</v>
      </c>
      <c r="G7" s="595" t="s">
        <v>457</v>
      </c>
      <c r="H7" s="595"/>
      <c r="I7" s="595"/>
      <c r="J7" s="595"/>
      <c r="L7" s="1"/>
      <c r="M7" s="1"/>
    </row>
    <row r="8" spans="1:13" x14ac:dyDescent="0.35">
      <c r="A8" s="9" t="s">
        <v>458</v>
      </c>
      <c r="B8" s="22" t="s">
        <v>340</v>
      </c>
      <c r="C8" s="22" t="s">
        <v>459</v>
      </c>
      <c r="F8" s="9" t="s">
        <v>458</v>
      </c>
      <c r="G8" s="22" t="s">
        <v>340</v>
      </c>
      <c r="H8" s="22" t="s">
        <v>460</v>
      </c>
      <c r="I8" s="22" t="s">
        <v>456</v>
      </c>
      <c r="J8" s="22" t="s">
        <v>459</v>
      </c>
    </row>
    <row r="9" spans="1:13" x14ac:dyDescent="0.35">
      <c r="A9" s="10" t="s">
        <v>272</v>
      </c>
      <c r="B9" s="70">
        <v>302.8</v>
      </c>
      <c r="C9" s="2">
        <f>+B9/(MAX($B$9:$B$11))*100</f>
        <v>100</v>
      </c>
      <c r="F9" s="10" t="s">
        <v>272</v>
      </c>
      <c r="G9" s="72">
        <v>0.31</v>
      </c>
      <c r="H9" s="12">
        <v>820.33898305084745</v>
      </c>
      <c r="I9" s="12">
        <f>H9/G9</f>
        <v>2646.2547840349916</v>
      </c>
      <c r="J9" s="2">
        <f>(MIN($H$9:$H$11))/H9*100</f>
        <v>22.593040371670831</v>
      </c>
    </row>
    <row r="10" spans="1:13" x14ac:dyDescent="0.35">
      <c r="A10" s="10" t="s">
        <v>273</v>
      </c>
      <c r="B10" s="70">
        <v>218.34</v>
      </c>
      <c r="C10" s="2">
        <f>+B10/(MAX($B$9:$B$11))*100</f>
        <v>72.107001321003963</v>
      </c>
      <c r="F10" s="10" t="s">
        <v>273</v>
      </c>
      <c r="G10" s="72">
        <v>0.16</v>
      </c>
      <c r="H10" s="12">
        <v>185.33951762523191</v>
      </c>
      <c r="I10" s="12">
        <f>H10/G10</f>
        <v>1158.3719851576993</v>
      </c>
      <c r="J10" s="2">
        <f>(MIN($H$9:$H$11))/H10*100</f>
        <v>100</v>
      </c>
    </row>
    <row r="11" spans="1:13" x14ac:dyDescent="0.35">
      <c r="A11" s="10" t="s">
        <v>412</v>
      </c>
      <c r="B11" s="70">
        <v>225.17</v>
      </c>
      <c r="C11" s="2">
        <f>+B11/(MAX($B$9:$B$11))*100</f>
        <v>74.362615587846761</v>
      </c>
      <c r="F11" s="10" t="s">
        <v>412</v>
      </c>
      <c r="G11" s="72">
        <v>0.3</v>
      </c>
      <c r="H11" s="12">
        <v>410.5</v>
      </c>
      <c r="I11" s="12">
        <f>H11/G11</f>
        <v>1368.3333333333335</v>
      </c>
      <c r="J11" s="2">
        <f>(MIN($H$9:$H$11))/H11*100</f>
        <v>45.149699786901806</v>
      </c>
    </row>
    <row r="13" spans="1:13" x14ac:dyDescent="0.35">
      <c r="A13" s="1" t="s">
        <v>462</v>
      </c>
      <c r="B13" s="594" t="s">
        <v>463</v>
      </c>
      <c r="C13" s="594"/>
      <c r="F13" s="1"/>
      <c r="G13" s="595" t="s">
        <v>464</v>
      </c>
      <c r="H13" s="595"/>
      <c r="I13" s="595"/>
      <c r="J13" s="595"/>
    </row>
    <row r="14" spans="1:13" x14ac:dyDescent="0.35">
      <c r="A14" s="9" t="s">
        <v>458</v>
      </c>
      <c r="B14" s="22" t="s">
        <v>340</v>
      </c>
      <c r="C14" s="22" t="s">
        <v>459</v>
      </c>
      <c r="F14" s="9" t="s">
        <v>227</v>
      </c>
      <c r="G14" s="22" t="s">
        <v>340</v>
      </c>
      <c r="H14" s="24" t="s">
        <v>465</v>
      </c>
      <c r="I14" s="24" t="s">
        <v>466</v>
      </c>
      <c r="J14" s="24" t="s">
        <v>459</v>
      </c>
    </row>
    <row r="15" spans="1:13" x14ac:dyDescent="0.35">
      <c r="A15" s="10" t="s">
        <v>272</v>
      </c>
      <c r="B15" s="129">
        <v>1.2013888888888999E-2</v>
      </c>
      <c r="C15" s="2">
        <f>+B15/(MAX($B$15:$B$17))*100</f>
        <v>99.520613614576405</v>
      </c>
      <c r="F15" s="10" t="s">
        <v>272</v>
      </c>
      <c r="G15" s="72">
        <v>1.7</v>
      </c>
      <c r="H15" s="91">
        <v>1.31</v>
      </c>
      <c r="I15" s="128">
        <f>G15/H15*100</f>
        <v>129.7709923664122</v>
      </c>
      <c r="J15" s="2">
        <f>I15/(MAX($I$15:$I$17))*100</f>
        <v>100</v>
      </c>
    </row>
    <row r="16" spans="1:13" x14ac:dyDescent="0.35">
      <c r="A16" s="10" t="s">
        <v>273</v>
      </c>
      <c r="B16" s="129">
        <v>1.150462962963E-2</v>
      </c>
      <c r="C16" s="2">
        <f>+B16/(MAX($B$15:$B$17))*100</f>
        <v>95.302013422823904</v>
      </c>
      <c r="F16" s="10" t="s">
        <v>273</v>
      </c>
      <c r="G16" s="72">
        <v>0.89</v>
      </c>
      <c r="H16" s="91">
        <v>0.69</v>
      </c>
      <c r="I16" s="128">
        <f t="shared" ref="I16:I17" si="0">G16/H16*100</f>
        <v>128.98550724637684</v>
      </c>
      <c r="J16" s="2">
        <f>I16/(MAX($I$15:$I$17))*100</f>
        <v>99.394714407502164</v>
      </c>
    </row>
    <row r="17" spans="1:10" x14ac:dyDescent="0.35">
      <c r="A17" s="10" t="s">
        <v>412</v>
      </c>
      <c r="B17" s="129">
        <v>1.2071759259258999E-2</v>
      </c>
      <c r="C17" s="2">
        <f>+B17/(MAX($B$15:$B$17))*100</f>
        <v>100</v>
      </c>
      <c r="F17" s="10" t="s">
        <v>412</v>
      </c>
      <c r="G17" s="72">
        <v>1.63</v>
      </c>
      <c r="H17" s="91">
        <v>1.58</v>
      </c>
      <c r="I17" s="128">
        <f t="shared" si="0"/>
        <v>103.16455696202532</v>
      </c>
      <c r="J17" s="2">
        <f>I17/(MAX($I$15:$I$17))*100</f>
        <v>79.49739389426658</v>
      </c>
    </row>
    <row r="18" spans="1:10" x14ac:dyDescent="0.35">
      <c r="A18" s="27"/>
      <c r="C18" s="7"/>
      <c r="F18" s="27"/>
      <c r="I18" s="28"/>
      <c r="J18" s="7"/>
    </row>
    <row r="19" spans="1:10" x14ac:dyDescent="0.35">
      <c r="A19" s="27"/>
      <c r="B19" s="29"/>
      <c r="C19" s="7"/>
      <c r="F19" s="27"/>
      <c r="G19" s="30"/>
      <c r="H19" s="30"/>
      <c r="I19" s="28"/>
      <c r="J19" s="7"/>
    </row>
    <row r="21" spans="1:10" x14ac:dyDescent="0.35">
      <c r="A21" s="22" t="s">
        <v>340</v>
      </c>
    </row>
    <row r="22" spans="1:10" x14ac:dyDescent="0.35">
      <c r="A22" s="9" t="s">
        <v>467</v>
      </c>
      <c r="B22" s="22">
        <v>0.3</v>
      </c>
      <c r="C22" s="22">
        <v>0.2</v>
      </c>
      <c r="D22" s="22">
        <v>0.3</v>
      </c>
      <c r="E22" s="22">
        <v>0.2</v>
      </c>
      <c r="F22" s="22"/>
    </row>
    <row r="23" spans="1:10" x14ac:dyDescent="0.35">
      <c r="A23" s="9" t="s">
        <v>458</v>
      </c>
      <c r="B23" s="22" t="s">
        <v>36</v>
      </c>
      <c r="C23" s="22" t="s">
        <v>468</v>
      </c>
      <c r="D23" s="22" t="s">
        <v>460</v>
      </c>
      <c r="E23" s="22" t="s">
        <v>469</v>
      </c>
      <c r="F23" s="22" t="s">
        <v>470</v>
      </c>
    </row>
    <row r="24" spans="1:10" x14ac:dyDescent="0.35">
      <c r="A24" s="122" t="s">
        <v>273</v>
      </c>
      <c r="B24" s="25">
        <f>VLOOKUP(A24,$A$8:$C$11,3,0)</f>
        <v>72.107001321003963</v>
      </c>
      <c r="C24" s="25">
        <f>VLOOKUP(A24,$A$14:$C$17,3,0)</f>
        <v>95.302013422823904</v>
      </c>
      <c r="D24" s="25">
        <f>VLOOKUP(A24,$F$8:$J$11,5,0)</f>
        <v>100</v>
      </c>
      <c r="E24" s="25">
        <f>VLOOKUP(A24,$F$14:$J$17,5,0)</f>
        <v>99.394714407502164</v>
      </c>
      <c r="F24" s="26">
        <f>B24*$B$22+C24*$C$22+D24*$D$22+E24*$E$22</f>
        <v>90.571445962366411</v>
      </c>
    </row>
    <row r="25" spans="1:10" x14ac:dyDescent="0.35">
      <c r="A25" s="122" t="s">
        <v>272</v>
      </c>
      <c r="B25" s="25">
        <f>VLOOKUP(A25,$A$8:$C$11,3,0)</f>
        <v>100</v>
      </c>
      <c r="C25" s="25">
        <f>VLOOKUP(A25,$A$14:$C$17,3,0)</f>
        <v>99.520613614576405</v>
      </c>
      <c r="D25" s="25">
        <f>VLOOKUP(A25,$F$8:$J$11,5,0)</f>
        <v>22.593040371670831</v>
      </c>
      <c r="E25" s="25">
        <f>VLOOKUP(A25,$F$14:$J$17,5,0)</f>
        <v>100</v>
      </c>
      <c r="F25" s="26">
        <f>B25*$B$22+C25*$C$22+D25*$D$22+E25*$E$22</f>
        <v>76.682034834416527</v>
      </c>
    </row>
    <row r="26" spans="1:10" x14ac:dyDescent="0.35">
      <c r="A26" s="122" t="s">
        <v>412</v>
      </c>
      <c r="B26" s="25">
        <f>VLOOKUP(A26,$A$8:$C$11,3,0)</f>
        <v>74.362615587846761</v>
      </c>
      <c r="C26" s="25">
        <f>VLOOKUP(A26,$A$14:$C$17,3,0)</f>
        <v>100</v>
      </c>
      <c r="D26" s="25">
        <f>VLOOKUP(A26,$F$8:$J$11,5,0)</f>
        <v>45.149699786901806</v>
      </c>
      <c r="E26" s="25">
        <f>VLOOKUP(A26,$F$14:$J$17,5,0)</f>
        <v>79.49739389426658</v>
      </c>
      <c r="F26" s="26">
        <f>B26*$B$22+C26*$C$22+D26*$D$22+E26*$E$22</f>
        <v>71.753173391277883</v>
      </c>
    </row>
  </sheetData>
  <sortState xmlns:xlrd2="http://schemas.microsoft.com/office/spreadsheetml/2017/richdata2" ref="A24:F26">
    <sortCondition descending="1" ref="F24:F26"/>
  </sortState>
  <mergeCells count="4">
    <mergeCell ref="B7:C7"/>
    <mergeCell ref="G7:J7"/>
    <mergeCell ref="B13:C13"/>
    <mergeCell ref="G13:J13"/>
  </mergeCells>
  <conditionalFormatting sqref="F24:F26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4:F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EE411-D535-42AC-A12F-F30F3452757C}">
  <sheetPr>
    <tabColor rgb="FF7030A0"/>
  </sheetPr>
  <dimension ref="A1:L40"/>
  <sheetViews>
    <sheetView showGridLines="0" zoomScale="70" zoomScaleNormal="70" workbookViewId="0">
      <selection activeCell="M21" sqref="M21"/>
    </sheetView>
  </sheetViews>
  <sheetFormatPr defaultColWidth="9.08984375" defaultRowHeight="14.5" x14ac:dyDescent="0.35"/>
  <cols>
    <col min="1" max="1" width="30.08984375" style="63" bestFit="1" customWidth="1"/>
    <col min="2" max="2" width="12.90625" style="63" bestFit="1" customWidth="1"/>
    <col min="3" max="3" width="10" style="63" bestFit="1" customWidth="1"/>
    <col min="4" max="4" width="12.08984375" style="63" bestFit="1" customWidth="1"/>
    <col min="5" max="5" width="9.08984375" style="63" bestFit="1" customWidth="1"/>
    <col min="6" max="6" width="26.90625" style="63" bestFit="1" customWidth="1"/>
    <col min="7" max="7" width="14.453125" style="63" bestFit="1" customWidth="1"/>
    <col min="8" max="8" width="8.90625" style="63" bestFit="1" customWidth="1"/>
    <col min="9" max="9" width="9.453125" style="63" bestFit="1" customWidth="1"/>
    <col min="10" max="10" width="6.90625" style="63" bestFit="1" customWidth="1"/>
    <col min="11" max="11" width="9.54296875" style="64" bestFit="1" customWidth="1"/>
    <col min="12" max="12" width="14.90625" style="63" bestFit="1" customWidth="1"/>
    <col min="13" max="16384" width="9.08984375" style="63"/>
  </cols>
  <sheetData>
    <row r="1" spans="1:10" x14ac:dyDescent="0.35">
      <c r="A1" s="1" t="s">
        <v>225</v>
      </c>
    </row>
    <row r="2" spans="1:10" x14ac:dyDescent="0.35">
      <c r="A2" s="1" t="s">
        <v>471</v>
      </c>
    </row>
    <row r="3" spans="1:10" x14ac:dyDescent="0.35">
      <c r="A3" s="1" t="s">
        <v>29</v>
      </c>
    </row>
    <row r="4" spans="1:10" x14ac:dyDescent="0.35">
      <c r="A4" s="23" t="s">
        <v>226</v>
      </c>
    </row>
    <row r="5" spans="1:10" x14ac:dyDescent="0.35">
      <c r="A5" s="8" t="s">
        <v>492</v>
      </c>
    </row>
    <row r="6" spans="1:10" ht="15" customHeight="1" x14ac:dyDescent="0.35"/>
    <row r="8" spans="1:10" x14ac:dyDescent="0.35">
      <c r="A8" s="65" t="s">
        <v>454</v>
      </c>
      <c r="B8" s="590" t="s">
        <v>455</v>
      </c>
      <c r="C8" s="591"/>
      <c r="D8" s="66"/>
      <c r="E8" s="66"/>
      <c r="F8" s="65" t="s">
        <v>456</v>
      </c>
      <c r="G8" s="592" t="s">
        <v>457</v>
      </c>
      <c r="H8" s="592"/>
      <c r="I8" s="592"/>
      <c r="J8" s="592"/>
    </row>
    <row r="9" spans="1:10" x14ac:dyDescent="0.35">
      <c r="A9" s="67" t="s">
        <v>458</v>
      </c>
      <c r="B9" s="22" t="s">
        <v>340</v>
      </c>
      <c r="C9" s="68" t="s">
        <v>459</v>
      </c>
      <c r="D9" s="66"/>
      <c r="E9" s="66"/>
      <c r="F9" s="67" t="s">
        <v>458</v>
      </c>
      <c r="G9" s="22" t="s">
        <v>340</v>
      </c>
      <c r="H9" s="68" t="s">
        <v>460</v>
      </c>
      <c r="I9" s="68" t="s">
        <v>456</v>
      </c>
      <c r="J9" s="68" t="s">
        <v>459</v>
      </c>
    </row>
    <row r="10" spans="1:10" x14ac:dyDescent="0.35">
      <c r="A10" s="69" t="s">
        <v>413</v>
      </c>
      <c r="B10" s="70">
        <v>1224.3499999999999</v>
      </c>
      <c r="C10" s="70">
        <f t="shared" ref="C10:C16" si="0">B10/MAX($B$10:$B$16)*100</f>
        <v>100</v>
      </c>
      <c r="D10" s="66"/>
      <c r="E10" s="66"/>
      <c r="F10" s="69" t="s">
        <v>277</v>
      </c>
      <c r="G10" s="72">
        <v>0.27</v>
      </c>
      <c r="H10" s="70">
        <v>771.04938271604942</v>
      </c>
      <c r="I10" s="73">
        <f t="shared" ref="I10:I16" si="1">+H10/G10</f>
        <v>2855.7384545038867</v>
      </c>
      <c r="J10" s="70">
        <f t="shared" ref="J10:J16" si="2">MIN($I$10:$I$16)/I10*100</f>
        <v>100</v>
      </c>
    </row>
    <row r="11" spans="1:10" x14ac:dyDescent="0.35">
      <c r="A11" s="69" t="s">
        <v>276</v>
      </c>
      <c r="B11" s="70">
        <v>1055.17</v>
      </c>
      <c r="C11" s="70">
        <f t="shared" si="0"/>
        <v>86.182055784702101</v>
      </c>
      <c r="D11" s="66"/>
      <c r="E11" s="66"/>
      <c r="F11" s="69" t="s">
        <v>275</v>
      </c>
      <c r="G11" s="72">
        <v>0.45</v>
      </c>
      <c r="H11" s="70">
        <v>2552.8125</v>
      </c>
      <c r="I11" s="73">
        <f t="shared" si="1"/>
        <v>5672.916666666667</v>
      </c>
      <c r="J11" s="70">
        <f t="shared" si="2"/>
        <v>50.339862583983304</v>
      </c>
    </row>
    <row r="12" spans="1:10" x14ac:dyDescent="0.35">
      <c r="A12" s="69" t="s">
        <v>275</v>
      </c>
      <c r="B12" s="70">
        <v>870.98</v>
      </c>
      <c r="C12" s="70">
        <f t="shared" si="0"/>
        <v>71.138154939355587</v>
      </c>
      <c r="D12" s="66"/>
      <c r="E12" s="66"/>
      <c r="F12" s="69" t="s">
        <v>276</v>
      </c>
      <c r="G12" s="72">
        <v>0.7</v>
      </c>
      <c r="H12" s="70">
        <v>5493.1623931623926</v>
      </c>
      <c r="I12" s="73">
        <f t="shared" si="1"/>
        <v>7847.3748473748474</v>
      </c>
      <c r="J12" s="70">
        <f t="shared" si="2"/>
        <v>36.391003489010167</v>
      </c>
    </row>
    <row r="13" spans="1:10" x14ac:dyDescent="0.35">
      <c r="A13" s="69" t="s">
        <v>277</v>
      </c>
      <c r="B13" s="70">
        <v>1015.93</v>
      </c>
      <c r="C13" s="70">
        <f t="shared" si="0"/>
        <v>82.97708988442848</v>
      </c>
      <c r="D13" s="66"/>
      <c r="E13" s="66"/>
      <c r="F13" s="69" t="s">
        <v>413</v>
      </c>
      <c r="G13" s="72">
        <v>1.65</v>
      </c>
      <c r="H13" s="70">
        <v>8034.4337349397583</v>
      </c>
      <c r="I13" s="73">
        <f t="shared" si="1"/>
        <v>4869.3537787513687</v>
      </c>
      <c r="J13" s="70">
        <f t="shared" si="2"/>
        <v>58.647175462288423</v>
      </c>
    </row>
    <row r="14" spans="1:10" x14ac:dyDescent="0.35">
      <c r="A14" s="69" t="s">
        <v>274</v>
      </c>
      <c r="B14" s="70">
        <v>945.98</v>
      </c>
      <c r="C14" s="70">
        <f t="shared" si="0"/>
        <v>77.263854290031446</v>
      </c>
      <c r="D14" s="66"/>
      <c r="E14" s="66"/>
      <c r="F14" s="69" t="s">
        <v>414</v>
      </c>
      <c r="G14" s="72">
        <v>0.04</v>
      </c>
      <c r="H14" s="70">
        <v>431.24999999999994</v>
      </c>
      <c r="I14" s="73">
        <f t="shared" si="1"/>
        <v>10781.249999999998</v>
      </c>
      <c r="J14" s="70">
        <f t="shared" si="2"/>
        <v>26.488008853369386</v>
      </c>
    </row>
    <row r="15" spans="1:10" x14ac:dyDescent="0.35">
      <c r="A15" s="69" t="s">
        <v>414</v>
      </c>
      <c r="B15" s="70">
        <v>590.91999999999996</v>
      </c>
      <c r="C15" s="70">
        <f t="shared" si="0"/>
        <v>48.263976804018462</v>
      </c>
      <c r="D15" s="66"/>
      <c r="E15" s="66"/>
      <c r="F15" s="69" t="s">
        <v>274</v>
      </c>
      <c r="G15" s="72">
        <v>0.06</v>
      </c>
      <c r="H15" s="70">
        <v>499.23280423280426</v>
      </c>
      <c r="I15" s="73">
        <f t="shared" si="1"/>
        <v>8320.5467372134044</v>
      </c>
      <c r="J15" s="70">
        <f t="shared" si="2"/>
        <v>34.321524110088575</v>
      </c>
    </row>
    <row r="16" spans="1:10" x14ac:dyDescent="0.35">
      <c r="A16" s="69" t="s">
        <v>342</v>
      </c>
      <c r="B16" s="70">
        <v>112.48</v>
      </c>
      <c r="C16" s="70">
        <f t="shared" si="0"/>
        <v>9.1869155061869581</v>
      </c>
      <c r="D16" s="66"/>
      <c r="E16" s="66"/>
      <c r="F16" s="69" t="s">
        <v>342</v>
      </c>
      <c r="G16" s="72">
        <v>0.01</v>
      </c>
      <c r="H16" s="70">
        <v>1000</v>
      </c>
      <c r="I16" s="73">
        <f t="shared" si="1"/>
        <v>100000</v>
      </c>
      <c r="J16" s="70">
        <f t="shared" si="2"/>
        <v>2.8557384545038866</v>
      </c>
    </row>
    <row r="17" spans="1:12" x14ac:dyDescent="0.35">
      <c r="A17" s="76"/>
      <c r="B17" s="71"/>
      <c r="C17" s="71"/>
      <c r="D17" s="66"/>
      <c r="E17" s="66"/>
      <c r="F17" s="76"/>
      <c r="G17" s="77"/>
      <c r="H17" s="71"/>
      <c r="I17" s="64"/>
      <c r="J17" s="71"/>
    </row>
    <row r="18" spans="1:12" ht="15" thickBot="1" x14ac:dyDescent="0.4">
      <c r="A18" s="66"/>
      <c r="B18" s="66"/>
      <c r="C18" s="66"/>
      <c r="D18" s="66"/>
      <c r="E18" s="66"/>
      <c r="F18" s="66"/>
      <c r="G18" s="66"/>
      <c r="H18" s="66"/>
      <c r="I18" s="66"/>
      <c r="J18" s="66"/>
    </row>
    <row r="19" spans="1:12" x14ac:dyDescent="0.35">
      <c r="A19" s="65" t="s">
        <v>462</v>
      </c>
      <c r="B19" s="590" t="s">
        <v>463</v>
      </c>
      <c r="C19" s="591"/>
      <c r="D19" s="66"/>
      <c r="E19" s="66"/>
      <c r="F19" s="65"/>
      <c r="G19" s="595" t="s">
        <v>464</v>
      </c>
      <c r="H19" s="595"/>
      <c r="I19" s="595"/>
      <c r="J19" s="595"/>
      <c r="K19" s="91"/>
    </row>
    <row r="20" spans="1:12" x14ac:dyDescent="0.35">
      <c r="A20" s="67" t="s">
        <v>458</v>
      </c>
      <c r="B20" s="22" t="s">
        <v>340</v>
      </c>
      <c r="C20" s="68" t="s">
        <v>459</v>
      </c>
      <c r="D20" s="66"/>
      <c r="E20" s="66"/>
      <c r="F20" s="67" t="s">
        <v>458</v>
      </c>
      <c r="G20" s="22" t="s">
        <v>340</v>
      </c>
      <c r="H20" s="68" t="s">
        <v>465</v>
      </c>
      <c r="I20" s="68" t="s">
        <v>466</v>
      </c>
      <c r="J20" s="68" t="s">
        <v>459</v>
      </c>
    </row>
    <row r="21" spans="1:12" x14ac:dyDescent="0.35">
      <c r="A21" s="69" t="s">
        <v>413</v>
      </c>
      <c r="B21" s="129">
        <v>1.3171296296296001E-2</v>
      </c>
      <c r="C21" s="70">
        <f t="shared" ref="C21:C27" si="3">+B21/(MAX($B$21:$B$27))*100</f>
        <v>100</v>
      </c>
      <c r="D21" s="66"/>
      <c r="F21" s="69" t="s">
        <v>414</v>
      </c>
      <c r="G21" s="72">
        <v>0.27</v>
      </c>
      <c r="H21" s="91">
        <v>0.35</v>
      </c>
      <c r="I21" s="73">
        <f t="shared" ref="I21:I27" si="4">G21/H21*100</f>
        <v>77.142857142857153</v>
      </c>
      <c r="J21" s="70">
        <f t="shared" ref="J21:J27" si="5">+I21/(MAX($I$21:$I$27))*100</f>
        <v>80.425531914893639</v>
      </c>
      <c r="L21" s="81"/>
    </row>
    <row r="22" spans="1:12" x14ac:dyDescent="0.35">
      <c r="A22" s="69" t="s">
        <v>275</v>
      </c>
      <c r="B22" s="129">
        <v>1.2233796296296E-2</v>
      </c>
      <c r="C22" s="70">
        <f t="shared" si="3"/>
        <v>92.88224956063253</v>
      </c>
      <c r="D22" s="66"/>
      <c r="F22" s="69" t="s">
        <v>274</v>
      </c>
      <c r="G22" s="72">
        <v>0.46</v>
      </c>
      <c r="H22" s="91">
        <v>0.56000000000000005</v>
      </c>
      <c r="I22" s="73">
        <f t="shared" si="4"/>
        <v>82.142857142857139</v>
      </c>
      <c r="J22" s="70">
        <f t="shared" si="5"/>
        <v>85.638297872340431</v>
      </c>
      <c r="L22" s="81"/>
    </row>
    <row r="23" spans="1:12" x14ac:dyDescent="0.35">
      <c r="A23" s="69" t="s">
        <v>276</v>
      </c>
      <c r="B23" s="129">
        <v>1.2245370370370001E-2</v>
      </c>
      <c r="C23" s="70">
        <f t="shared" si="3"/>
        <v>92.97012302284638</v>
      </c>
      <c r="D23" s="66"/>
      <c r="F23" s="69" t="s">
        <v>413</v>
      </c>
      <c r="G23" s="72">
        <v>11.71</v>
      </c>
      <c r="H23" s="91">
        <v>13.39</v>
      </c>
      <c r="I23" s="73">
        <f t="shared" si="4"/>
        <v>87.453323375653483</v>
      </c>
      <c r="J23" s="70">
        <f t="shared" si="5"/>
        <v>91.174741391638747</v>
      </c>
      <c r="L23" s="81"/>
    </row>
    <row r="24" spans="1:12" x14ac:dyDescent="0.35">
      <c r="A24" s="69" t="s">
        <v>342</v>
      </c>
      <c r="B24" s="129">
        <v>7.3726851851849996E-3</v>
      </c>
      <c r="C24" s="70">
        <f t="shared" si="3"/>
        <v>55.975395430579809</v>
      </c>
      <c r="D24" s="66"/>
      <c r="F24" s="69" t="s">
        <v>276</v>
      </c>
      <c r="G24" s="72">
        <v>4.96</v>
      </c>
      <c r="H24" s="91">
        <v>5.29</v>
      </c>
      <c r="I24" s="73">
        <f t="shared" si="4"/>
        <v>93.761814744801512</v>
      </c>
      <c r="J24" s="70">
        <f t="shared" si="5"/>
        <v>97.75167920202712</v>
      </c>
      <c r="L24" s="81"/>
    </row>
    <row r="25" spans="1:12" x14ac:dyDescent="0.35">
      <c r="A25" s="69" t="s">
        <v>277</v>
      </c>
      <c r="B25" s="129">
        <v>9.5023148148149997E-3</v>
      </c>
      <c r="C25" s="70">
        <f t="shared" si="3"/>
        <v>72.144112478034657</v>
      </c>
      <c r="D25" s="66"/>
      <c r="F25" s="69" t="s">
        <v>277</v>
      </c>
      <c r="G25" s="72">
        <v>1.88</v>
      </c>
      <c r="H25" s="91">
        <v>1.96</v>
      </c>
      <c r="I25" s="73">
        <f t="shared" si="4"/>
        <v>95.918367346938766</v>
      </c>
      <c r="J25" s="70">
        <f t="shared" si="5"/>
        <v>100</v>
      </c>
      <c r="L25" s="81"/>
    </row>
    <row r="26" spans="1:12" x14ac:dyDescent="0.35">
      <c r="A26" s="69" t="s">
        <v>414</v>
      </c>
      <c r="B26" s="129">
        <v>7.4421296296299996E-3</v>
      </c>
      <c r="C26" s="70">
        <f t="shared" si="3"/>
        <v>56.502636203870502</v>
      </c>
      <c r="D26" s="66"/>
      <c r="F26" s="69" t="s">
        <v>275</v>
      </c>
      <c r="G26" s="72">
        <v>3.16</v>
      </c>
      <c r="H26" s="91">
        <v>3.59</v>
      </c>
      <c r="I26" s="73">
        <f t="shared" si="4"/>
        <v>88.022284122562681</v>
      </c>
      <c r="J26" s="70">
        <f t="shared" si="5"/>
        <v>91.767913234161099</v>
      </c>
      <c r="L26" s="81"/>
    </row>
    <row r="27" spans="1:12" x14ac:dyDescent="0.35">
      <c r="A27" s="69" t="s">
        <v>274</v>
      </c>
      <c r="B27" s="129">
        <v>7.2569444444440002E-3</v>
      </c>
      <c r="C27" s="70">
        <f t="shared" si="3"/>
        <v>55.096660808433718</v>
      </c>
      <c r="D27" s="66"/>
      <c r="F27" s="69" t="s">
        <v>342</v>
      </c>
      <c r="G27" s="72">
        <v>0.05</v>
      </c>
      <c r="H27" s="91">
        <v>0.16</v>
      </c>
      <c r="I27" s="73">
        <f t="shared" si="4"/>
        <v>31.25</v>
      </c>
      <c r="J27" s="70">
        <f t="shared" si="5"/>
        <v>32.579787234042556</v>
      </c>
      <c r="L27" s="81"/>
    </row>
    <row r="28" spans="1:12" x14ac:dyDescent="0.35">
      <c r="A28" s="76"/>
      <c r="B28" s="71"/>
      <c r="C28" s="71"/>
      <c r="D28" s="66"/>
      <c r="E28" s="66"/>
      <c r="F28" s="76"/>
      <c r="G28" s="77"/>
      <c r="H28" s="71"/>
      <c r="I28" s="64"/>
      <c r="J28" s="71"/>
    </row>
    <row r="31" spans="1:12" x14ac:dyDescent="0.35">
      <c r="A31" s="22" t="s">
        <v>340</v>
      </c>
      <c r="B31" s="82"/>
      <c r="C31" s="82"/>
      <c r="D31" s="82"/>
      <c r="E31" s="82"/>
      <c r="F31" s="82"/>
    </row>
    <row r="32" spans="1:12" x14ac:dyDescent="0.35">
      <c r="A32" s="83" t="s">
        <v>467</v>
      </c>
      <c r="B32" s="68">
        <v>0.3</v>
      </c>
      <c r="C32" s="68">
        <v>0.15</v>
      </c>
      <c r="D32" s="68">
        <v>0.3</v>
      </c>
      <c r="E32" s="68">
        <v>0.25</v>
      </c>
      <c r="F32" s="84"/>
    </row>
    <row r="33" spans="1:6" x14ac:dyDescent="0.35">
      <c r="A33" s="83" t="s">
        <v>458</v>
      </c>
      <c r="B33" s="84" t="s">
        <v>36</v>
      </c>
      <c r="C33" s="84" t="s">
        <v>468</v>
      </c>
      <c r="D33" s="84" t="s">
        <v>456</v>
      </c>
      <c r="E33" s="84" t="s">
        <v>469</v>
      </c>
      <c r="F33" s="84" t="s">
        <v>470</v>
      </c>
    </row>
    <row r="34" spans="1:6" x14ac:dyDescent="0.35">
      <c r="A34" s="85" t="s">
        <v>277</v>
      </c>
      <c r="B34" s="86">
        <f t="shared" ref="B34:B40" si="6">VLOOKUP(A34,$A$10:$C$16,3,0)</f>
        <v>82.97708988442848</v>
      </c>
      <c r="C34" s="86">
        <f t="shared" ref="C34:C40" si="7">VLOOKUP(A34,$A$21:$C$27,3,0)</f>
        <v>72.144112478034657</v>
      </c>
      <c r="D34" s="86">
        <f t="shared" ref="D34:D40" si="8">VLOOKUP(A34,$F$10:$J$16,5,0)</f>
        <v>100</v>
      </c>
      <c r="E34" s="86">
        <f t="shared" ref="E34:E40" si="9">VLOOKUP(A34,$F$21:$J$27,5,0)</f>
        <v>100</v>
      </c>
      <c r="F34" s="87">
        <f t="shared" ref="F34:F40" si="10">(B34*B$32)+(C34*C$32)+(D34*D$32)+(E34*E$32)</f>
        <v>90.714743837033751</v>
      </c>
    </row>
    <row r="35" spans="1:6" x14ac:dyDescent="0.35">
      <c r="A35" s="85" t="s">
        <v>413</v>
      </c>
      <c r="B35" s="86">
        <f t="shared" si="6"/>
        <v>100</v>
      </c>
      <c r="C35" s="86">
        <f t="shared" si="7"/>
        <v>100</v>
      </c>
      <c r="D35" s="86">
        <f t="shared" si="8"/>
        <v>58.647175462288423</v>
      </c>
      <c r="E35" s="86">
        <f t="shared" si="9"/>
        <v>91.174741391638747</v>
      </c>
      <c r="F35" s="87">
        <f t="shared" si="10"/>
        <v>85.38783798659621</v>
      </c>
    </row>
    <row r="36" spans="1:6" x14ac:dyDescent="0.35">
      <c r="A36" s="85" t="s">
        <v>276</v>
      </c>
      <c r="B36" s="86">
        <f t="shared" si="6"/>
        <v>86.182055784702101</v>
      </c>
      <c r="C36" s="86">
        <f t="shared" si="7"/>
        <v>92.97012302284638</v>
      </c>
      <c r="D36" s="86">
        <f t="shared" si="8"/>
        <v>36.391003489010167</v>
      </c>
      <c r="E36" s="86">
        <f t="shared" si="9"/>
        <v>97.75167920202712</v>
      </c>
      <c r="F36" s="87">
        <f t="shared" si="10"/>
        <v>75.155356036047422</v>
      </c>
    </row>
    <row r="37" spans="1:6" x14ac:dyDescent="0.35">
      <c r="A37" s="85" t="s">
        <v>275</v>
      </c>
      <c r="B37" s="86">
        <f t="shared" si="6"/>
        <v>71.138154939355587</v>
      </c>
      <c r="C37" s="86">
        <f t="shared" si="7"/>
        <v>92.88224956063253</v>
      </c>
      <c r="D37" s="86">
        <f t="shared" si="8"/>
        <v>50.339862583983304</v>
      </c>
      <c r="E37" s="86">
        <f t="shared" si="9"/>
        <v>91.767913234161099</v>
      </c>
      <c r="F37" s="87">
        <f t="shared" si="10"/>
        <v>73.317720999636819</v>
      </c>
    </row>
    <row r="38" spans="1:6" x14ac:dyDescent="0.35">
      <c r="A38" s="69" t="s">
        <v>274</v>
      </c>
      <c r="B38" s="87">
        <f t="shared" si="6"/>
        <v>77.263854290031446</v>
      </c>
      <c r="C38" s="87">
        <f t="shared" si="7"/>
        <v>55.096660808433718</v>
      </c>
      <c r="D38" s="87">
        <f t="shared" si="8"/>
        <v>34.321524110088575</v>
      </c>
      <c r="E38" s="87">
        <f t="shared" si="9"/>
        <v>85.638297872340431</v>
      </c>
      <c r="F38" s="87">
        <f t="shared" si="10"/>
        <v>63.149687109386178</v>
      </c>
    </row>
    <row r="39" spans="1:6" x14ac:dyDescent="0.35">
      <c r="A39" s="69" t="s">
        <v>414</v>
      </c>
      <c r="B39" s="87">
        <f t="shared" si="6"/>
        <v>48.263976804018462</v>
      </c>
      <c r="C39" s="87">
        <f t="shared" si="7"/>
        <v>56.502636203870502</v>
      </c>
      <c r="D39" s="87">
        <f t="shared" si="8"/>
        <v>26.488008853369386</v>
      </c>
      <c r="E39" s="87">
        <f t="shared" si="9"/>
        <v>80.425531914893639</v>
      </c>
      <c r="F39" s="87">
        <f t="shared" si="10"/>
        <v>51.007374106520331</v>
      </c>
    </row>
    <row r="40" spans="1:6" x14ac:dyDescent="0.35">
      <c r="A40" s="69" t="s">
        <v>342</v>
      </c>
      <c r="B40" s="87">
        <f t="shared" si="6"/>
        <v>9.1869155061869581</v>
      </c>
      <c r="C40" s="87">
        <f t="shared" si="7"/>
        <v>55.975395430579809</v>
      </c>
      <c r="D40" s="87">
        <f t="shared" si="8"/>
        <v>2.8557384545038866</v>
      </c>
      <c r="E40" s="87">
        <f t="shared" si="9"/>
        <v>32.579787234042556</v>
      </c>
      <c r="F40" s="87">
        <f t="shared" si="10"/>
        <v>20.154052311304863</v>
      </c>
    </row>
  </sheetData>
  <sortState xmlns:xlrd2="http://schemas.microsoft.com/office/spreadsheetml/2017/richdata2" ref="A34:F40">
    <sortCondition descending="1" ref="F34:F40"/>
  </sortState>
  <mergeCells count="4">
    <mergeCell ref="B8:C8"/>
    <mergeCell ref="G8:J8"/>
    <mergeCell ref="B19:C19"/>
    <mergeCell ref="G19:J19"/>
  </mergeCells>
  <conditionalFormatting sqref="F34:F4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7F732-ECB8-4F1C-8DD6-756F20A24BB9}">
  <sheetPr>
    <tabColor rgb="FF7030A0"/>
  </sheetPr>
  <dimension ref="A1:L25"/>
  <sheetViews>
    <sheetView showGridLines="0" zoomScale="70" zoomScaleNormal="70" workbookViewId="0">
      <selection activeCell="M21" sqref="M21"/>
    </sheetView>
  </sheetViews>
  <sheetFormatPr defaultColWidth="9.08984375" defaultRowHeight="14.5" x14ac:dyDescent="0.35"/>
  <cols>
    <col min="1" max="1" width="30.08984375" style="63" bestFit="1" customWidth="1"/>
    <col min="2" max="2" width="12.90625" style="63" bestFit="1" customWidth="1"/>
    <col min="3" max="3" width="10" style="63" bestFit="1" customWidth="1"/>
    <col min="4" max="4" width="12.08984375" style="63" bestFit="1" customWidth="1"/>
    <col min="5" max="5" width="9.08984375" style="63" bestFit="1"/>
    <col min="6" max="6" width="26.90625" style="63" bestFit="1" customWidth="1"/>
    <col min="7" max="7" width="14.453125" style="63" bestFit="1" customWidth="1"/>
    <col min="8" max="8" width="8.90625" style="63" bestFit="1" customWidth="1"/>
    <col min="9" max="9" width="9.453125" style="63" bestFit="1" customWidth="1"/>
    <col min="10" max="10" width="6.90625" style="63" bestFit="1" customWidth="1"/>
    <col min="11" max="11" width="9.54296875" style="64" bestFit="1" customWidth="1"/>
    <col min="12" max="12" width="14.90625" style="63" bestFit="1" customWidth="1"/>
    <col min="13" max="16384" width="9.08984375" style="63"/>
  </cols>
  <sheetData>
    <row r="1" spans="1:12" x14ac:dyDescent="0.35">
      <c r="A1" s="1" t="s">
        <v>225</v>
      </c>
    </row>
    <row r="2" spans="1:12" x14ac:dyDescent="0.35">
      <c r="A2" s="1" t="s">
        <v>471</v>
      </c>
    </row>
    <row r="3" spans="1:12" x14ac:dyDescent="0.35">
      <c r="A3" s="1" t="s">
        <v>29</v>
      </c>
    </row>
    <row r="4" spans="1:12" x14ac:dyDescent="0.35">
      <c r="A4" s="23" t="s">
        <v>226</v>
      </c>
    </row>
    <row r="5" spans="1:12" x14ac:dyDescent="0.35">
      <c r="A5" s="8" t="s">
        <v>492</v>
      </c>
    </row>
    <row r="6" spans="1:12" ht="15" customHeight="1" x14ac:dyDescent="0.35"/>
    <row r="8" spans="1:12" x14ac:dyDescent="0.35">
      <c r="A8" s="65" t="s">
        <v>454</v>
      </c>
      <c r="B8" s="590" t="s">
        <v>455</v>
      </c>
      <c r="C8" s="591"/>
      <c r="D8" s="66"/>
      <c r="E8" s="66"/>
      <c r="F8" s="65" t="s">
        <v>456</v>
      </c>
      <c r="G8" s="592" t="s">
        <v>457</v>
      </c>
      <c r="H8" s="592"/>
      <c r="I8" s="592"/>
      <c r="J8" s="592"/>
    </row>
    <row r="9" spans="1:12" x14ac:dyDescent="0.35">
      <c r="A9" s="67" t="s">
        <v>458</v>
      </c>
      <c r="B9" s="22" t="s">
        <v>340</v>
      </c>
      <c r="C9" s="68" t="s">
        <v>459</v>
      </c>
      <c r="D9" s="66"/>
      <c r="E9" s="66"/>
      <c r="F9" s="67" t="s">
        <v>458</v>
      </c>
      <c r="G9" s="22" t="s">
        <v>340</v>
      </c>
      <c r="H9" s="68" t="s">
        <v>460</v>
      </c>
      <c r="I9" s="68" t="s">
        <v>456</v>
      </c>
      <c r="J9" s="68" t="s">
        <v>459</v>
      </c>
    </row>
    <row r="10" spans="1:12" x14ac:dyDescent="0.35">
      <c r="A10" s="69" t="s">
        <v>279</v>
      </c>
      <c r="B10" s="70">
        <v>898.83</v>
      </c>
      <c r="C10" s="70">
        <f>B10/MAX($B$10:$B$11)*100</f>
        <v>85.444175103379436</v>
      </c>
      <c r="D10" s="66"/>
      <c r="E10" s="66"/>
      <c r="F10" s="69" t="s">
        <v>279</v>
      </c>
      <c r="G10" s="72">
        <v>0.1</v>
      </c>
      <c r="H10" s="70">
        <v>479.31355932203383</v>
      </c>
      <c r="I10" s="73">
        <f t="shared" ref="I10:I11" si="0">+H10/G10</f>
        <v>4793.1355932203378</v>
      </c>
      <c r="J10" s="70">
        <f>MIN($I$10:$I$11)/I10*100</f>
        <v>100</v>
      </c>
    </row>
    <row r="11" spans="1:12" x14ac:dyDescent="0.35">
      <c r="A11" s="69" t="s">
        <v>278</v>
      </c>
      <c r="B11" s="70">
        <v>1051.95</v>
      </c>
      <c r="C11" s="70">
        <f>B11/MAX($B$10:$B$11)*100</f>
        <v>100</v>
      </c>
      <c r="D11" s="66"/>
      <c r="E11" s="66"/>
      <c r="F11" s="69" t="s">
        <v>278</v>
      </c>
      <c r="G11" s="72">
        <v>0.14000000000000001</v>
      </c>
      <c r="H11" s="70">
        <v>1112.9164531009737</v>
      </c>
      <c r="I11" s="73">
        <f t="shared" si="0"/>
        <v>7949.4032364355262</v>
      </c>
      <c r="J11" s="70">
        <f>MIN($I$10:$I$11)/I11*100</f>
        <v>60.295539811735054</v>
      </c>
    </row>
    <row r="12" spans="1:12" x14ac:dyDescent="0.35">
      <c r="A12" s="76"/>
      <c r="B12" s="71"/>
      <c r="C12" s="71"/>
      <c r="D12" s="66"/>
      <c r="E12" s="66"/>
      <c r="F12" s="76"/>
      <c r="G12" s="77"/>
      <c r="H12" s="71"/>
      <c r="I12" s="64"/>
      <c r="J12" s="71"/>
    </row>
    <row r="13" spans="1:12" ht="15" thickBot="1" x14ac:dyDescent="0.4">
      <c r="A13" s="66"/>
      <c r="B13" s="66"/>
      <c r="C13" s="66"/>
      <c r="D13" s="66"/>
      <c r="E13" s="66"/>
      <c r="F13" s="66"/>
      <c r="G13" s="66"/>
      <c r="H13" s="66"/>
      <c r="I13" s="66"/>
      <c r="J13" s="66"/>
    </row>
    <row r="14" spans="1:12" x14ac:dyDescent="0.35">
      <c r="A14" s="65" t="s">
        <v>462</v>
      </c>
      <c r="B14" s="590" t="s">
        <v>463</v>
      </c>
      <c r="C14" s="591"/>
      <c r="D14" s="66"/>
      <c r="E14" s="66"/>
      <c r="F14" s="65"/>
      <c r="G14" s="595" t="s">
        <v>464</v>
      </c>
      <c r="H14" s="595"/>
      <c r="I14" s="595"/>
      <c r="J14" s="595"/>
      <c r="K14" s="91"/>
    </row>
    <row r="15" spans="1:12" x14ac:dyDescent="0.35">
      <c r="A15" s="67" t="s">
        <v>458</v>
      </c>
      <c r="B15" s="22" t="s">
        <v>340</v>
      </c>
      <c r="C15" s="68" t="s">
        <v>459</v>
      </c>
      <c r="D15" s="66"/>
      <c r="E15" s="66"/>
      <c r="F15" s="67" t="s">
        <v>458</v>
      </c>
      <c r="G15" s="22" t="s">
        <v>340</v>
      </c>
      <c r="H15" s="68" t="s">
        <v>465</v>
      </c>
      <c r="I15" s="68" t="s">
        <v>466</v>
      </c>
      <c r="J15" s="68" t="s">
        <v>459</v>
      </c>
    </row>
    <row r="16" spans="1:12" x14ac:dyDescent="0.35">
      <c r="A16" s="69" t="s">
        <v>279</v>
      </c>
      <c r="B16" s="129">
        <v>8.6689814814810001E-3</v>
      </c>
      <c r="C16" s="70">
        <f>+B16/(MAX($B$16:$B$17))*100</f>
        <v>98.682476943343531</v>
      </c>
      <c r="D16" s="66"/>
      <c r="F16" s="69" t="s">
        <v>279</v>
      </c>
      <c r="G16" s="72">
        <v>0.68</v>
      </c>
      <c r="H16" s="91">
        <v>0.68</v>
      </c>
      <c r="I16" s="73">
        <f t="shared" ref="I16:I17" si="1">G16/H16*100</f>
        <v>100</v>
      </c>
      <c r="J16" s="70">
        <f>+I16/(MAX($I$16:$I$17))*100</f>
        <v>100</v>
      </c>
      <c r="L16" s="81"/>
    </row>
    <row r="17" spans="1:12" x14ac:dyDescent="0.35">
      <c r="A17" s="69" t="s">
        <v>278</v>
      </c>
      <c r="B17" s="129">
        <v>8.7847222222219995E-3</v>
      </c>
      <c r="C17" s="70">
        <f>+B17/(MAX($B$16:$B$17))*100</f>
        <v>100</v>
      </c>
      <c r="D17" s="66"/>
      <c r="F17" s="69" t="s">
        <v>278</v>
      </c>
      <c r="G17" s="72">
        <v>1.01</v>
      </c>
      <c r="H17" s="91">
        <v>1.1499999999999999</v>
      </c>
      <c r="I17" s="73">
        <f t="shared" si="1"/>
        <v>87.826086956521749</v>
      </c>
      <c r="J17" s="70">
        <f>+I17/(MAX($I$16:$I$17))*100</f>
        <v>87.826086956521749</v>
      </c>
      <c r="L17" s="81"/>
    </row>
    <row r="18" spans="1:12" x14ac:dyDescent="0.35">
      <c r="A18" s="76"/>
      <c r="B18" s="71"/>
      <c r="C18" s="71"/>
      <c r="D18" s="66"/>
      <c r="E18" s="66"/>
      <c r="F18" s="76"/>
      <c r="G18" s="77"/>
      <c r="H18" s="71"/>
      <c r="I18" s="64"/>
      <c r="J18" s="71"/>
    </row>
    <row r="21" spans="1:12" x14ac:dyDescent="0.35">
      <c r="A21" s="22" t="s">
        <v>340</v>
      </c>
      <c r="B21" s="82"/>
      <c r="C21" s="82"/>
      <c r="D21" s="82"/>
      <c r="E21" s="82"/>
      <c r="F21" s="82"/>
    </row>
    <row r="22" spans="1:12" x14ac:dyDescent="0.35">
      <c r="A22" s="83" t="s">
        <v>467</v>
      </c>
      <c r="B22" s="68">
        <v>0.3</v>
      </c>
      <c r="C22" s="68">
        <v>0.15</v>
      </c>
      <c r="D22" s="68">
        <v>0.3</v>
      </c>
      <c r="E22" s="68">
        <v>0.25</v>
      </c>
      <c r="F22" s="84"/>
    </row>
    <row r="23" spans="1:12" x14ac:dyDescent="0.35">
      <c r="A23" s="83" t="s">
        <v>458</v>
      </c>
      <c r="B23" s="84" t="s">
        <v>36</v>
      </c>
      <c r="C23" s="84" t="s">
        <v>468</v>
      </c>
      <c r="D23" s="84" t="s">
        <v>456</v>
      </c>
      <c r="E23" s="84" t="s">
        <v>469</v>
      </c>
      <c r="F23" s="84" t="s">
        <v>470</v>
      </c>
    </row>
    <row r="24" spans="1:12" x14ac:dyDescent="0.35">
      <c r="A24" s="85" t="s">
        <v>279</v>
      </c>
      <c r="B24" s="86">
        <f>VLOOKUP(A24,$A$10:$C$11,3,0)</f>
        <v>85.444175103379436</v>
      </c>
      <c r="C24" s="86">
        <f>VLOOKUP(A24,$A$16:$C$17,3,0)</f>
        <v>98.682476943343531</v>
      </c>
      <c r="D24" s="86">
        <f>VLOOKUP(A24,$F$10:$J$11,5,0)</f>
        <v>100</v>
      </c>
      <c r="E24" s="86">
        <f>VLOOKUP(A24,$F$16:$J$17,5,0)</f>
        <v>100</v>
      </c>
      <c r="F24" s="87">
        <f>(B24*B$22)+(C24*C$22)+(D24*D$22)+(E24*E$22)</f>
        <v>95.435624072515367</v>
      </c>
    </row>
    <row r="25" spans="1:12" x14ac:dyDescent="0.35">
      <c r="A25" s="85" t="s">
        <v>278</v>
      </c>
      <c r="B25" s="86">
        <f>VLOOKUP(A25,$A$10:$C$11,3,0)</f>
        <v>100</v>
      </c>
      <c r="C25" s="86">
        <f>VLOOKUP(A25,$A$16:$C$17,3,0)</f>
        <v>100</v>
      </c>
      <c r="D25" s="86">
        <f>VLOOKUP(A25,$F$10:$J$11,5,0)</f>
        <v>60.295539811735054</v>
      </c>
      <c r="E25" s="86">
        <f>VLOOKUP(A25,$F$16:$J$17,5,0)</f>
        <v>87.826086956521749</v>
      </c>
      <c r="F25" s="87">
        <f>(B25*B$22)+(C25*C$22)+(D25*D$22)+(E25*E$22)</f>
        <v>85.045183682650958</v>
      </c>
    </row>
  </sheetData>
  <sortState xmlns:xlrd2="http://schemas.microsoft.com/office/spreadsheetml/2017/richdata2" ref="A23:F25">
    <sortCondition descending="1" ref="F24:F25"/>
  </sortState>
  <mergeCells count="4">
    <mergeCell ref="B8:C8"/>
    <mergeCell ref="G8:J8"/>
    <mergeCell ref="B14:C14"/>
    <mergeCell ref="G14:J14"/>
  </mergeCells>
  <conditionalFormatting sqref="F24:F25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A1A7A-A816-4CC8-BC45-381499EA47B4}">
  <sheetPr>
    <tabColor rgb="FF7030A0"/>
  </sheetPr>
  <dimension ref="A1:L33"/>
  <sheetViews>
    <sheetView showGridLines="0" topLeftCell="A4" zoomScale="70" zoomScaleNormal="70" workbookViewId="0">
      <selection activeCell="M21" sqref="M21"/>
    </sheetView>
  </sheetViews>
  <sheetFormatPr defaultColWidth="9.08984375" defaultRowHeight="14.5" x14ac:dyDescent="0.35"/>
  <cols>
    <col min="1" max="1" width="30.08984375" style="63" bestFit="1" customWidth="1"/>
    <col min="2" max="2" width="12.90625" style="63" bestFit="1" customWidth="1"/>
    <col min="3" max="3" width="10" style="63" bestFit="1" customWidth="1"/>
    <col min="4" max="4" width="12.08984375" style="63" bestFit="1" customWidth="1"/>
    <col min="5" max="5" width="9.08984375" style="63" bestFit="1" customWidth="1"/>
    <col min="6" max="6" width="26.90625" style="63" bestFit="1" customWidth="1"/>
    <col min="7" max="7" width="14.453125" style="63" bestFit="1" customWidth="1"/>
    <col min="8" max="8" width="8.90625" style="63" bestFit="1" customWidth="1"/>
    <col min="9" max="9" width="9.453125" style="63" bestFit="1" customWidth="1"/>
    <col min="10" max="10" width="8.453125" style="63" bestFit="1" customWidth="1"/>
    <col min="11" max="11" width="9.54296875" style="64" bestFit="1" customWidth="1"/>
    <col min="12" max="12" width="14.90625" style="63" bestFit="1" customWidth="1"/>
    <col min="13" max="16384" width="9.08984375" style="63"/>
  </cols>
  <sheetData>
    <row r="1" spans="1:10" x14ac:dyDescent="0.35">
      <c r="A1" s="1" t="s">
        <v>225</v>
      </c>
    </row>
    <row r="2" spans="1:10" x14ac:dyDescent="0.35">
      <c r="A2" s="1" t="s">
        <v>471</v>
      </c>
    </row>
    <row r="3" spans="1:10" x14ac:dyDescent="0.35">
      <c r="A3" s="1" t="s">
        <v>29</v>
      </c>
    </row>
    <row r="4" spans="1:10" x14ac:dyDescent="0.35">
      <c r="A4" s="23" t="s">
        <v>226</v>
      </c>
    </row>
    <row r="5" spans="1:10" x14ac:dyDescent="0.35">
      <c r="A5" s="8" t="s">
        <v>492</v>
      </c>
    </row>
    <row r="8" spans="1:10" x14ac:dyDescent="0.35">
      <c r="A8" s="65" t="s">
        <v>454</v>
      </c>
      <c r="B8" s="590" t="s">
        <v>455</v>
      </c>
      <c r="C8" s="591"/>
      <c r="D8" s="66"/>
      <c r="E8" s="66"/>
      <c r="F8" s="65" t="s">
        <v>456</v>
      </c>
      <c r="G8" s="592" t="s">
        <v>457</v>
      </c>
      <c r="H8" s="592"/>
      <c r="I8" s="592"/>
      <c r="J8" s="592"/>
    </row>
    <row r="9" spans="1:10" x14ac:dyDescent="0.35">
      <c r="A9" s="67" t="s">
        <v>458</v>
      </c>
      <c r="B9" s="22" t="s">
        <v>340</v>
      </c>
      <c r="C9" s="68" t="s">
        <v>459</v>
      </c>
      <c r="D9" s="66"/>
      <c r="E9" s="66"/>
      <c r="F9" s="67" t="s">
        <v>458</v>
      </c>
      <c r="G9" s="22" t="s">
        <v>340</v>
      </c>
      <c r="H9" s="68" t="s">
        <v>460</v>
      </c>
      <c r="I9" s="68" t="s">
        <v>456</v>
      </c>
      <c r="J9" s="68" t="s">
        <v>459</v>
      </c>
    </row>
    <row r="10" spans="1:10" x14ac:dyDescent="0.35">
      <c r="A10" s="69" t="s">
        <v>280</v>
      </c>
      <c r="B10" s="91">
        <v>1806.4</v>
      </c>
      <c r="C10" s="73">
        <f>B10/MAX($B$10:$B$14)*100</f>
        <v>98.076902194568433</v>
      </c>
      <c r="D10" s="66"/>
      <c r="E10" s="66"/>
      <c r="F10" s="69" t="s">
        <v>282</v>
      </c>
      <c r="G10" s="72">
        <v>0.22</v>
      </c>
      <c r="H10" s="70">
        <v>800</v>
      </c>
      <c r="I10" s="73">
        <f>+H10/G10</f>
        <v>3636.3636363636365</v>
      </c>
      <c r="J10" s="70">
        <f>MIN($I$10:$I$14)/I10*100</f>
        <v>48.529411764705877</v>
      </c>
    </row>
    <row r="11" spans="1:10" x14ac:dyDescent="0.35">
      <c r="A11" s="69" t="s">
        <v>416</v>
      </c>
      <c r="B11" s="72">
        <v>1761.38</v>
      </c>
      <c r="C11" s="70">
        <f>B11/MAX($B$10:$B$14)*100</f>
        <v>95.632580816800782</v>
      </c>
      <c r="D11" s="66"/>
      <c r="E11" s="66"/>
      <c r="F11" s="69" t="s">
        <v>416</v>
      </c>
      <c r="G11" s="72">
        <v>0.11</v>
      </c>
      <c r="H11" s="70">
        <v>668.88442530038537</v>
      </c>
      <c r="I11" s="73">
        <f>+H11/G11</f>
        <v>6080.767502730776</v>
      </c>
      <c r="J11" s="70">
        <f>MIN($I$10:$I$14)/I11*100</f>
        <v>29.021104351719412</v>
      </c>
    </row>
    <row r="12" spans="1:10" x14ac:dyDescent="0.35">
      <c r="A12" s="69" t="s">
        <v>282</v>
      </c>
      <c r="B12" s="72">
        <v>1825.47</v>
      </c>
      <c r="C12" s="70">
        <f>B12/MAX($B$10:$B$14)*100</f>
        <v>99.112291103365152</v>
      </c>
      <c r="D12" s="66"/>
      <c r="E12" s="66"/>
      <c r="F12" s="69" t="s">
        <v>280</v>
      </c>
      <c r="G12" s="72">
        <v>0.11</v>
      </c>
      <c r="H12" s="70">
        <v>425</v>
      </c>
      <c r="I12" s="73">
        <f>+H12/G12</f>
        <v>3863.6363636363635</v>
      </c>
      <c r="J12" s="73">
        <f>MIN($I$10:$I$14)/I12*100</f>
        <v>45.674740484429059</v>
      </c>
    </row>
    <row r="13" spans="1:10" x14ac:dyDescent="0.35">
      <c r="A13" s="69" t="s">
        <v>415</v>
      </c>
      <c r="B13" s="72">
        <v>1648.35</v>
      </c>
      <c r="C13" s="70">
        <f>B13/MAX($B$10:$B$14)*100</f>
        <v>89.495716193764864</v>
      </c>
      <c r="D13" s="66"/>
      <c r="E13" s="66"/>
      <c r="F13" s="69" t="s">
        <v>415</v>
      </c>
      <c r="G13" s="72">
        <v>0.12</v>
      </c>
      <c r="H13" s="70">
        <v>459.99999999999994</v>
      </c>
      <c r="I13" s="73">
        <f>+H13/G13</f>
        <v>3833.333333333333</v>
      </c>
      <c r="J13" s="70">
        <f>MIN($I$10:$I$14)/I13*100</f>
        <v>46.035805626598467</v>
      </c>
    </row>
    <row r="14" spans="1:10" x14ac:dyDescent="0.35">
      <c r="A14" s="69" t="s">
        <v>281</v>
      </c>
      <c r="B14" s="72">
        <v>1841.82</v>
      </c>
      <c r="C14" s="70">
        <f>B14/MAX($B$10:$B$14)*100</f>
        <v>100</v>
      </c>
      <c r="D14" s="66"/>
      <c r="E14" s="66"/>
      <c r="F14" s="69" t="s">
        <v>281</v>
      </c>
      <c r="G14" s="72">
        <v>0.17</v>
      </c>
      <c r="H14" s="73">
        <v>300</v>
      </c>
      <c r="I14" s="73">
        <f>+H14/G14</f>
        <v>1764.705882352941</v>
      </c>
      <c r="J14" s="70">
        <f>MIN($I$10:$I$14)/I14*100</f>
        <v>100</v>
      </c>
    </row>
    <row r="15" spans="1:10" x14ac:dyDescent="0.35">
      <c r="A15" s="76"/>
      <c r="B15" s="71"/>
      <c r="C15" s="71"/>
      <c r="D15" s="66"/>
      <c r="E15" s="66"/>
      <c r="F15" s="76"/>
      <c r="G15" s="71"/>
      <c r="H15" s="71"/>
      <c r="I15" s="64"/>
      <c r="J15" s="71"/>
    </row>
    <row r="16" spans="1:10" x14ac:dyDescent="0.35">
      <c r="A16" s="66"/>
      <c r="B16" s="66"/>
      <c r="C16" s="66"/>
      <c r="D16" s="66"/>
      <c r="E16" s="66"/>
      <c r="F16" s="66"/>
      <c r="G16" s="66"/>
      <c r="H16" s="66"/>
      <c r="I16" s="66"/>
      <c r="J16" s="66"/>
    </row>
    <row r="17" spans="1:12" x14ac:dyDescent="0.35">
      <c r="A17" s="65" t="s">
        <v>462</v>
      </c>
      <c r="B17" s="590" t="s">
        <v>463</v>
      </c>
      <c r="C17" s="591"/>
      <c r="D17" s="66"/>
      <c r="E17" s="66"/>
      <c r="F17" s="65" t="s">
        <v>464</v>
      </c>
      <c r="G17" s="595" t="s">
        <v>464</v>
      </c>
      <c r="H17" s="595"/>
      <c r="I17" s="595"/>
      <c r="J17" s="595"/>
    </row>
    <row r="18" spans="1:12" x14ac:dyDescent="0.35">
      <c r="A18" s="67" t="s">
        <v>458</v>
      </c>
      <c r="B18" s="22" t="s">
        <v>340</v>
      </c>
      <c r="C18" s="68" t="s">
        <v>459</v>
      </c>
      <c r="D18" s="66"/>
      <c r="E18" s="66"/>
      <c r="F18" s="67" t="s">
        <v>458</v>
      </c>
      <c r="G18" s="22" t="s">
        <v>340</v>
      </c>
      <c r="H18" s="68" t="s">
        <v>465</v>
      </c>
      <c r="I18" s="68" t="s">
        <v>466</v>
      </c>
      <c r="J18" s="68" t="s">
        <v>459</v>
      </c>
    </row>
    <row r="19" spans="1:12" x14ac:dyDescent="0.35">
      <c r="A19" s="69" t="s">
        <v>282</v>
      </c>
      <c r="B19" s="129">
        <v>6.5972222222220002E-3</v>
      </c>
      <c r="C19" s="70">
        <f>+B19/(MAX($B$19:$B$23))*100</f>
        <v>100</v>
      </c>
      <c r="D19" s="66"/>
      <c r="F19" s="69" t="s">
        <v>282</v>
      </c>
      <c r="G19" s="72">
        <v>1.59</v>
      </c>
      <c r="H19" s="91">
        <v>1.26</v>
      </c>
      <c r="I19" s="73">
        <f>G19/H19*100</f>
        <v>126.19047619047619</v>
      </c>
      <c r="J19" s="70">
        <f>+I19/(MAX($I$19:$I$23))*100</f>
        <v>91.379310344827587</v>
      </c>
      <c r="L19" s="81"/>
    </row>
    <row r="20" spans="1:12" x14ac:dyDescent="0.35">
      <c r="A20" s="69" t="s">
        <v>416</v>
      </c>
      <c r="B20" s="129">
        <v>4.9537037037039999E-3</v>
      </c>
      <c r="C20" s="70">
        <f>+B20/(MAX($B$19:$B$23))*100</f>
        <v>75.087719298252637</v>
      </c>
      <c r="D20" s="66"/>
      <c r="F20" s="69" t="s">
        <v>416</v>
      </c>
      <c r="G20" s="72">
        <v>0.81</v>
      </c>
      <c r="H20" s="91">
        <v>0.72</v>
      </c>
      <c r="I20" s="73">
        <f>G20/H20*100</f>
        <v>112.50000000000003</v>
      </c>
      <c r="J20" s="70">
        <f>+I20/(MAX($I$19:$I$23))*100</f>
        <v>81.465517241379331</v>
      </c>
      <c r="L20" s="81"/>
    </row>
    <row r="21" spans="1:12" x14ac:dyDescent="0.35">
      <c r="A21" s="69" t="s">
        <v>280</v>
      </c>
      <c r="B21" s="129">
        <v>4.6990740740739997E-3</v>
      </c>
      <c r="C21" s="73">
        <f>+B21/(MAX($B$19:$B$23))*100</f>
        <v>71.228070175439868</v>
      </c>
      <c r="D21" s="66"/>
      <c r="F21" s="69" t="s">
        <v>280</v>
      </c>
      <c r="G21" s="72">
        <v>0.76</v>
      </c>
      <c r="H21" s="91">
        <v>0.6</v>
      </c>
      <c r="I21" s="70">
        <f>G21/H21*100</f>
        <v>126.66666666666669</v>
      </c>
      <c r="J21" s="70">
        <f>+I21/(MAX($I$19:$I$23))*100</f>
        <v>91.724137931034491</v>
      </c>
      <c r="L21" s="81"/>
    </row>
    <row r="22" spans="1:12" x14ac:dyDescent="0.35">
      <c r="A22" s="69" t="s">
        <v>415</v>
      </c>
      <c r="B22" s="129">
        <v>5.4976851851849997E-3</v>
      </c>
      <c r="C22" s="70">
        <f>+B22/(MAX($B$19:$B$23))*100</f>
        <v>83.333333333333329</v>
      </c>
      <c r="D22" s="66"/>
      <c r="F22" s="69" t="s">
        <v>415</v>
      </c>
      <c r="G22" s="72">
        <v>0.87</v>
      </c>
      <c r="H22" s="91">
        <v>0.63</v>
      </c>
      <c r="I22" s="73">
        <f>G22/H22*100</f>
        <v>138.0952380952381</v>
      </c>
      <c r="J22" s="70">
        <f>+I22/(MAX($I$19:$I$23))*100</f>
        <v>100</v>
      </c>
      <c r="L22" s="81"/>
    </row>
    <row r="23" spans="1:12" x14ac:dyDescent="0.35">
      <c r="A23" s="69" t="s">
        <v>281</v>
      </c>
      <c r="B23" s="129">
        <v>5.9143518518520004E-3</v>
      </c>
      <c r="C23" s="70">
        <f>+B23/(MAX($B$19:$B$23))*100</f>
        <v>89.649122807022806</v>
      </c>
      <c r="D23" s="66"/>
      <c r="F23" s="69" t="s">
        <v>281</v>
      </c>
      <c r="G23" s="72">
        <v>1.22</v>
      </c>
      <c r="H23" s="91">
        <v>0.95</v>
      </c>
      <c r="I23" s="73">
        <f>G23/H23*100</f>
        <v>128.42105263157896</v>
      </c>
      <c r="J23" s="70">
        <f>+I23/(MAX($I$19:$I$23))*100</f>
        <v>92.994555353902001</v>
      </c>
      <c r="L23" s="81"/>
    </row>
    <row r="24" spans="1:12" x14ac:dyDescent="0.35">
      <c r="A24" s="76"/>
      <c r="B24" s="71"/>
      <c r="C24" s="71"/>
      <c r="D24" s="66"/>
      <c r="E24" s="66"/>
      <c r="F24" s="76"/>
      <c r="G24" s="71"/>
      <c r="H24" s="71"/>
      <c r="I24" s="64"/>
      <c r="J24" s="71"/>
    </row>
    <row r="26" spans="1:12" x14ac:dyDescent="0.35">
      <c r="A26" s="22" t="s">
        <v>340</v>
      </c>
      <c r="B26" s="82"/>
      <c r="C26" s="82"/>
      <c r="D26" s="82"/>
      <c r="E26" s="82"/>
      <c r="F26" s="82"/>
    </row>
    <row r="27" spans="1:12" x14ac:dyDescent="0.35">
      <c r="A27" s="83" t="s">
        <v>467</v>
      </c>
      <c r="B27" s="68">
        <v>0.4</v>
      </c>
      <c r="C27" s="68">
        <v>0.2</v>
      </c>
      <c r="D27" s="68">
        <v>0.2</v>
      </c>
      <c r="E27" s="68">
        <v>0.2</v>
      </c>
      <c r="F27" s="84"/>
    </row>
    <row r="28" spans="1:12" x14ac:dyDescent="0.35">
      <c r="A28" s="83" t="s">
        <v>458</v>
      </c>
      <c r="B28" s="84" t="s">
        <v>36</v>
      </c>
      <c r="C28" s="84" t="s">
        <v>468</v>
      </c>
      <c r="D28" s="84" t="s">
        <v>456</v>
      </c>
      <c r="E28" s="84" t="s">
        <v>469</v>
      </c>
      <c r="F28" s="84" t="s">
        <v>470</v>
      </c>
    </row>
    <row r="29" spans="1:12" x14ac:dyDescent="0.35">
      <c r="A29" s="69" t="s">
        <v>281</v>
      </c>
      <c r="B29" s="87">
        <f>VLOOKUP(A29,$A$10:$C$14,3,0)</f>
        <v>100</v>
      </c>
      <c r="C29" s="87">
        <f>VLOOKUP(A29,$A$19:$C$23,3,0)</f>
        <v>89.649122807022806</v>
      </c>
      <c r="D29" s="87">
        <f>VLOOKUP(A29,$F$10:$J$14,5,0)</f>
        <v>100</v>
      </c>
      <c r="E29" s="87">
        <f>VLOOKUP(A29,$F$19:$J$23,5,0)</f>
        <v>92.994555353902001</v>
      </c>
      <c r="F29" s="87">
        <f>(B29*B$27)+(C29*C$27)+(D29*D$27)+(E29*E$27)</f>
        <v>96.528735632184961</v>
      </c>
    </row>
    <row r="30" spans="1:12" x14ac:dyDescent="0.35">
      <c r="A30" s="85" t="s">
        <v>282</v>
      </c>
      <c r="B30" s="86">
        <f>VLOOKUP(A30,$A$10:$C$14,3,0)</f>
        <v>99.112291103365152</v>
      </c>
      <c r="C30" s="86">
        <f>VLOOKUP(A30,$A$19:$C$23,3,0)</f>
        <v>100</v>
      </c>
      <c r="D30" s="86">
        <f>VLOOKUP(A30,$F$10:$J$14,5,0)</f>
        <v>48.529411764705877</v>
      </c>
      <c r="E30" s="86">
        <f>VLOOKUP(A30,$F$19:$J$23,5,0)</f>
        <v>91.379310344827587</v>
      </c>
      <c r="F30" s="87">
        <f>(B30*B$27)+(C30*C$27)+(D30*D$27)+(E30*E$27)</f>
        <v>87.626660863252766</v>
      </c>
    </row>
    <row r="31" spans="1:12" x14ac:dyDescent="0.35">
      <c r="A31" s="69" t="s">
        <v>415</v>
      </c>
      <c r="B31" s="87">
        <f>VLOOKUP(A31,$A$10:$C$14,3,0)</f>
        <v>89.495716193764864</v>
      </c>
      <c r="C31" s="87">
        <f>VLOOKUP(A31,$A$19:$C$23,3,0)</f>
        <v>83.333333333333329</v>
      </c>
      <c r="D31" s="87">
        <f>VLOOKUP(A31,$F$10:$J$14,5,0)</f>
        <v>46.035805626598467</v>
      </c>
      <c r="E31" s="87">
        <f>VLOOKUP(A31,$F$19:$J$23,5,0)</f>
        <v>100</v>
      </c>
      <c r="F31" s="87">
        <f>(B31*B$27)+(C31*C$27)+(D31*D$27)+(E31*E$27)</f>
        <v>81.672114269492312</v>
      </c>
    </row>
    <row r="32" spans="1:12" x14ac:dyDescent="0.35">
      <c r="A32" s="69" t="s">
        <v>280</v>
      </c>
      <c r="B32" s="87">
        <f>VLOOKUP(A32,$A$10:$C$14,3,0)</f>
        <v>98.076902194568433</v>
      </c>
      <c r="C32" s="87">
        <f>VLOOKUP(A32,$A$19:$C$23,3,0)</f>
        <v>71.228070175439868</v>
      </c>
      <c r="D32" s="87">
        <f>VLOOKUP(A32,$F$10:$J$14,5,0)</f>
        <v>45.674740484429059</v>
      </c>
      <c r="E32" s="87">
        <f>VLOOKUP(A32,$F$19:$J$23,5,0)</f>
        <v>91.724137931034491</v>
      </c>
      <c r="F32" s="87">
        <f>(B32*B$27)+(C32*C$27)+(D32*D$27)+(E32*E$27)</f>
        <v>80.956150596008072</v>
      </c>
    </row>
    <row r="33" spans="1:6" x14ac:dyDescent="0.35">
      <c r="A33" s="85" t="s">
        <v>416</v>
      </c>
      <c r="B33" s="86">
        <f>VLOOKUP(A33,$A$10:$C$14,3,0)</f>
        <v>95.632580816800782</v>
      </c>
      <c r="C33" s="86">
        <f>VLOOKUP(A33,$A$19:$C$23,3,0)</f>
        <v>75.087719298252637</v>
      </c>
      <c r="D33" s="86">
        <f>VLOOKUP(A33,$F$10:$J$14,5,0)</f>
        <v>29.021104351719412</v>
      </c>
      <c r="E33" s="86">
        <f>VLOOKUP(A33,$F$19:$J$23,5,0)</f>
        <v>81.465517241379331</v>
      </c>
      <c r="F33" s="87">
        <f>(B33*B$27)+(C33*C$27)+(D33*D$27)+(E33*E$27)</f>
        <v>75.367900504990601</v>
      </c>
    </row>
  </sheetData>
  <sortState xmlns:xlrd2="http://schemas.microsoft.com/office/spreadsheetml/2017/richdata2" ref="A29:F33">
    <sortCondition descending="1" ref="F29:F33"/>
  </sortState>
  <mergeCells count="4">
    <mergeCell ref="B8:C8"/>
    <mergeCell ref="G8:J8"/>
    <mergeCell ref="B17:C17"/>
    <mergeCell ref="G17:J17"/>
  </mergeCells>
  <conditionalFormatting sqref="F29:F33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30:F3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B652E-505B-40A3-97B9-63803382797F}">
  <sheetPr>
    <tabColor rgb="FF7030A0"/>
  </sheetPr>
  <dimension ref="A1:L27"/>
  <sheetViews>
    <sheetView showGridLines="0" zoomScale="70" zoomScaleNormal="70" workbookViewId="0">
      <selection activeCell="M21" sqref="M21"/>
    </sheetView>
  </sheetViews>
  <sheetFormatPr defaultColWidth="9.08984375" defaultRowHeight="14.5" x14ac:dyDescent="0.35"/>
  <cols>
    <col min="1" max="1" width="30.08984375" style="63" bestFit="1" customWidth="1"/>
    <col min="2" max="2" width="12.90625" style="63" bestFit="1" customWidth="1"/>
    <col min="3" max="3" width="10" style="63" bestFit="1" customWidth="1"/>
    <col min="4" max="4" width="12.08984375" style="63" bestFit="1" customWidth="1"/>
    <col min="5" max="5" width="9.08984375" style="63" bestFit="1"/>
    <col min="6" max="6" width="26.90625" style="63" bestFit="1" customWidth="1"/>
    <col min="7" max="7" width="14.453125" style="63" bestFit="1" customWidth="1"/>
    <col min="8" max="8" width="8.90625" style="63" bestFit="1" customWidth="1"/>
    <col min="9" max="9" width="9.453125" style="63" bestFit="1" customWidth="1"/>
    <col min="10" max="10" width="8.453125" style="63" bestFit="1" customWidth="1"/>
    <col min="11" max="11" width="9.54296875" style="64" bestFit="1" customWidth="1"/>
    <col min="12" max="12" width="14.90625" style="63" bestFit="1" customWidth="1"/>
    <col min="13" max="16384" width="9.08984375" style="63"/>
  </cols>
  <sheetData>
    <row r="1" spans="1:10" x14ac:dyDescent="0.35">
      <c r="A1" s="1" t="s">
        <v>225</v>
      </c>
    </row>
    <row r="2" spans="1:10" x14ac:dyDescent="0.35">
      <c r="A2" s="1" t="s">
        <v>471</v>
      </c>
    </row>
    <row r="3" spans="1:10" x14ac:dyDescent="0.35">
      <c r="A3" s="1" t="s">
        <v>29</v>
      </c>
    </row>
    <row r="4" spans="1:10" x14ac:dyDescent="0.35">
      <c r="A4" s="23" t="s">
        <v>226</v>
      </c>
    </row>
    <row r="5" spans="1:10" x14ac:dyDescent="0.35">
      <c r="A5" s="8" t="s">
        <v>492</v>
      </c>
    </row>
    <row r="8" spans="1:10" x14ac:dyDescent="0.35">
      <c r="A8" s="65" t="s">
        <v>454</v>
      </c>
      <c r="B8" s="590" t="s">
        <v>455</v>
      </c>
      <c r="C8" s="591"/>
      <c r="D8" s="66"/>
      <c r="E8" s="66"/>
      <c r="F8" s="65" t="s">
        <v>456</v>
      </c>
      <c r="G8" s="592" t="s">
        <v>457</v>
      </c>
      <c r="H8" s="592"/>
      <c r="I8" s="592"/>
      <c r="J8" s="592"/>
    </row>
    <row r="9" spans="1:10" x14ac:dyDescent="0.35">
      <c r="A9" s="67" t="s">
        <v>458</v>
      </c>
      <c r="B9" s="22" t="s">
        <v>340</v>
      </c>
      <c r="C9" s="68" t="s">
        <v>459</v>
      </c>
      <c r="D9" s="66"/>
      <c r="E9" s="66"/>
      <c r="F9" s="67" t="s">
        <v>458</v>
      </c>
      <c r="G9" s="22" t="s">
        <v>340</v>
      </c>
      <c r="H9" s="68" t="s">
        <v>460</v>
      </c>
      <c r="I9" s="68" t="s">
        <v>456</v>
      </c>
      <c r="J9" s="68" t="s">
        <v>459</v>
      </c>
    </row>
    <row r="10" spans="1:10" x14ac:dyDescent="0.35">
      <c r="A10" s="69" t="s">
        <v>283</v>
      </c>
      <c r="B10" s="91">
        <v>153.69</v>
      </c>
      <c r="C10" s="73">
        <f>B10/MAX($B$10:$B$12)*100</f>
        <v>92.539739884393057</v>
      </c>
      <c r="D10" s="66"/>
      <c r="E10" s="66"/>
      <c r="F10" s="69" t="s">
        <v>283</v>
      </c>
      <c r="G10" s="72">
        <v>0.17</v>
      </c>
      <c r="H10" s="70">
        <v>803.44337349397597</v>
      </c>
      <c r="I10" s="73">
        <f>+H10/G10</f>
        <v>4726.1374911410348</v>
      </c>
      <c r="J10" s="70">
        <f>MIN($I$10:$I$12)/I10*100</f>
        <v>100</v>
      </c>
    </row>
    <row r="11" spans="1:10" x14ac:dyDescent="0.35">
      <c r="A11" s="69" t="s">
        <v>284</v>
      </c>
      <c r="B11" s="72">
        <v>166.08</v>
      </c>
      <c r="C11" s="70">
        <f>B11/MAX($B$10:$B$12)*100</f>
        <v>100</v>
      </c>
      <c r="D11" s="66"/>
      <c r="E11" s="66"/>
      <c r="F11" s="69" t="s">
        <v>284</v>
      </c>
      <c r="G11" s="72">
        <v>0.1</v>
      </c>
      <c r="H11" s="70">
        <v>549.31623931623926</v>
      </c>
      <c r="I11" s="73">
        <f>+H11/G11</f>
        <v>5493.1623931623926</v>
      </c>
      <c r="J11" s="70">
        <f>MIN($I$10:$I$12)/I11*100</f>
        <v>86.036733540298911</v>
      </c>
    </row>
    <row r="12" spans="1:10" x14ac:dyDescent="0.35">
      <c r="A12" s="69" t="s">
        <v>285</v>
      </c>
      <c r="B12" s="72">
        <v>147.38</v>
      </c>
      <c r="C12" s="70">
        <f>B12/MAX($B$10:$B$12)*100</f>
        <v>88.740366088631973</v>
      </c>
      <c r="D12" s="66"/>
      <c r="E12" s="66"/>
      <c r="F12" s="69" t="s">
        <v>285</v>
      </c>
      <c r="G12" s="72">
        <v>0.01</v>
      </c>
      <c r="H12" s="70">
        <v>111.29164531009738</v>
      </c>
      <c r="I12" s="73">
        <f>+H12/G12</f>
        <v>11129.164531009737</v>
      </c>
      <c r="J12" s="73">
        <f>MIN($I$10:$I$12)/I12*100</f>
        <v>42.466237946005435</v>
      </c>
    </row>
    <row r="13" spans="1:10" x14ac:dyDescent="0.35">
      <c r="A13" s="76"/>
      <c r="B13" s="71"/>
      <c r="C13" s="71"/>
      <c r="D13" s="66"/>
      <c r="E13" s="66"/>
      <c r="F13" s="76"/>
      <c r="G13" s="71"/>
      <c r="H13" s="71"/>
      <c r="I13" s="64"/>
      <c r="J13" s="71"/>
    </row>
    <row r="14" spans="1:10" ht="15" thickBot="1" x14ac:dyDescent="0.4">
      <c r="A14" s="66"/>
      <c r="B14" s="66"/>
      <c r="C14" s="66"/>
      <c r="D14" s="66"/>
      <c r="E14" s="66"/>
      <c r="F14" s="66"/>
      <c r="G14" s="66"/>
      <c r="H14" s="66"/>
      <c r="I14" s="66"/>
      <c r="J14" s="66"/>
    </row>
    <row r="15" spans="1:10" x14ac:dyDescent="0.35">
      <c r="A15" s="65" t="s">
        <v>462</v>
      </c>
      <c r="B15" s="590" t="s">
        <v>463</v>
      </c>
      <c r="C15" s="591"/>
      <c r="D15" s="66"/>
      <c r="E15" s="66"/>
      <c r="F15" s="65" t="s">
        <v>464</v>
      </c>
      <c r="G15" s="595" t="s">
        <v>464</v>
      </c>
      <c r="H15" s="595"/>
      <c r="I15" s="595"/>
      <c r="J15" s="595"/>
    </row>
    <row r="16" spans="1:10" x14ac:dyDescent="0.35">
      <c r="A16" s="67" t="s">
        <v>458</v>
      </c>
      <c r="B16" s="22" t="s">
        <v>340</v>
      </c>
      <c r="C16" s="68" t="s">
        <v>459</v>
      </c>
      <c r="D16" s="66"/>
      <c r="E16" s="66"/>
      <c r="F16" s="67" t="s">
        <v>458</v>
      </c>
      <c r="G16" s="22" t="s">
        <v>340</v>
      </c>
      <c r="H16" s="68" t="s">
        <v>465</v>
      </c>
      <c r="I16" s="68" t="s">
        <v>466</v>
      </c>
      <c r="J16" s="68" t="s">
        <v>459</v>
      </c>
    </row>
    <row r="17" spans="1:12" x14ac:dyDescent="0.35">
      <c r="A17" s="69" t="s">
        <v>283</v>
      </c>
      <c r="B17" s="129">
        <v>1.2893518518519E-2</v>
      </c>
      <c r="C17" s="70">
        <f>+B17/(MAX($B$17:$B$19))*100</f>
        <v>100</v>
      </c>
      <c r="D17" s="66"/>
      <c r="F17" s="69" t="s">
        <v>283</v>
      </c>
      <c r="G17" s="72">
        <v>1.22</v>
      </c>
      <c r="H17" s="91">
        <v>0.5</v>
      </c>
      <c r="I17" s="73">
        <f>G17/H17*100</f>
        <v>244</v>
      </c>
      <c r="J17" s="70">
        <f>+I17/(MAX($I$17:$I$19))*100</f>
        <v>100</v>
      </c>
      <c r="L17" s="81"/>
    </row>
    <row r="18" spans="1:12" x14ac:dyDescent="0.35">
      <c r="A18" s="69" t="s">
        <v>284</v>
      </c>
      <c r="B18" s="129">
        <v>1.1631944444444001E-2</v>
      </c>
      <c r="C18" s="70">
        <f>+B18/(MAX($B$17:$B$19))*100</f>
        <v>90.215439856366615</v>
      </c>
      <c r="D18" s="66"/>
      <c r="F18" s="69" t="s">
        <v>284</v>
      </c>
      <c r="G18" s="72">
        <v>0.72</v>
      </c>
      <c r="H18" s="91">
        <v>0.36</v>
      </c>
      <c r="I18" s="73">
        <f>G18/H18*100</f>
        <v>200</v>
      </c>
      <c r="J18" s="70">
        <f>+I18/(MAX($I$17:$I$19))*100</f>
        <v>81.967213114754102</v>
      </c>
      <c r="L18" s="81"/>
    </row>
    <row r="19" spans="1:12" x14ac:dyDescent="0.35">
      <c r="A19" s="69" t="s">
        <v>285</v>
      </c>
      <c r="B19" s="129">
        <v>5.9027777777779997E-3</v>
      </c>
      <c r="C19" s="73">
        <f>+B19/(MAX($B$17:$B$19))*100</f>
        <v>45.780969479353686</v>
      </c>
      <c r="D19" s="66"/>
      <c r="F19" s="69" t="s">
        <v>285</v>
      </c>
      <c r="G19" s="72">
        <v>7.0000000000000007E-2</v>
      </c>
      <c r="H19" s="91">
        <v>0.03</v>
      </c>
      <c r="I19" s="70">
        <f>G19/H19*100</f>
        <v>233.33333333333334</v>
      </c>
      <c r="J19" s="70">
        <f>+I19/(MAX($I$17:$I$19))*100</f>
        <v>95.62841530054645</v>
      </c>
      <c r="L19" s="81"/>
    </row>
    <row r="20" spans="1:12" x14ac:dyDescent="0.35">
      <c r="A20" s="76"/>
      <c r="B20" s="71"/>
      <c r="C20" s="71"/>
      <c r="D20" s="66"/>
      <c r="E20" s="66"/>
      <c r="F20" s="76"/>
      <c r="G20" s="71"/>
      <c r="H20" s="71"/>
      <c r="I20" s="64"/>
      <c r="J20" s="71"/>
    </row>
    <row r="22" spans="1:12" x14ac:dyDescent="0.35">
      <c r="A22" s="22" t="s">
        <v>340</v>
      </c>
      <c r="B22" s="82"/>
      <c r="C22" s="82"/>
      <c r="D22" s="82"/>
      <c r="E22" s="82"/>
      <c r="F22" s="82"/>
    </row>
    <row r="23" spans="1:12" x14ac:dyDescent="0.35">
      <c r="A23" s="83" t="s">
        <v>467</v>
      </c>
      <c r="B23" s="68">
        <v>0.4</v>
      </c>
      <c r="C23" s="68">
        <v>0.2</v>
      </c>
      <c r="D23" s="68">
        <v>0.2</v>
      </c>
      <c r="E23" s="68">
        <v>0.2</v>
      </c>
      <c r="F23" s="84"/>
    </row>
    <row r="24" spans="1:12" x14ac:dyDescent="0.35">
      <c r="A24" s="83" t="s">
        <v>458</v>
      </c>
      <c r="B24" s="84" t="s">
        <v>36</v>
      </c>
      <c r="C24" s="84" t="s">
        <v>468</v>
      </c>
      <c r="D24" s="84" t="s">
        <v>456</v>
      </c>
      <c r="E24" s="84" t="s">
        <v>469</v>
      </c>
      <c r="F24" s="84" t="s">
        <v>470</v>
      </c>
    </row>
    <row r="25" spans="1:12" x14ac:dyDescent="0.35">
      <c r="A25" s="85" t="s">
        <v>283</v>
      </c>
      <c r="B25" s="86">
        <f>VLOOKUP(A25,$A$10:$C$12,3,0)</f>
        <v>92.539739884393057</v>
      </c>
      <c r="C25" s="86">
        <f>VLOOKUP(A25,$A$17:$C$19,3,0)</f>
        <v>100</v>
      </c>
      <c r="D25" s="86">
        <f>VLOOKUP(A25,$F$10:$J$12,5,0)</f>
        <v>100</v>
      </c>
      <c r="E25" s="86">
        <f>VLOOKUP(A25,$F$17:$J$19,5,0)</f>
        <v>100</v>
      </c>
      <c r="F25" s="87">
        <f>(B25*B$23)+(C25*C$23)+(D25*D$23)+(E25*E$23)</f>
        <v>97.015895953757223</v>
      </c>
    </row>
    <row r="26" spans="1:12" x14ac:dyDescent="0.35">
      <c r="A26" s="69" t="s">
        <v>284</v>
      </c>
      <c r="B26" s="87">
        <f>VLOOKUP(A26,$A$10:$C$12,3,0)</f>
        <v>100</v>
      </c>
      <c r="C26" s="87">
        <f>VLOOKUP(A26,$A$17:$C$19,3,0)</f>
        <v>90.215439856366615</v>
      </c>
      <c r="D26" s="87">
        <f>VLOOKUP(A26,$F$10:$J$12,5,0)</f>
        <v>86.036733540298911</v>
      </c>
      <c r="E26" s="87">
        <f>VLOOKUP(A26,$F$17:$J$19,5,0)</f>
        <v>81.967213114754102</v>
      </c>
      <c r="F26" s="87">
        <f>(B26*B$23)+(C26*C$23)+(D26*D$23)+(E26*E$23)</f>
        <v>91.643877302283926</v>
      </c>
    </row>
    <row r="27" spans="1:12" x14ac:dyDescent="0.35">
      <c r="A27" s="85" t="s">
        <v>285</v>
      </c>
      <c r="B27" s="86">
        <f>VLOOKUP(A27,$A$10:$C$12,3,0)</f>
        <v>88.740366088631973</v>
      </c>
      <c r="C27" s="86">
        <f>VLOOKUP(A27,$A$17:$C$19,3,0)</f>
        <v>45.780969479353686</v>
      </c>
      <c r="D27" s="86">
        <f>VLOOKUP(A27,$F$10:$J$12,5,0)</f>
        <v>42.466237946005435</v>
      </c>
      <c r="E27" s="86">
        <f>VLOOKUP(A27,$F$17:$J$19,5,0)</f>
        <v>95.62841530054645</v>
      </c>
      <c r="F27" s="87">
        <f>(B27*B$23)+(C27*C$23)+(D27*D$23)+(E27*E$23)</f>
        <v>72.271270980633915</v>
      </c>
    </row>
  </sheetData>
  <sortState xmlns:xlrd2="http://schemas.microsoft.com/office/spreadsheetml/2017/richdata2" ref="A24:F27">
    <sortCondition descending="1" ref="F25:F27"/>
  </sortState>
  <mergeCells count="4">
    <mergeCell ref="B8:C8"/>
    <mergeCell ref="G8:J8"/>
    <mergeCell ref="B15:C15"/>
    <mergeCell ref="G15:J15"/>
  </mergeCells>
  <conditionalFormatting sqref="F25:F27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DD34F-4B8B-4837-AE99-1204FD73C155}">
  <sheetPr>
    <tabColor theme="4" tint="0.79998168889431442"/>
  </sheetPr>
  <dimension ref="A1:M32"/>
  <sheetViews>
    <sheetView showGridLines="0" zoomScale="70" zoomScaleNormal="70" workbookViewId="0">
      <selection activeCell="M21" sqref="M21"/>
    </sheetView>
  </sheetViews>
  <sheetFormatPr defaultColWidth="9.08984375" defaultRowHeight="14.5" x14ac:dyDescent="0.35"/>
  <cols>
    <col min="1" max="1" width="32.36328125" bestFit="1" customWidth="1"/>
    <col min="2" max="2" width="12.453125" bestFit="1" customWidth="1"/>
    <col min="3" max="3" width="11" bestFit="1" customWidth="1"/>
    <col min="4" max="4" width="5.54296875" bestFit="1" customWidth="1"/>
    <col min="5" max="5" width="10.08984375" bestFit="1" customWidth="1"/>
    <col min="6" max="6" width="13.90625" bestFit="1" customWidth="1"/>
    <col min="7" max="7" width="12.08984375" bestFit="1" customWidth="1"/>
    <col min="8" max="9" width="6.54296875" bestFit="1" customWidth="1"/>
    <col min="10" max="10" width="6" bestFit="1" customWidth="1"/>
    <col min="11" max="11" width="13.90625" style="7" bestFit="1" customWidth="1"/>
    <col min="12" max="12" width="11.08984375" bestFit="1" customWidth="1"/>
    <col min="13" max="13" width="12.90625" bestFit="1" customWidth="1"/>
    <col min="14" max="14" width="11.08984375" bestFit="1" customWidth="1"/>
    <col min="15" max="15" width="10.08984375" bestFit="1" customWidth="1"/>
  </cols>
  <sheetData>
    <row r="1" spans="1:13" x14ac:dyDescent="0.35">
      <c r="A1" s="1" t="s">
        <v>225</v>
      </c>
    </row>
    <row r="2" spans="1:13" x14ac:dyDescent="0.35">
      <c r="A2" s="1" t="s">
        <v>471</v>
      </c>
    </row>
    <row r="3" spans="1:13" x14ac:dyDescent="0.35">
      <c r="A3" s="1" t="s">
        <v>29</v>
      </c>
    </row>
    <row r="4" spans="1:13" x14ac:dyDescent="0.35">
      <c r="A4" s="23" t="s">
        <v>226</v>
      </c>
    </row>
    <row r="5" spans="1:13" x14ac:dyDescent="0.35">
      <c r="A5" s="8" t="s">
        <v>493</v>
      </c>
    </row>
    <row r="7" spans="1:13" x14ac:dyDescent="0.35">
      <c r="A7" s="1" t="s">
        <v>454</v>
      </c>
      <c r="B7" s="594" t="s">
        <v>455</v>
      </c>
      <c r="C7" s="594"/>
      <c r="F7" s="1" t="s">
        <v>456</v>
      </c>
      <c r="G7" s="595" t="s">
        <v>457</v>
      </c>
      <c r="H7" s="595"/>
      <c r="I7" s="595"/>
      <c r="J7" s="595"/>
      <c r="L7" s="1"/>
      <c r="M7" s="1"/>
    </row>
    <row r="8" spans="1:13" x14ac:dyDescent="0.35">
      <c r="A8" s="9" t="s">
        <v>458</v>
      </c>
      <c r="B8" s="22" t="s">
        <v>340</v>
      </c>
      <c r="C8" s="22" t="s">
        <v>459</v>
      </c>
      <c r="F8" s="9" t="s">
        <v>458</v>
      </c>
      <c r="G8" s="22" t="s">
        <v>340</v>
      </c>
      <c r="H8" s="22" t="s">
        <v>460</v>
      </c>
      <c r="I8" s="22" t="s">
        <v>456</v>
      </c>
      <c r="J8" s="22" t="s">
        <v>459</v>
      </c>
    </row>
    <row r="9" spans="1:13" x14ac:dyDescent="0.35">
      <c r="A9" s="10" t="s">
        <v>419</v>
      </c>
      <c r="B9" s="70">
        <v>398.98</v>
      </c>
      <c r="C9" s="2">
        <f t="shared" ref="C9:C14" si="0">+B9/(MAX($B$9:$B$14))*100</f>
        <v>84.613916399804907</v>
      </c>
      <c r="F9" s="10" t="s">
        <v>419</v>
      </c>
      <c r="G9" s="72">
        <v>1.18</v>
      </c>
      <c r="H9" s="2">
        <v>7414.5192307692305</v>
      </c>
      <c r="I9" s="12">
        <f t="shared" ref="I9:I14" si="1">H9/G9</f>
        <v>6283.4908735332465</v>
      </c>
      <c r="J9" s="2">
        <f t="shared" ref="J9:J14" si="2">(MIN($I$9:$I$14))/I9*100</f>
        <v>99.271487212561524</v>
      </c>
    </row>
    <row r="10" spans="1:13" x14ac:dyDescent="0.35">
      <c r="A10" s="10" t="s">
        <v>294</v>
      </c>
      <c r="B10" s="70">
        <v>471.53</v>
      </c>
      <c r="C10" s="2">
        <f t="shared" si="0"/>
        <v>100</v>
      </c>
      <c r="F10" s="10" t="s">
        <v>294</v>
      </c>
      <c r="G10" s="72">
        <v>1.53</v>
      </c>
      <c r="H10" s="2">
        <v>9543.7037037037026</v>
      </c>
      <c r="I10" s="12">
        <f t="shared" si="1"/>
        <v>6237.7148390220273</v>
      </c>
      <c r="J10" s="2">
        <f t="shared" si="2"/>
        <v>100</v>
      </c>
    </row>
    <row r="11" spans="1:13" x14ac:dyDescent="0.35">
      <c r="A11" s="10" t="s">
        <v>295</v>
      </c>
      <c r="B11" s="70">
        <v>170.4</v>
      </c>
      <c r="C11" s="2">
        <f t="shared" si="0"/>
        <v>36.137679468962745</v>
      </c>
      <c r="F11" s="10" t="s">
        <v>295</v>
      </c>
      <c r="G11" s="72">
        <v>0.1</v>
      </c>
      <c r="H11" s="2">
        <v>626.82830930537352</v>
      </c>
      <c r="I11" s="12">
        <f t="shared" si="1"/>
        <v>6268.2830930537348</v>
      </c>
      <c r="J11" s="2">
        <f t="shared" si="2"/>
        <v>99.512334500884592</v>
      </c>
    </row>
    <row r="12" spans="1:13" x14ac:dyDescent="0.35">
      <c r="A12" s="10" t="s">
        <v>418</v>
      </c>
      <c r="B12" s="70">
        <v>189.26</v>
      </c>
      <c r="C12" s="2">
        <f t="shared" si="0"/>
        <v>40.137424978262253</v>
      </c>
      <c r="F12" s="10" t="s">
        <v>418</v>
      </c>
      <c r="G12" s="72">
        <v>0.12</v>
      </c>
      <c r="H12" s="2">
        <v>1200</v>
      </c>
      <c r="I12" s="12">
        <f t="shared" si="1"/>
        <v>10000</v>
      </c>
      <c r="J12" s="2">
        <f t="shared" si="2"/>
        <v>62.37714839022027</v>
      </c>
    </row>
    <row r="13" spans="1:13" x14ac:dyDescent="0.35">
      <c r="A13" s="10" t="s">
        <v>420</v>
      </c>
      <c r="B13" s="70">
        <v>144.55000000000001</v>
      </c>
      <c r="C13" s="2">
        <f t="shared" si="0"/>
        <v>30.655525629334303</v>
      </c>
      <c r="F13" s="10" t="s">
        <v>420</v>
      </c>
      <c r="G13" s="72">
        <v>0.05</v>
      </c>
      <c r="H13" s="2">
        <v>646.30923694779108</v>
      </c>
      <c r="I13" s="12">
        <f t="shared" si="1"/>
        <v>12926.184738955821</v>
      </c>
      <c r="J13" s="2">
        <f t="shared" si="2"/>
        <v>48.256426509388653</v>
      </c>
    </row>
    <row r="14" spans="1:13" x14ac:dyDescent="0.35">
      <c r="A14" s="10" t="s">
        <v>417</v>
      </c>
      <c r="B14" s="70">
        <v>154.02000000000001</v>
      </c>
      <c r="C14" s="2">
        <f t="shared" si="0"/>
        <v>32.663881407333577</v>
      </c>
      <c r="F14" s="10" t="s">
        <v>417</v>
      </c>
      <c r="G14" s="72">
        <v>7.0000000000000007E-2</v>
      </c>
      <c r="H14" s="2">
        <v>904.72388059701484</v>
      </c>
      <c r="I14" s="12">
        <f t="shared" si="1"/>
        <v>12924.62686567164</v>
      </c>
      <c r="J14" s="2">
        <f t="shared" si="2"/>
        <v>48.262243110396199</v>
      </c>
    </row>
    <row r="16" spans="1:13" x14ac:dyDescent="0.35">
      <c r="A16" s="1" t="s">
        <v>462</v>
      </c>
      <c r="B16" s="594" t="s">
        <v>463</v>
      </c>
      <c r="C16" s="594"/>
      <c r="F16" s="1"/>
      <c r="G16" s="595" t="s">
        <v>464</v>
      </c>
      <c r="H16" s="595"/>
      <c r="I16" s="595"/>
      <c r="J16" s="595"/>
    </row>
    <row r="17" spans="1:10" x14ac:dyDescent="0.35">
      <c r="A17" s="9" t="s">
        <v>458</v>
      </c>
      <c r="B17" s="22" t="s">
        <v>340</v>
      </c>
      <c r="C17" s="22" t="s">
        <v>459</v>
      </c>
      <c r="F17" s="9" t="s">
        <v>227</v>
      </c>
      <c r="G17" s="22" t="s">
        <v>340</v>
      </c>
      <c r="H17" s="24" t="s">
        <v>465</v>
      </c>
      <c r="I17" s="24" t="s">
        <v>466</v>
      </c>
      <c r="J17" s="24" t="s">
        <v>459</v>
      </c>
    </row>
    <row r="18" spans="1:10" x14ac:dyDescent="0.35">
      <c r="A18" s="10" t="s">
        <v>419</v>
      </c>
      <c r="B18" s="129">
        <v>1.337962962963E-2</v>
      </c>
      <c r="C18" s="2">
        <f t="shared" ref="C18:C23" si="3">+B18/(MAX($B$18:$B$23))*100</f>
        <v>97.470489038787477</v>
      </c>
      <c r="F18" s="10" t="s">
        <v>419</v>
      </c>
      <c r="G18" s="72">
        <v>16.38</v>
      </c>
      <c r="H18" s="91">
        <v>17.39</v>
      </c>
      <c r="I18" s="128">
        <f>G18/H18*100</f>
        <v>94.192064404830361</v>
      </c>
      <c r="J18" s="2">
        <f t="shared" ref="J18:J23" si="4">I18/(MAX($I$18:$I$23))*100</f>
        <v>41.966761368488775</v>
      </c>
    </row>
    <row r="19" spans="1:10" x14ac:dyDescent="0.35">
      <c r="A19" s="10" t="s">
        <v>294</v>
      </c>
      <c r="B19" s="129">
        <v>1.3726851851852E-2</v>
      </c>
      <c r="C19" s="2">
        <f t="shared" si="3"/>
        <v>100</v>
      </c>
      <c r="F19" s="10" t="s">
        <v>294</v>
      </c>
      <c r="G19" s="72">
        <v>21.26</v>
      </c>
      <c r="H19" s="91">
        <v>19.559999999999999</v>
      </c>
      <c r="I19" s="128">
        <f t="shared" ref="I19:I23" si="5">G19/H19*100</f>
        <v>108.69120654396728</v>
      </c>
      <c r="J19" s="2">
        <f t="shared" si="4"/>
        <v>48.426775192856709</v>
      </c>
    </row>
    <row r="20" spans="1:10" x14ac:dyDescent="0.35">
      <c r="A20" s="10" t="s">
        <v>295</v>
      </c>
      <c r="B20" s="129">
        <v>1.0520833333333E-2</v>
      </c>
      <c r="C20" s="2">
        <f t="shared" si="3"/>
        <v>76.644182124785956</v>
      </c>
      <c r="F20" s="10" t="s">
        <v>295</v>
      </c>
      <c r="G20" s="72">
        <v>1.45</v>
      </c>
      <c r="H20" s="91">
        <v>1.91</v>
      </c>
      <c r="I20" s="128">
        <f t="shared" si="5"/>
        <v>75.916230366492144</v>
      </c>
      <c r="J20" s="2">
        <f t="shared" si="4"/>
        <v>33.824063034575708</v>
      </c>
    </row>
    <row r="21" spans="1:10" x14ac:dyDescent="0.35">
      <c r="A21" s="10" t="s">
        <v>418</v>
      </c>
      <c r="B21" s="129">
        <v>1.0833333333333001E-2</v>
      </c>
      <c r="C21" s="2">
        <f t="shared" si="3"/>
        <v>78.920741989878678</v>
      </c>
      <c r="F21" s="10" t="s">
        <v>418</v>
      </c>
      <c r="G21" s="72">
        <v>1.71</v>
      </c>
      <c r="H21" s="91">
        <v>1.21</v>
      </c>
      <c r="I21" s="128">
        <f t="shared" si="5"/>
        <v>141.32231404958677</v>
      </c>
      <c r="J21" s="2">
        <f t="shared" si="4"/>
        <v>62.965387447835688</v>
      </c>
    </row>
    <row r="22" spans="1:10" x14ac:dyDescent="0.35">
      <c r="A22" s="10" t="s">
        <v>420</v>
      </c>
      <c r="B22" s="129">
        <v>6.8981481481479997E-3</v>
      </c>
      <c r="C22" s="2">
        <f t="shared" si="3"/>
        <v>50.252951096119794</v>
      </c>
      <c r="F22" s="10" t="s">
        <v>420</v>
      </c>
      <c r="G22" s="72">
        <v>0.75</v>
      </c>
      <c r="H22" s="91">
        <v>0.93</v>
      </c>
      <c r="I22" s="128">
        <f t="shared" si="5"/>
        <v>80.645161290322577</v>
      </c>
      <c r="J22" s="2">
        <f t="shared" si="4"/>
        <v>35.931012456084318</v>
      </c>
    </row>
    <row r="23" spans="1:10" x14ac:dyDescent="0.35">
      <c r="A23" s="10" t="s">
        <v>417</v>
      </c>
      <c r="B23" s="129">
        <v>9.8611111111109994E-3</v>
      </c>
      <c r="C23" s="2">
        <f t="shared" si="3"/>
        <v>71.838111298480698</v>
      </c>
      <c r="F23" s="10" t="s">
        <v>417</v>
      </c>
      <c r="G23" s="72">
        <v>1.01</v>
      </c>
      <c r="H23" s="91">
        <v>0.45</v>
      </c>
      <c r="I23" s="128">
        <f t="shared" si="5"/>
        <v>224.44444444444446</v>
      </c>
      <c r="J23" s="2">
        <f t="shared" si="4"/>
        <v>100</v>
      </c>
    </row>
    <row r="24" spans="1:10" x14ac:dyDescent="0.35">
      <c r="A24" s="22" t="s">
        <v>340</v>
      </c>
    </row>
    <row r="25" spans="1:10" x14ac:dyDescent="0.35">
      <c r="A25" s="9" t="s">
        <v>467</v>
      </c>
      <c r="B25" s="22">
        <v>0.3</v>
      </c>
      <c r="C25" s="22">
        <v>0.2</v>
      </c>
      <c r="D25" s="22">
        <v>0.3</v>
      </c>
      <c r="E25" s="22">
        <v>0.2</v>
      </c>
      <c r="F25" s="22"/>
    </row>
    <row r="26" spans="1:10" x14ac:dyDescent="0.35">
      <c r="A26" s="9" t="s">
        <v>458</v>
      </c>
      <c r="B26" s="22" t="s">
        <v>36</v>
      </c>
      <c r="C26" s="22" t="s">
        <v>468</v>
      </c>
      <c r="D26" s="22" t="s">
        <v>456</v>
      </c>
      <c r="E26" s="22" t="s">
        <v>469</v>
      </c>
      <c r="F26" s="22" t="s">
        <v>470</v>
      </c>
    </row>
    <row r="27" spans="1:10" x14ac:dyDescent="0.35">
      <c r="A27" s="85" t="s">
        <v>294</v>
      </c>
      <c r="B27" s="86">
        <f t="shared" ref="B27:B32" si="6">VLOOKUP(A27,$A$8:$C$14,3,0)</f>
        <v>100</v>
      </c>
      <c r="C27" s="86">
        <f t="shared" ref="C27:C32" si="7">VLOOKUP(A27,$A$17:$C$23,3,0)</f>
        <v>100</v>
      </c>
      <c r="D27" s="86">
        <f t="shared" ref="D27:D32" si="8">VLOOKUP(A27,$F$8:$J$14,5,0)</f>
        <v>100</v>
      </c>
      <c r="E27" s="86">
        <f t="shared" ref="E27:E32" si="9">VLOOKUP(A27,$F$17:$J$23,5,0)</f>
        <v>48.426775192856709</v>
      </c>
      <c r="F27" s="26">
        <f t="shared" ref="F27:F32" si="10">B27*$B$25+C27*$C$25+D27*$D$25+E27*$E$25</f>
        <v>89.685355038571345</v>
      </c>
    </row>
    <row r="28" spans="1:10" x14ac:dyDescent="0.35">
      <c r="A28" s="85" t="s">
        <v>419</v>
      </c>
      <c r="B28" s="86">
        <f t="shared" si="6"/>
        <v>84.613916399804907</v>
      </c>
      <c r="C28" s="86">
        <f t="shared" si="7"/>
        <v>97.470489038787477</v>
      </c>
      <c r="D28" s="86">
        <f t="shared" si="8"/>
        <v>99.271487212561524</v>
      </c>
      <c r="E28" s="86">
        <f t="shared" si="9"/>
        <v>41.966761368488775</v>
      </c>
      <c r="F28" s="26">
        <f t="shared" si="10"/>
        <v>83.053071165165193</v>
      </c>
    </row>
    <row r="29" spans="1:10" x14ac:dyDescent="0.35">
      <c r="A29" s="85" t="s">
        <v>295</v>
      </c>
      <c r="B29" s="86">
        <f t="shared" si="6"/>
        <v>36.137679468962745</v>
      </c>
      <c r="C29" s="86">
        <f t="shared" si="7"/>
        <v>76.644182124785956</v>
      </c>
      <c r="D29" s="86">
        <f t="shared" si="8"/>
        <v>99.512334500884592</v>
      </c>
      <c r="E29" s="86">
        <f t="shared" si="9"/>
        <v>33.824063034575708</v>
      </c>
      <c r="F29" s="26">
        <f t="shared" si="10"/>
        <v>62.788653222826539</v>
      </c>
    </row>
    <row r="30" spans="1:10" x14ac:dyDescent="0.35">
      <c r="A30" s="10" t="s">
        <v>418</v>
      </c>
      <c r="B30" s="2">
        <f t="shared" si="6"/>
        <v>40.137424978262253</v>
      </c>
      <c r="C30" s="2">
        <f t="shared" si="7"/>
        <v>78.920741989878678</v>
      </c>
      <c r="D30" s="2">
        <f t="shared" si="8"/>
        <v>62.37714839022027</v>
      </c>
      <c r="E30" s="2">
        <f t="shared" si="9"/>
        <v>62.965387447835688</v>
      </c>
      <c r="F30" s="26">
        <f t="shared" si="10"/>
        <v>59.131597898087634</v>
      </c>
    </row>
    <row r="31" spans="1:10" x14ac:dyDescent="0.35">
      <c r="A31" s="85" t="s">
        <v>417</v>
      </c>
      <c r="B31" s="86">
        <f t="shared" si="6"/>
        <v>32.663881407333577</v>
      </c>
      <c r="C31" s="86">
        <f t="shared" si="7"/>
        <v>71.838111298480698</v>
      </c>
      <c r="D31" s="86">
        <f t="shared" si="8"/>
        <v>48.262243110396199</v>
      </c>
      <c r="E31" s="86">
        <f t="shared" si="9"/>
        <v>100</v>
      </c>
      <c r="F31" s="26">
        <f t="shared" si="10"/>
        <v>58.645459615015071</v>
      </c>
    </row>
    <row r="32" spans="1:10" x14ac:dyDescent="0.35">
      <c r="A32" s="10" t="s">
        <v>420</v>
      </c>
      <c r="B32" s="2">
        <f t="shared" si="6"/>
        <v>30.655525629334303</v>
      </c>
      <c r="C32" s="2">
        <f t="shared" si="7"/>
        <v>50.252951096119794</v>
      </c>
      <c r="D32" s="2">
        <f t="shared" si="8"/>
        <v>48.256426509388653</v>
      </c>
      <c r="E32" s="2">
        <f t="shared" si="9"/>
        <v>35.931012456084318</v>
      </c>
      <c r="F32" s="26">
        <f t="shared" si="10"/>
        <v>40.910378352057705</v>
      </c>
    </row>
  </sheetData>
  <sortState xmlns:xlrd2="http://schemas.microsoft.com/office/spreadsheetml/2017/richdata2" ref="A27:F32">
    <sortCondition descending="1" ref="F27:F32"/>
  </sortState>
  <mergeCells count="4">
    <mergeCell ref="B7:C7"/>
    <mergeCell ref="G7:J7"/>
    <mergeCell ref="B16:C16"/>
    <mergeCell ref="G16:J16"/>
  </mergeCells>
  <conditionalFormatting sqref="F27:F3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C1126F-3374-4BC1-9834-CE6F7090D175}">
  <sheetPr>
    <tabColor theme="4" tint="0.79998168889431442"/>
  </sheetPr>
  <dimension ref="A1:M23"/>
  <sheetViews>
    <sheetView showGridLines="0" zoomScale="70" zoomScaleNormal="70" workbookViewId="0">
      <selection activeCell="M21" sqref="M21"/>
    </sheetView>
  </sheetViews>
  <sheetFormatPr defaultColWidth="9.08984375" defaultRowHeight="14.5" x14ac:dyDescent="0.35"/>
  <cols>
    <col min="1" max="1" width="32.36328125" bestFit="1" customWidth="1"/>
    <col min="2" max="2" width="12.453125" bestFit="1" customWidth="1"/>
    <col min="3" max="3" width="11" bestFit="1" customWidth="1"/>
    <col min="4" max="4" width="5.54296875" bestFit="1" customWidth="1"/>
    <col min="5" max="5" width="10.08984375" bestFit="1" customWidth="1"/>
    <col min="6" max="6" width="19" bestFit="1" customWidth="1"/>
    <col min="7" max="7" width="12.08984375" bestFit="1" customWidth="1"/>
    <col min="8" max="9" width="6.54296875" bestFit="1" customWidth="1"/>
    <col min="10" max="10" width="6" bestFit="1" customWidth="1"/>
    <col min="11" max="11" width="13.90625" style="7" bestFit="1" customWidth="1"/>
    <col min="12" max="12" width="11.08984375" bestFit="1" customWidth="1"/>
    <col min="13" max="13" width="12.90625" bestFit="1" customWidth="1"/>
    <col min="14" max="14" width="11.08984375" bestFit="1" customWidth="1"/>
    <col min="15" max="15" width="10.08984375" bestFit="1" customWidth="1"/>
  </cols>
  <sheetData>
    <row r="1" spans="1:13" x14ac:dyDescent="0.35">
      <c r="A1" s="1" t="s">
        <v>225</v>
      </c>
    </row>
    <row r="2" spans="1:13" x14ac:dyDescent="0.35">
      <c r="A2" s="1" t="s">
        <v>471</v>
      </c>
    </row>
    <row r="3" spans="1:13" x14ac:dyDescent="0.35">
      <c r="A3" s="1" t="s">
        <v>29</v>
      </c>
    </row>
    <row r="4" spans="1:13" x14ac:dyDescent="0.35">
      <c r="A4" s="23" t="s">
        <v>226</v>
      </c>
    </row>
    <row r="5" spans="1:13" x14ac:dyDescent="0.35">
      <c r="A5" s="8" t="s">
        <v>493</v>
      </c>
    </row>
    <row r="7" spans="1:13" x14ac:dyDescent="0.35">
      <c r="A7" s="1" t="s">
        <v>454</v>
      </c>
      <c r="B7" s="594" t="s">
        <v>455</v>
      </c>
      <c r="C7" s="594"/>
      <c r="F7" s="1" t="s">
        <v>456</v>
      </c>
      <c r="G7" s="595" t="s">
        <v>457</v>
      </c>
      <c r="H7" s="595"/>
      <c r="I7" s="595"/>
      <c r="J7" s="595"/>
      <c r="L7" s="1"/>
      <c r="M7" s="1"/>
    </row>
    <row r="8" spans="1:13" x14ac:dyDescent="0.35">
      <c r="A8" s="9" t="s">
        <v>458</v>
      </c>
      <c r="B8" s="22" t="s">
        <v>340</v>
      </c>
      <c r="C8" s="22" t="s">
        <v>459</v>
      </c>
      <c r="F8" s="9" t="s">
        <v>458</v>
      </c>
      <c r="G8" s="22" t="s">
        <v>340</v>
      </c>
      <c r="H8" s="22" t="s">
        <v>460</v>
      </c>
      <c r="I8" s="22" t="s">
        <v>456</v>
      </c>
      <c r="J8" s="22" t="s">
        <v>459</v>
      </c>
    </row>
    <row r="9" spans="1:13" x14ac:dyDescent="0.35">
      <c r="A9" s="10" t="s">
        <v>298</v>
      </c>
      <c r="B9" s="70">
        <v>221.72</v>
      </c>
      <c r="C9" s="2">
        <f>+B9/(MAX($B$9:$B$11))*100</f>
        <v>72.410189418680602</v>
      </c>
      <c r="F9" s="10" t="s">
        <v>298</v>
      </c>
      <c r="G9" s="72">
        <v>0.08</v>
      </c>
      <c r="H9" s="2">
        <v>562.40063593004766</v>
      </c>
      <c r="I9" s="12">
        <f t="shared" ref="I9:I11" si="0">H9/G9</f>
        <v>7030.0079491255956</v>
      </c>
      <c r="J9" s="2">
        <f>(MIN($I$9:$I$11))/I9*100</f>
        <v>84.439066105168052</v>
      </c>
    </row>
    <row r="10" spans="1:13" x14ac:dyDescent="0.35">
      <c r="A10" s="10" t="s">
        <v>297</v>
      </c>
      <c r="B10" s="70">
        <v>279.44</v>
      </c>
      <c r="C10" s="2">
        <f>+B10/(MAX($B$9:$B$11))*100</f>
        <v>91.260613977792289</v>
      </c>
      <c r="F10" s="10" t="s">
        <v>297</v>
      </c>
      <c r="G10" s="72">
        <v>0.1</v>
      </c>
      <c r="H10" s="2">
        <v>1361.1319727891157</v>
      </c>
      <c r="I10" s="12">
        <f t="shared" si="0"/>
        <v>13611.319727891156</v>
      </c>
      <c r="J10" s="2">
        <f>(MIN($I$9:$I$11))/I10*100</f>
        <v>43.611296906037964</v>
      </c>
    </row>
    <row r="11" spans="1:13" x14ac:dyDescent="0.35">
      <c r="A11" s="10" t="s">
        <v>296</v>
      </c>
      <c r="B11" s="70">
        <v>306.2</v>
      </c>
      <c r="C11" s="2">
        <f>+B11/(MAX($B$9:$B$11))*100</f>
        <v>100</v>
      </c>
      <c r="F11" s="10" t="s">
        <v>296</v>
      </c>
      <c r="G11" s="72">
        <v>0.12</v>
      </c>
      <c r="H11" s="2">
        <v>712.32876712328766</v>
      </c>
      <c r="I11" s="12">
        <f t="shared" si="0"/>
        <v>5936.0730593607304</v>
      </c>
      <c r="J11" s="2">
        <f>(MIN($I$9:$I$11))/I11*100</f>
        <v>100</v>
      </c>
    </row>
    <row r="13" spans="1:13" x14ac:dyDescent="0.35">
      <c r="A13" s="1" t="s">
        <v>462</v>
      </c>
      <c r="B13" s="594" t="s">
        <v>463</v>
      </c>
      <c r="C13" s="594"/>
      <c r="F13" s="1"/>
      <c r="G13" s="595" t="s">
        <v>464</v>
      </c>
      <c r="H13" s="595"/>
      <c r="I13" s="595"/>
      <c r="J13" s="595"/>
    </row>
    <row r="14" spans="1:13" x14ac:dyDescent="0.35">
      <c r="A14" s="9" t="s">
        <v>458</v>
      </c>
      <c r="B14" s="22" t="s">
        <v>340</v>
      </c>
      <c r="C14" s="22" t="s">
        <v>459</v>
      </c>
      <c r="F14" s="9" t="s">
        <v>227</v>
      </c>
      <c r="G14" s="22" t="s">
        <v>340</v>
      </c>
      <c r="H14" s="24" t="s">
        <v>465</v>
      </c>
      <c r="I14" s="24" t="s">
        <v>466</v>
      </c>
      <c r="J14" s="24" t="s">
        <v>459</v>
      </c>
    </row>
    <row r="15" spans="1:13" x14ac:dyDescent="0.35">
      <c r="A15" s="10" t="s">
        <v>298</v>
      </c>
      <c r="B15" s="129">
        <v>7.8935185185190007E-3</v>
      </c>
      <c r="C15" s="2">
        <f>+B15/(MAX($B$15:$B$17))*100</f>
        <v>92.411924119243238</v>
      </c>
      <c r="F15" s="10" t="s">
        <v>298</v>
      </c>
      <c r="G15" s="72">
        <v>1.1100000000000001</v>
      </c>
      <c r="H15" s="91">
        <v>1.55</v>
      </c>
      <c r="I15" s="128">
        <f>G15/H15*100</f>
        <v>71.612903225806463</v>
      </c>
      <c r="J15" s="2">
        <f>I15/(MAX($I$15:$I$17))*100</f>
        <v>80.037950664136631</v>
      </c>
    </row>
    <row r="16" spans="1:13" x14ac:dyDescent="0.35">
      <c r="A16" s="10" t="s">
        <v>297</v>
      </c>
      <c r="B16" s="129">
        <v>7.210648148148E-3</v>
      </c>
      <c r="C16" s="2">
        <f>+B16/(MAX($B$15:$B$17))*100</f>
        <v>84.417344173436717</v>
      </c>
      <c r="F16" s="10" t="s">
        <v>297</v>
      </c>
      <c r="G16" s="72">
        <v>1.42</v>
      </c>
      <c r="H16" s="91">
        <v>1.61</v>
      </c>
      <c r="I16" s="128">
        <f t="shared" ref="I16:I17" si="1">G16/H16*100</f>
        <v>88.198757763975138</v>
      </c>
      <c r="J16" s="2">
        <f>I16/(MAX($I$15:$I$17))*100</f>
        <v>98.575082206795742</v>
      </c>
    </row>
    <row r="17" spans="1:10" x14ac:dyDescent="0.35">
      <c r="A17" s="10" t="s">
        <v>296</v>
      </c>
      <c r="B17" s="129">
        <v>8.5416666666669992E-3</v>
      </c>
      <c r="C17" s="2">
        <f>+B17/(MAX($B$15:$B$17))*100</f>
        <v>100</v>
      </c>
      <c r="F17" s="10" t="s">
        <v>296</v>
      </c>
      <c r="G17" s="72">
        <v>1.7</v>
      </c>
      <c r="H17" s="91">
        <v>1.9</v>
      </c>
      <c r="I17" s="128">
        <f t="shared" si="1"/>
        <v>89.473684210526315</v>
      </c>
      <c r="J17" s="2">
        <f>I17/(MAX($I$15:$I$17))*100</f>
        <v>100</v>
      </c>
    </row>
    <row r="19" spans="1:10" x14ac:dyDescent="0.35">
      <c r="A19" s="22" t="s">
        <v>340</v>
      </c>
    </row>
    <row r="20" spans="1:10" x14ac:dyDescent="0.35">
      <c r="A20" s="9" t="s">
        <v>467</v>
      </c>
      <c r="B20" s="22">
        <v>0.3</v>
      </c>
      <c r="C20" s="22">
        <v>0.2</v>
      </c>
      <c r="D20" s="22">
        <v>0.3</v>
      </c>
      <c r="E20" s="22">
        <v>0.2</v>
      </c>
      <c r="F20" s="22"/>
    </row>
    <row r="21" spans="1:10" x14ac:dyDescent="0.35">
      <c r="A21" s="9" t="s">
        <v>458</v>
      </c>
      <c r="B21" s="22" t="s">
        <v>36</v>
      </c>
      <c r="C21" s="22" t="s">
        <v>468</v>
      </c>
      <c r="D21" s="22" t="s">
        <v>456</v>
      </c>
      <c r="E21" s="22" t="s">
        <v>469</v>
      </c>
      <c r="F21" s="22" t="s">
        <v>470</v>
      </c>
    </row>
    <row r="22" spans="1:10" x14ac:dyDescent="0.35">
      <c r="A22" s="85" t="s">
        <v>296</v>
      </c>
      <c r="B22" s="86">
        <f>VLOOKUP(A22,$A$8:$C$11,3,0)</f>
        <v>100</v>
      </c>
      <c r="C22" s="86">
        <f>VLOOKUP(A22,$A$14:$C$17,3,0)</f>
        <v>100</v>
      </c>
      <c r="D22" s="86">
        <f>VLOOKUP(A22,$F$8:$J$11,5,0)</f>
        <v>100</v>
      </c>
      <c r="E22" s="86">
        <f>VLOOKUP(A22,$F$14:$J$17,5,0)</f>
        <v>100</v>
      </c>
      <c r="F22" s="26">
        <f>B22*$B$20+C22*$C$20+D22*$D$20+E22*$E$20</f>
        <v>100</v>
      </c>
    </row>
    <row r="23" spans="1:10" x14ac:dyDescent="0.35">
      <c r="A23" s="85" t="s">
        <v>298</v>
      </c>
      <c r="B23" s="86">
        <f>VLOOKUP(A23,$A$8:$C$11,3,0)</f>
        <v>72.410189418680602</v>
      </c>
      <c r="C23" s="86">
        <f>VLOOKUP(A23,$A$14:$C$17,3,0)</f>
        <v>92.411924119243238</v>
      </c>
      <c r="D23" s="86">
        <f>VLOOKUP(A23,$F$8:$J$11,5,0)</f>
        <v>84.439066105168052</v>
      </c>
      <c r="E23" s="86">
        <f>VLOOKUP(A23,$F$14:$J$17,5,0)</f>
        <v>80.037950664136631</v>
      </c>
      <c r="F23" s="26">
        <f>B23*$B$20+C23*$C$20+D23*$D$20+E23*$E$20</f>
        <v>81.54475161383057</v>
      </c>
    </row>
  </sheetData>
  <sortState xmlns:xlrd2="http://schemas.microsoft.com/office/spreadsheetml/2017/richdata2" ref="A21:F23">
    <sortCondition descending="1" ref="F22:F23"/>
  </sortState>
  <mergeCells count="4">
    <mergeCell ref="B7:C7"/>
    <mergeCell ref="G7:J7"/>
    <mergeCell ref="B13:C13"/>
    <mergeCell ref="G13:J13"/>
  </mergeCells>
  <conditionalFormatting sqref="F22:F23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F4BDB-8DC0-4A21-AA5E-19B56F70C7E9}">
  <sheetPr>
    <tabColor theme="4" tint="0.79998168889431442"/>
  </sheetPr>
  <dimension ref="A1:M39"/>
  <sheetViews>
    <sheetView showGridLines="0" zoomScale="70" zoomScaleNormal="70" workbookViewId="0">
      <selection activeCell="M21" sqref="M21"/>
    </sheetView>
  </sheetViews>
  <sheetFormatPr defaultColWidth="9.08984375" defaultRowHeight="14.5" x14ac:dyDescent="0.35"/>
  <cols>
    <col min="1" max="1" width="32.36328125" bestFit="1" customWidth="1"/>
    <col min="2" max="2" width="12.453125" bestFit="1" customWidth="1"/>
    <col min="3" max="3" width="11" bestFit="1" customWidth="1"/>
    <col min="4" max="4" width="5.54296875" bestFit="1" customWidth="1"/>
    <col min="5" max="5" width="10.08984375" bestFit="1" customWidth="1"/>
    <col min="6" max="6" width="28.54296875" bestFit="1" customWidth="1"/>
    <col min="7" max="7" width="11.54296875" bestFit="1" customWidth="1"/>
    <col min="8" max="8" width="6.54296875" bestFit="1" customWidth="1"/>
    <col min="9" max="9" width="8" bestFit="1" customWidth="1"/>
    <col min="10" max="10" width="6" bestFit="1" customWidth="1"/>
    <col min="11" max="11" width="13.90625" style="7" bestFit="1" customWidth="1"/>
    <col min="12" max="12" width="11.08984375" bestFit="1" customWidth="1"/>
    <col min="13" max="13" width="12.90625" bestFit="1" customWidth="1"/>
    <col min="14" max="14" width="11.08984375" bestFit="1" customWidth="1"/>
    <col min="15" max="15" width="10.08984375" bestFit="1" customWidth="1"/>
  </cols>
  <sheetData>
    <row r="1" spans="1:13" x14ac:dyDescent="0.35">
      <c r="A1" s="1" t="s">
        <v>225</v>
      </c>
    </row>
    <row r="2" spans="1:13" x14ac:dyDescent="0.35">
      <c r="A2" s="1" t="s">
        <v>471</v>
      </c>
    </row>
    <row r="3" spans="1:13" x14ac:dyDescent="0.35">
      <c r="A3" s="1" t="s">
        <v>29</v>
      </c>
    </row>
    <row r="4" spans="1:13" x14ac:dyDescent="0.35">
      <c r="A4" s="23" t="s">
        <v>226</v>
      </c>
    </row>
    <row r="5" spans="1:13" x14ac:dyDescent="0.35">
      <c r="A5" s="8" t="s">
        <v>493</v>
      </c>
    </row>
    <row r="7" spans="1:13" x14ac:dyDescent="0.35">
      <c r="A7" s="1" t="s">
        <v>454</v>
      </c>
      <c r="B7" s="594" t="s">
        <v>455</v>
      </c>
      <c r="C7" s="594"/>
      <c r="F7" s="1" t="s">
        <v>456</v>
      </c>
      <c r="G7" s="595" t="s">
        <v>457</v>
      </c>
      <c r="H7" s="595"/>
      <c r="I7" s="595"/>
      <c r="J7" s="595"/>
      <c r="L7" s="1"/>
      <c r="M7" s="1"/>
    </row>
    <row r="8" spans="1:13" x14ac:dyDescent="0.35">
      <c r="A8" s="9" t="s">
        <v>458</v>
      </c>
      <c r="B8" s="22" t="s">
        <v>340</v>
      </c>
      <c r="C8" s="22" t="s">
        <v>459</v>
      </c>
      <c r="F8" s="9" t="s">
        <v>458</v>
      </c>
      <c r="G8" s="22" t="s">
        <v>340</v>
      </c>
      <c r="H8" s="22" t="s">
        <v>460</v>
      </c>
      <c r="I8" s="22" t="s">
        <v>456</v>
      </c>
      <c r="J8" s="22" t="s">
        <v>459</v>
      </c>
    </row>
    <row r="9" spans="1:13" x14ac:dyDescent="0.35">
      <c r="A9" s="10" t="s">
        <v>424</v>
      </c>
      <c r="B9" s="70">
        <v>674.31</v>
      </c>
      <c r="C9" s="2">
        <f>+B9/(MAX($B$9:$B$16))*100</f>
        <v>100</v>
      </c>
      <c r="F9" s="10" t="s">
        <v>424</v>
      </c>
      <c r="G9" s="72">
        <v>0.21</v>
      </c>
      <c r="H9" s="2">
        <v>1311.1506824385806</v>
      </c>
      <c r="I9" s="12">
        <f t="shared" ref="I9:I16" si="0">H9/G9</f>
        <v>6243.5746782789556</v>
      </c>
      <c r="J9" s="2">
        <f>(MIN($I$9:$I$16))/I9*100</f>
        <v>30.698226023220986</v>
      </c>
    </row>
    <row r="10" spans="1:13" x14ac:dyDescent="0.35">
      <c r="A10" s="10" t="s">
        <v>299</v>
      </c>
      <c r="B10" s="70">
        <v>516.73</v>
      </c>
      <c r="C10" s="2">
        <f>+B10/(MAX($B$9:$B$16))*100</f>
        <v>76.63092642849729</v>
      </c>
      <c r="F10" s="10" t="s">
        <v>299</v>
      </c>
      <c r="G10" s="72">
        <v>0.06</v>
      </c>
      <c r="H10" s="2">
        <v>700</v>
      </c>
      <c r="I10" s="2">
        <f t="shared" si="0"/>
        <v>11666.666666666668</v>
      </c>
      <c r="J10" s="2">
        <f>(MIN($I$9:$I$16))/I10*100</f>
        <v>16.428571428571427</v>
      </c>
    </row>
    <row r="11" spans="1:13" x14ac:dyDescent="0.35">
      <c r="A11" s="10" t="s">
        <v>421</v>
      </c>
      <c r="B11" s="70">
        <v>293.68</v>
      </c>
      <c r="C11" s="2">
        <f t="shared" ref="C11:C16" si="1">+B11/(MAX($B$9:$B$16))*100</f>
        <v>43.552668653883231</v>
      </c>
      <c r="F11" s="10" t="s">
        <v>421</v>
      </c>
      <c r="G11" s="72">
        <v>0.02</v>
      </c>
      <c r="H11" s="2">
        <v>342.125</v>
      </c>
      <c r="I11" s="12">
        <f t="shared" si="0"/>
        <v>17106.25</v>
      </c>
      <c r="J11" s="2">
        <f t="shared" ref="J11:J16" si="2">(MIN($I$9:$I$16))/I11*100</f>
        <v>11.204481792717086</v>
      </c>
    </row>
    <row r="12" spans="1:13" x14ac:dyDescent="0.35">
      <c r="A12" s="10" t="s">
        <v>425</v>
      </c>
      <c r="B12" s="70">
        <v>287.56</v>
      </c>
      <c r="C12" s="2">
        <f t="shared" si="1"/>
        <v>42.645074224021599</v>
      </c>
      <c r="F12" s="10" t="s">
        <v>425</v>
      </c>
      <c r="G12" s="72">
        <v>0.02</v>
      </c>
      <c r="H12" s="7">
        <v>287.5</v>
      </c>
      <c r="I12" s="12">
        <f t="shared" si="0"/>
        <v>14375</v>
      </c>
      <c r="J12" s="2">
        <f t="shared" si="2"/>
        <v>13.333333333333334</v>
      </c>
    </row>
    <row r="13" spans="1:13" x14ac:dyDescent="0.35">
      <c r="A13" s="10" t="s">
        <v>300</v>
      </c>
      <c r="B13" s="70">
        <v>627.5</v>
      </c>
      <c r="C13" s="2">
        <f t="shared" si="1"/>
        <v>93.05808900950602</v>
      </c>
      <c r="F13" s="10" t="s">
        <v>300</v>
      </c>
      <c r="G13" s="72">
        <v>0.12</v>
      </c>
      <c r="H13" s="2">
        <v>229.99999999999997</v>
      </c>
      <c r="I13" s="12">
        <f t="shared" si="0"/>
        <v>1916.6666666666665</v>
      </c>
      <c r="J13" s="2">
        <f t="shared" si="2"/>
        <v>100</v>
      </c>
    </row>
    <row r="14" spans="1:13" x14ac:dyDescent="0.35">
      <c r="A14" s="10" t="s">
        <v>422</v>
      </c>
      <c r="B14" s="70">
        <v>199.91</v>
      </c>
      <c r="C14" s="2">
        <f t="shared" si="1"/>
        <v>29.646601711379038</v>
      </c>
      <c r="F14" s="10" t="s">
        <v>422</v>
      </c>
      <c r="G14" s="72">
        <v>0.01</v>
      </c>
      <c r="H14" s="7">
        <v>244.37499999999997</v>
      </c>
      <c r="I14" s="12">
        <f t="shared" si="0"/>
        <v>24437.499999999996</v>
      </c>
      <c r="J14" s="2">
        <f t="shared" si="2"/>
        <v>7.8431372549019605</v>
      </c>
    </row>
    <row r="15" spans="1:13" x14ac:dyDescent="0.35">
      <c r="A15" s="10" t="s">
        <v>423</v>
      </c>
      <c r="B15" s="70">
        <v>530.69000000000005</v>
      </c>
      <c r="C15" s="2">
        <f t="shared" si="1"/>
        <v>78.701190846939852</v>
      </c>
      <c r="F15" s="10" t="s">
        <v>423</v>
      </c>
      <c r="G15" s="72">
        <v>0.11</v>
      </c>
      <c r="H15" s="2">
        <v>650</v>
      </c>
      <c r="I15" s="12">
        <f t="shared" si="0"/>
        <v>5909.090909090909</v>
      </c>
      <c r="J15" s="2">
        <f t="shared" si="2"/>
        <v>32.435897435897431</v>
      </c>
    </row>
    <row r="16" spans="1:13" x14ac:dyDescent="0.35">
      <c r="A16" s="10" t="s">
        <v>301</v>
      </c>
      <c r="B16" s="70">
        <v>501.64</v>
      </c>
      <c r="C16" s="2">
        <f t="shared" si="1"/>
        <v>74.393083299965895</v>
      </c>
      <c r="F16" s="10" t="s">
        <v>301</v>
      </c>
      <c r="G16" s="72">
        <v>0.13</v>
      </c>
      <c r="H16" s="26">
        <v>450</v>
      </c>
      <c r="I16" s="12">
        <f t="shared" si="0"/>
        <v>3461.5384615384614</v>
      </c>
      <c r="J16" s="2">
        <f t="shared" si="2"/>
        <v>55.370370370370367</v>
      </c>
    </row>
    <row r="18" spans="1:10" x14ac:dyDescent="0.35">
      <c r="A18" s="1" t="s">
        <v>462</v>
      </c>
      <c r="B18" s="594" t="s">
        <v>463</v>
      </c>
      <c r="C18" s="594"/>
      <c r="F18" s="1" t="s">
        <v>464</v>
      </c>
      <c r="G18" s="598" t="s">
        <v>494</v>
      </c>
      <c r="H18" s="599"/>
      <c r="I18" s="599"/>
      <c r="J18" s="599"/>
    </row>
    <row r="19" spans="1:10" x14ac:dyDescent="0.35">
      <c r="A19" s="9" t="s">
        <v>458</v>
      </c>
      <c r="B19" s="22" t="s">
        <v>340</v>
      </c>
      <c r="C19" s="22" t="s">
        <v>459</v>
      </c>
      <c r="F19" s="9" t="s">
        <v>227</v>
      </c>
      <c r="G19" s="22" t="s">
        <v>340</v>
      </c>
      <c r="H19" s="24" t="s">
        <v>465</v>
      </c>
      <c r="I19" s="24" t="s">
        <v>466</v>
      </c>
      <c r="J19" s="24" t="s">
        <v>459</v>
      </c>
    </row>
    <row r="20" spans="1:10" x14ac:dyDescent="0.35">
      <c r="A20" s="10" t="s">
        <v>424</v>
      </c>
      <c r="B20" s="129">
        <v>4.0625000000000001E-3</v>
      </c>
      <c r="C20" s="2">
        <f t="shared" ref="C20:C26" si="3">+B20/(MAX($B$20:$B$26))*100</f>
        <v>100</v>
      </c>
      <c r="F20" s="10" t="s">
        <v>421</v>
      </c>
      <c r="G20" s="72">
        <v>0.33</v>
      </c>
      <c r="H20" s="91">
        <v>0.17</v>
      </c>
      <c r="I20" s="128">
        <f t="shared" ref="I20:I26" si="4">G20/H20*100</f>
        <v>194.11764705882354</v>
      </c>
      <c r="J20" s="2">
        <f t="shared" ref="J20:J26" si="5">I20/(MAX($I$20:$I$26))*100</f>
        <v>100</v>
      </c>
    </row>
    <row r="21" spans="1:10" x14ac:dyDescent="0.35">
      <c r="A21" s="10" t="s">
        <v>299</v>
      </c>
      <c r="B21" s="129">
        <v>1.9675925925930001E-3</v>
      </c>
      <c r="C21" s="127">
        <f t="shared" si="3"/>
        <v>48.43304843305846</v>
      </c>
      <c r="F21" s="10" t="s">
        <v>422</v>
      </c>
      <c r="G21" s="72">
        <v>0.09</v>
      </c>
      <c r="H21" s="91">
        <v>0.05</v>
      </c>
      <c r="I21" s="128">
        <f t="shared" si="4"/>
        <v>179.99999999999997</v>
      </c>
      <c r="J21" s="2">
        <f t="shared" si="5"/>
        <v>92.72727272727272</v>
      </c>
    </row>
    <row r="22" spans="1:10" x14ac:dyDescent="0.35">
      <c r="A22" s="10" t="s">
        <v>421</v>
      </c>
      <c r="B22" s="129">
        <v>1.9444444444440001E-3</v>
      </c>
      <c r="C22" s="2">
        <f t="shared" si="3"/>
        <v>47.863247863236921</v>
      </c>
      <c r="F22" s="10" t="s">
        <v>423</v>
      </c>
      <c r="G22" s="72">
        <v>1.55</v>
      </c>
      <c r="H22" s="91">
        <v>1.03</v>
      </c>
      <c r="I22" s="128">
        <f t="shared" si="4"/>
        <v>150.48543689320388</v>
      </c>
      <c r="J22" s="2">
        <f t="shared" si="5"/>
        <v>77.522800823771703</v>
      </c>
    </row>
    <row r="23" spans="1:10" x14ac:dyDescent="0.35">
      <c r="A23" s="10" t="s">
        <v>425</v>
      </c>
      <c r="B23" s="129">
        <v>1.5277777777779999E-3</v>
      </c>
      <c r="C23" s="2">
        <f t="shared" si="3"/>
        <v>37.606837606843072</v>
      </c>
      <c r="F23" s="10" t="s">
        <v>301</v>
      </c>
      <c r="G23" s="72">
        <v>1.76</v>
      </c>
      <c r="H23" s="91">
        <v>1.22</v>
      </c>
      <c r="I23" s="128">
        <f t="shared" si="4"/>
        <v>144.26229508196721</v>
      </c>
      <c r="J23" s="2">
        <f t="shared" si="5"/>
        <v>74.316939890710373</v>
      </c>
    </row>
    <row r="24" spans="1:10" x14ac:dyDescent="0.35">
      <c r="A24" s="10" t="s">
        <v>422</v>
      </c>
      <c r="B24" s="129">
        <v>1.388888888889E-3</v>
      </c>
      <c r="C24" s="2">
        <f t="shared" si="3"/>
        <v>34.188034188036923</v>
      </c>
      <c r="F24" s="10" t="s">
        <v>424</v>
      </c>
      <c r="G24" s="72">
        <v>2.86</v>
      </c>
      <c r="H24" s="91">
        <v>2.3199999999999998</v>
      </c>
      <c r="I24" s="128">
        <f t="shared" si="4"/>
        <v>123.27586206896552</v>
      </c>
      <c r="J24" s="2">
        <f t="shared" si="5"/>
        <v>63.505747126436788</v>
      </c>
    </row>
    <row r="25" spans="1:10" x14ac:dyDescent="0.35">
      <c r="A25" s="10" t="s">
        <v>423</v>
      </c>
      <c r="B25" s="129">
        <v>2.9282407407410001E-3</v>
      </c>
      <c r="C25" s="2">
        <f t="shared" si="3"/>
        <v>72.079772079778465</v>
      </c>
      <c r="F25" s="10" t="s">
        <v>299</v>
      </c>
      <c r="G25" s="72">
        <v>0.82</v>
      </c>
      <c r="H25" s="91">
        <v>0.68</v>
      </c>
      <c r="I25" s="128">
        <f t="shared" si="4"/>
        <v>120.58823529411764</v>
      </c>
      <c r="J25" s="2">
        <f t="shared" si="5"/>
        <v>62.12121212121211</v>
      </c>
    </row>
    <row r="26" spans="1:10" x14ac:dyDescent="0.35">
      <c r="A26" s="10" t="s">
        <v>301</v>
      </c>
      <c r="B26" s="129">
        <v>3.402777777778E-3</v>
      </c>
      <c r="C26" s="2">
        <f t="shared" si="3"/>
        <v>83.760683760689219</v>
      </c>
      <c r="F26" s="10" t="s">
        <v>425</v>
      </c>
      <c r="G26" s="72">
        <v>0.24</v>
      </c>
      <c r="H26" s="91">
        <v>0.34</v>
      </c>
      <c r="I26" s="128">
        <f t="shared" si="4"/>
        <v>70.588235294117638</v>
      </c>
      <c r="J26" s="2">
        <f t="shared" si="5"/>
        <v>36.36363636363636</v>
      </c>
    </row>
    <row r="28" spans="1:10" x14ac:dyDescent="0.35">
      <c r="A28" s="22" t="s">
        <v>340</v>
      </c>
    </row>
    <row r="29" spans="1:10" x14ac:dyDescent="0.35">
      <c r="A29" s="9" t="s">
        <v>467</v>
      </c>
      <c r="B29" s="22">
        <v>0.3</v>
      </c>
      <c r="C29" s="22">
        <v>0.2</v>
      </c>
      <c r="D29" s="22">
        <v>0.3</v>
      </c>
      <c r="E29" s="22">
        <v>0.2</v>
      </c>
      <c r="F29" s="22"/>
    </row>
    <row r="30" spans="1:10" x14ac:dyDescent="0.35">
      <c r="A30" s="9" t="s">
        <v>458</v>
      </c>
      <c r="B30" s="22" t="s">
        <v>36</v>
      </c>
      <c r="C30" s="22" t="s">
        <v>468</v>
      </c>
      <c r="D30" s="22" t="s">
        <v>456</v>
      </c>
      <c r="E30" s="22" t="s">
        <v>469</v>
      </c>
      <c r="F30" s="22" t="s">
        <v>470</v>
      </c>
    </row>
    <row r="31" spans="1:10" hidden="1" x14ac:dyDescent="0.35">
      <c r="A31" s="10" t="s">
        <v>300</v>
      </c>
      <c r="B31" s="2">
        <f>VLOOKUP(A31,$A$8:$C$14,3,0)</f>
        <v>93.05808900950602</v>
      </c>
      <c r="C31" s="2" t="e">
        <f>VLOOKUP(A31,$A$19:$C$26,3,0)</f>
        <v>#N/A</v>
      </c>
      <c r="D31" s="2">
        <f>VLOOKUP(A31,$F$8:$J$14,5,0)</f>
        <v>100</v>
      </c>
      <c r="E31" s="2" t="e">
        <f>VLOOKUP(A31,$F$19:$J$26,5,0)</f>
        <v>#N/A</v>
      </c>
      <c r="F31" s="26" t="e">
        <f t="shared" ref="F31:F39" si="6">B31*$B$29+C31*$C$29+D31*$D$29+E31*$E$29</f>
        <v>#N/A</v>
      </c>
    </row>
    <row r="32" spans="1:10" x14ac:dyDescent="0.35">
      <c r="A32" s="85" t="s">
        <v>424</v>
      </c>
      <c r="B32" s="86">
        <f>VLOOKUP(A32,$A$8:$C$14,3,0)</f>
        <v>100</v>
      </c>
      <c r="C32" s="86">
        <f>VLOOKUP(A32,$A$19:$C$24,3,0)</f>
        <v>100</v>
      </c>
      <c r="D32" s="86">
        <f>VLOOKUP(A32,$F$8:$J$14,5,0)</f>
        <v>30.698226023220986</v>
      </c>
      <c r="E32" s="86">
        <f>VLOOKUP(A32,$F$19:$J$24,5,0)</f>
        <v>63.505747126436788</v>
      </c>
      <c r="F32" s="26">
        <f t="shared" si="6"/>
        <v>71.910617232253657</v>
      </c>
    </row>
    <row r="33" spans="1:6" x14ac:dyDescent="0.35">
      <c r="A33" s="10" t="s">
        <v>301</v>
      </c>
      <c r="B33" s="2">
        <f>VLOOKUP(A33,$A$8:$C$16,3,0)</f>
        <v>74.393083299965895</v>
      </c>
      <c r="C33" s="2">
        <f>VLOOKUP(A33,$A$20:$C$26,3,0)</f>
        <v>83.760683760689219</v>
      </c>
      <c r="D33" s="2">
        <f>VLOOKUP(A33,$F$8:$J$16,5,0)</f>
        <v>55.370370370370367</v>
      </c>
      <c r="E33" s="2">
        <f>VLOOKUP(A33,$F$19:$J$26,5,0)</f>
        <v>74.316939890710373</v>
      </c>
      <c r="F33" s="26">
        <f t="shared" si="6"/>
        <v>70.544560831380792</v>
      </c>
    </row>
    <row r="34" spans="1:6" x14ac:dyDescent="0.35">
      <c r="A34" s="85" t="s">
        <v>423</v>
      </c>
      <c r="B34" s="86">
        <f>VLOOKUP(A34,$A$8:$C$16,3,0)</f>
        <v>78.701190846939852</v>
      </c>
      <c r="C34" s="86">
        <f>VLOOKUP(A34,$A$20:$C$26,3,0)</f>
        <v>72.079772079778465</v>
      </c>
      <c r="D34" s="86">
        <f>VLOOKUP(A34,$F$8:$J$16,5,0)</f>
        <v>32.435897435897431</v>
      </c>
      <c r="E34" s="86">
        <f>VLOOKUP(A34,$F$19:$J$26,5,0)</f>
        <v>77.522800823771703</v>
      </c>
      <c r="F34" s="26">
        <f t="shared" si="6"/>
        <v>63.261641065561221</v>
      </c>
    </row>
    <row r="35" spans="1:6" x14ac:dyDescent="0.35">
      <c r="A35" s="10" t="s">
        <v>299</v>
      </c>
      <c r="B35" s="2">
        <f>VLOOKUP(A35,$A$8:$C$14,3,0)</f>
        <v>76.63092642849729</v>
      </c>
      <c r="C35" s="2">
        <f>VLOOKUP(A35,$A$19:$C$24,3,0)</f>
        <v>48.43304843305846</v>
      </c>
      <c r="D35" s="2">
        <f>VLOOKUP(A35,$F$8:$J$14,5,0)</f>
        <v>16.428571428571427</v>
      </c>
      <c r="E35" s="2">
        <f>VLOOKUP(A35,$F$19:$J$26,5,0)</f>
        <v>62.12121212121211</v>
      </c>
      <c r="F35" s="26">
        <f t="shared" si="6"/>
        <v>50.028701467974727</v>
      </c>
    </row>
    <row r="36" spans="1:6" x14ac:dyDescent="0.35">
      <c r="A36" s="10" t="s">
        <v>299</v>
      </c>
      <c r="B36" s="2">
        <f>VLOOKUP(A36,$A$8:$C$14,3,0)</f>
        <v>76.63092642849729</v>
      </c>
      <c r="C36" s="2">
        <f>VLOOKUP(A36,$A$19:$C$24,3,0)</f>
        <v>48.43304843305846</v>
      </c>
      <c r="D36" s="2">
        <f>VLOOKUP(A36,$F$8:$J$14,5,0)</f>
        <v>16.428571428571427</v>
      </c>
      <c r="E36" s="2">
        <f>VLOOKUP(A36,$F$19:$J$26,5,0)</f>
        <v>62.12121212121211</v>
      </c>
      <c r="F36" s="26">
        <f t="shared" si="6"/>
        <v>50.028701467974727</v>
      </c>
    </row>
    <row r="37" spans="1:6" x14ac:dyDescent="0.35">
      <c r="A37" s="10" t="s">
        <v>421</v>
      </c>
      <c r="B37" s="2">
        <f>VLOOKUP(A37,$A$8:$C$14,3,0)</f>
        <v>43.552668653883231</v>
      </c>
      <c r="C37" s="2">
        <f>VLOOKUP(A37,$A$19:$C$24,3,0)</f>
        <v>47.863247863236921</v>
      </c>
      <c r="D37" s="2">
        <f>VLOOKUP(A37,$F$8:$J$14,5,0)</f>
        <v>11.204481792717086</v>
      </c>
      <c r="E37" s="2">
        <f>VLOOKUP(A37,$F$19:$J$24,5,0)</f>
        <v>100</v>
      </c>
      <c r="F37" s="26">
        <f t="shared" si="6"/>
        <v>45.999794706627483</v>
      </c>
    </row>
    <row r="38" spans="1:6" x14ac:dyDescent="0.35">
      <c r="A38" s="10" t="s">
        <v>422</v>
      </c>
      <c r="B38" s="2">
        <f>VLOOKUP(A38,$A$8:$C$14,3,0)</f>
        <v>29.646601711379038</v>
      </c>
      <c r="C38" s="2">
        <f>VLOOKUP(A38,$A$19:$C$24,3,0)</f>
        <v>34.188034188036923</v>
      </c>
      <c r="D38" s="2">
        <f>VLOOKUP(A38,$F$8:$J$14,5,0)</f>
        <v>7.8431372549019605</v>
      </c>
      <c r="E38" s="2">
        <f>VLOOKUP(A38,$F$19:$J$24,5,0)</f>
        <v>92.72727272727272</v>
      </c>
      <c r="F38" s="26">
        <f t="shared" si="6"/>
        <v>36.629983072946231</v>
      </c>
    </row>
    <row r="39" spans="1:6" x14ac:dyDescent="0.35">
      <c r="A39" s="10" t="s">
        <v>425</v>
      </c>
      <c r="B39" s="2">
        <f>VLOOKUP(A39,$A$8:$C$14,3,0)</f>
        <v>42.645074224021599</v>
      </c>
      <c r="C39" s="2">
        <f>VLOOKUP(A39,$A$19:$C$24,3,0)</f>
        <v>37.606837606843072</v>
      </c>
      <c r="D39" s="2">
        <f>VLOOKUP(A39,$F$8:$J$14,5,0)</f>
        <v>13.333333333333334</v>
      </c>
      <c r="E39" s="2">
        <f>VLOOKUP(A39,$F$19:$J$26,5,0)</f>
        <v>36.36363636363636</v>
      </c>
      <c r="F39" s="26">
        <f t="shared" si="6"/>
        <v>31.587617061302367</v>
      </c>
    </row>
  </sheetData>
  <sortState xmlns:xlrd2="http://schemas.microsoft.com/office/spreadsheetml/2017/richdata2" ref="A31:F39">
    <sortCondition descending="1" ref="F31:F39"/>
  </sortState>
  <mergeCells count="4">
    <mergeCell ref="B7:C7"/>
    <mergeCell ref="G7:J7"/>
    <mergeCell ref="B18:C18"/>
    <mergeCell ref="G18:J18"/>
  </mergeCells>
  <conditionalFormatting sqref="F32:F3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4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35:F37 F31:F33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38:F39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A3083E-7A38-49A8-AED6-586C94AA8A2E}">
  <sheetPr>
    <tabColor theme="4" tint="0.79998168889431442"/>
  </sheetPr>
  <dimension ref="A1:M27"/>
  <sheetViews>
    <sheetView showGridLines="0" zoomScale="70" zoomScaleNormal="70" workbookViewId="0">
      <selection activeCell="M21" sqref="M21"/>
    </sheetView>
  </sheetViews>
  <sheetFormatPr defaultColWidth="9.08984375" defaultRowHeight="14.5" x14ac:dyDescent="0.35"/>
  <cols>
    <col min="1" max="1" width="32.36328125" bestFit="1" customWidth="1"/>
    <col min="2" max="2" width="12.453125" bestFit="1" customWidth="1"/>
    <col min="3" max="3" width="11" bestFit="1" customWidth="1"/>
    <col min="4" max="4" width="5.54296875" bestFit="1" customWidth="1"/>
    <col min="5" max="5" width="10.08984375" bestFit="1" customWidth="1"/>
    <col min="6" max="6" width="28.54296875" bestFit="1" customWidth="1"/>
    <col min="7" max="7" width="11.54296875" bestFit="1" customWidth="1"/>
    <col min="8" max="8" width="6.54296875" bestFit="1" customWidth="1"/>
    <col min="9" max="9" width="8" bestFit="1" customWidth="1"/>
    <col min="10" max="10" width="7.08984375" bestFit="1" customWidth="1"/>
    <col min="11" max="11" width="13.90625" style="7" bestFit="1" customWidth="1"/>
    <col min="12" max="12" width="11.08984375" bestFit="1" customWidth="1"/>
    <col min="13" max="13" width="12.90625" bestFit="1" customWidth="1"/>
    <col min="14" max="14" width="11.08984375" bestFit="1" customWidth="1"/>
    <col min="15" max="15" width="10.08984375" bestFit="1" customWidth="1"/>
  </cols>
  <sheetData>
    <row r="1" spans="1:13" x14ac:dyDescent="0.35">
      <c r="A1" s="1" t="s">
        <v>225</v>
      </c>
    </row>
    <row r="2" spans="1:13" x14ac:dyDescent="0.35">
      <c r="A2" s="1" t="s">
        <v>471</v>
      </c>
    </row>
    <row r="3" spans="1:13" x14ac:dyDescent="0.35">
      <c r="A3" s="1" t="s">
        <v>29</v>
      </c>
    </row>
    <row r="4" spans="1:13" x14ac:dyDescent="0.35">
      <c r="A4" s="23" t="s">
        <v>226</v>
      </c>
    </row>
    <row r="5" spans="1:13" x14ac:dyDescent="0.35">
      <c r="A5" s="8" t="s">
        <v>493</v>
      </c>
    </row>
    <row r="7" spans="1:13" x14ac:dyDescent="0.35">
      <c r="A7" s="1" t="s">
        <v>454</v>
      </c>
      <c r="B7" s="594" t="s">
        <v>455</v>
      </c>
      <c r="C7" s="594"/>
      <c r="F7" s="1" t="s">
        <v>456</v>
      </c>
      <c r="G7" s="595" t="s">
        <v>457</v>
      </c>
      <c r="H7" s="595"/>
      <c r="I7" s="595"/>
      <c r="J7" s="595"/>
      <c r="L7" s="1"/>
      <c r="M7" s="1"/>
    </row>
    <row r="8" spans="1:13" x14ac:dyDescent="0.35">
      <c r="A8" s="9" t="s">
        <v>458</v>
      </c>
      <c r="B8" s="22" t="s">
        <v>340</v>
      </c>
      <c r="C8" s="22" t="s">
        <v>459</v>
      </c>
      <c r="F8" s="9" t="s">
        <v>458</v>
      </c>
      <c r="G8" s="22" t="s">
        <v>340</v>
      </c>
      <c r="H8" s="22" t="s">
        <v>460</v>
      </c>
      <c r="I8" s="22" t="s">
        <v>456</v>
      </c>
      <c r="J8" s="22" t="s">
        <v>459</v>
      </c>
    </row>
    <row r="9" spans="1:13" x14ac:dyDescent="0.35">
      <c r="A9" s="10" t="s">
        <v>302</v>
      </c>
      <c r="B9" s="70">
        <v>16.88</v>
      </c>
      <c r="C9" s="2">
        <f>+B9/(MAX($B$9:$B$12))*100</f>
        <v>16.602734336579129</v>
      </c>
      <c r="F9" s="10" t="s">
        <v>302</v>
      </c>
      <c r="G9" s="72">
        <v>0</v>
      </c>
      <c r="H9" s="2">
        <v>72.449438202247194</v>
      </c>
      <c r="I9" s="12"/>
      <c r="J9" s="2"/>
    </row>
    <row r="10" spans="1:13" x14ac:dyDescent="0.35">
      <c r="A10" s="10" t="s">
        <v>305</v>
      </c>
      <c r="B10" s="70">
        <v>59.79</v>
      </c>
      <c r="C10" s="2">
        <f>+B10/(MAX($B$9:$B$12))*100</f>
        <v>58.807907937444668</v>
      </c>
      <c r="F10" s="10" t="s">
        <v>305</v>
      </c>
      <c r="G10" s="72">
        <v>0.01</v>
      </c>
      <c r="H10" s="2">
        <v>136.11319727891157</v>
      </c>
      <c r="I10" s="2">
        <f t="shared" ref="I10:I12" si="0">H10/G10</f>
        <v>13611.319727891158</v>
      </c>
      <c r="J10" s="2">
        <f>(MIN($I$9:$I$12))/I10*100</f>
        <v>24.566327517452628</v>
      </c>
    </row>
    <row r="11" spans="1:13" x14ac:dyDescent="0.35">
      <c r="A11" s="10" t="s">
        <v>303</v>
      </c>
      <c r="B11" s="70">
        <v>88.68</v>
      </c>
      <c r="C11" s="2">
        <f>+B11/(MAX($B$9:$B$12))*100</f>
        <v>87.223369725582785</v>
      </c>
      <c r="F11" s="10" t="s">
        <v>303</v>
      </c>
      <c r="G11" s="72">
        <v>0.21</v>
      </c>
      <c r="H11" s="2">
        <v>702.19829059829055</v>
      </c>
      <c r="I11" s="12">
        <f t="shared" si="0"/>
        <v>3343.8013838013835</v>
      </c>
      <c r="J11" s="2">
        <f>(MIN($I$9:$I$12))/I11*100</f>
        <v>100</v>
      </c>
    </row>
    <row r="12" spans="1:13" x14ac:dyDescent="0.35">
      <c r="A12" s="10" t="s">
        <v>304</v>
      </c>
      <c r="B12" s="70">
        <v>101.67</v>
      </c>
      <c r="C12" s="2">
        <f>+B12/(MAX($B$9:$B$12))*100</f>
        <v>100</v>
      </c>
      <c r="F12" s="10" t="s">
        <v>304</v>
      </c>
      <c r="G12" s="72">
        <v>0.26</v>
      </c>
      <c r="H12" s="7">
        <v>954.37037037037032</v>
      </c>
      <c r="I12" s="12">
        <f t="shared" si="0"/>
        <v>3670.6552706552702</v>
      </c>
      <c r="J12" s="2">
        <f>(MIN($I$9:$I$12))/I12*100</f>
        <v>91.095489422096065</v>
      </c>
    </row>
    <row r="14" spans="1:13" x14ac:dyDescent="0.35">
      <c r="A14" s="1" t="s">
        <v>462</v>
      </c>
      <c r="B14" s="594" t="s">
        <v>463</v>
      </c>
      <c r="C14" s="594"/>
      <c r="F14" s="1" t="s">
        <v>464</v>
      </c>
    </row>
    <row r="15" spans="1:13" x14ac:dyDescent="0.35">
      <c r="A15" s="9" t="s">
        <v>458</v>
      </c>
      <c r="B15" s="22" t="s">
        <v>340</v>
      </c>
      <c r="C15" s="22" t="s">
        <v>459</v>
      </c>
      <c r="F15" s="9" t="s">
        <v>227</v>
      </c>
      <c r="G15" s="22" t="s">
        <v>340</v>
      </c>
      <c r="H15" s="24" t="s">
        <v>465</v>
      </c>
      <c r="I15" s="24" t="s">
        <v>466</v>
      </c>
      <c r="J15" s="24" t="s">
        <v>459</v>
      </c>
    </row>
    <row r="16" spans="1:13" x14ac:dyDescent="0.35">
      <c r="A16" s="10" t="s">
        <v>302</v>
      </c>
      <c r="B16" s="129">
        <v>1.2268518518519999E-3</v>
      </c>
      <c r="C16" s="2">
        <f>+B16/(MAX($B$16:$B$19))*100</f>
        <v>8.5140562249007576</v>
      </c>
      <c r="F16" s="10" t="s">
        <v>302</v>
      </c>
      <c r="G16" s="72">
        <v>0</v>
      </c>
      <c r="H16" s="91">
        <v>0.02</v>
      </c>
      <c r="I16" s="128">
        <f>G16/H16*100</f>
        <v>0</v>
      </c>
      <c r="J16" s="2">
        <f>I16/(MAX($I$16:$I$19))*100</f>
        <v>0</v>
      </c>
    </row>
    <row r="17" spans="1:10" x14ac:dyDescent="0.35">
      <c r="A17" s="10" t="s">
        <v>305</v>
      </c>
      <c r="B17" s="129">
        <v>9.3287037037040003E-3</v>
      </c>
      <c r="C17" s="127">
        <f>+B17/(MAX($B$16:$B$19))*100</f>
        <v>64.738955823296223</v>
      </c>
      <c r="F17" s="10" t="s">
        <v>305</v>
      </c>
      <c r="G17" s="72">
        <v>0.2</v>
      </c>
      <c r="H17" s="91">
        <v>0.03</v>
      </c>
      <c r="I17" s="128">
        <f t="shared" ref="I17:I19" si="1">G17/H17*100</f>
        <v>666.66666666666674</v>
      </c>
      <c r="J17" s="2">
        <f>I17/(MAX($I$16:$I$19))*100</f>
        <v>100</v>
      </c>
    </row>
    <row r="18" spans="1:10" x14ac:dyDescent="0.35">
      <c r="A18" s="10" t="s">
        <v>303</v>
      </c>
      <c r="B18" s="129">
        <v>1.4409722222221999E-2</v>
      </c>
      <c r="C18" s="2">
        <f>+B18/(MAX($B$16:$B$19))*100</f>
        <v>100</v>
      </c>
      <c r="F18" s="10" t="s">
        <v>303</v>
      </c>
      <c r="G18" s="72">
        <v>2.94</v>
      </c>
      <c r="H18" s="91">
        <v>0.81</v>
      </c>
      <c r="I18" s="128">
        <f t="shared" si="1"/>
        <v>362.96296296296293</v>
      </c>
      <c r="J18" s="2">
        <f>I18/(MAX($I$16:$I$19))*100</f>
        <v>54.444444444444429</v>
      </c>
    </row>
    <row r="19" spans="1:10" x14ac:dyDescent="0.35">
      <c r="A19" s="10" t="s">
        <v>304</v>
      </c>
      <c r="B19" s="129">
        <v>1.4386574074074E-2</v>
      </c>
      <c r="C19" s="2">
        <f>+B19/(MAX($B$16:$B$19))*100</f>
        <v>99.839357429719897</v>
      </c>
      <c r="F19" s="10" t="s">
        <v>304</v>
      </c>
      <c r="G19" s="72">
        <v>3.6</v>
      </c>
      <c r="H19" s="91">
        <v>1.04</v>
      </c>
      <c r="I19" s="128">
        <f t="shared" si="1"/>
        <v>346.15384615384619</v>
      </c>
      <c r="J19" s="2">
        <f>I19/(MAX($I$16:$I$19))*100</f>
        <v>51.923076923076927</v>
      </c>
    </row>
    <row r="21" spans="1:10" x14ac:dyDescent="0.35">
      <c r="A21" s="22" t="s">
        <v>340</v>
      </c>
    </row>
    <row r="22" spans="1:10" x14ac:dyDescent="0.35">
      <c r="A22" s="9" t="s">
        <v>467</v>
      </c>
      <c r="B22" s="22">
        <v>0.3</v>
      </c>
      <c r="C22" s="22">
        <v>0.2</v>
      </c>
      <c r="D22" s="22">
        <v>0.3</v>
      </c>
      <c r="E22" s="22">
        <v>0.2</v>
      </c>
      <c r="F22" s="22"/>
    </row>
    <row r="23" spans="1:10" x14ac:dyDescent="0.35">
      <c r="A23" s="9" t="s">
        <v>458</v>
      </c>
      <c r="B23" s="22" t="s">
        <v>36</v>
      </c>
      <c r="C23" s="22" t="s">
        <v>468</v>
      </c>
      <c r="D23" s="22" t="s">
        <v>456</v>
      </c>
      <c r="E23" s="22" t="s">
        <v>469</v>
      </c>
      <c r="F23" s="22" t="s">
        <v>470</v>
      </c>
    </row>
    <row r="24" spans="1:10" x14ac:dyDescent="0.35">
      <c r="A24" s="10" t="s">
        <v>304</v>
      </c>
      <c r="B24" s="2">
        <f>VLOOKUP(A24,$A$8:$C$12,3,0)</f>
        <v>100</v>
      </c>
      <c r="C24" s="2">
        <f>VLOOKUP(A24,$A$15:$C$19,3,0)</f>
        <v>99.839357429719897</v>
      </c>
      <c r="D24" s="2">
        <f>VLOOKUP(A24,$F$8:$J$12,5,0)</f>
        <v>91.095489422096065</v>
      </c>
      <c r="E24" s="2">
        <f>VLOOKUP(A24,$F$15:$J$19,5,0)</f>
        <v>51.923076923076927</v>
      </c>
      <c r="F24" s="26">
        <f>B24*$B$22+C24*$C$22+D24*$D$22+E24*$E$22</f>
        <v>87.681133697188187</v>
      </c>
    </row>
    <row r="25" spans="1:10" x14ac:dyDescent="0.35">
      <c r="A25" s="10" t="s">
        <v>303</v>
      </c>
      <c r="B25" s="2">
        <f>VLOOKUP(A25,$A$8:$C$12,3,0)</f>
        <v>87.223369725582785</v>
      </c>
      <c r="C25" s="2">
        <f>VLOOKUP(A25,$A$15:$C$19,3,0)</f>
        <v>100</v>
      </c>
      <c r="D25" s="2">
        <f>VLOOKUP(A25,$F$8:$J$12,5,0)</f>
        <v>100</v>
      </c>
      <c r="E25" s="2">
        <f>VLOOKUP(A25,$F$15:$J$19,5,0)</f>
        <v>54.444444444444429</v>
      </c>
      <c r="F25" s="26">
        <f>B25*$B$22+C25*$C$22+D25*$D$22+E25*$E$22</f>
        <v>87.055899806563716</v>
      </c>
    </row>
    <row r="26" spans="1:10" x14ac:dyDescent="0.35">
      <c r="A26" s="10" t="s">
        <v>305</v>
      </c>
      <c r="B26" s="2">
        <f>VLOOKUP(A26,$A$8:$C$12,3,0)</f>
        <v>58.807907937444668</v>
      </c>
      <c r="C26" s="2">
        <f>VLOOKUP(A26,$A$15:$C$19,3,0)</f>
        <v>64.738955823296223</v>
      </c>
      <c r="D26" s="2">
        <f>VLOOKUP(A26,$F$8:$J$12,5,0)</f>
        <v>24.566327517452628</v>
      </c>
      <c r="E26" s="2">
        <f>VLOOKUP(A26,$F$15:$J$19,5,0)</f>
        <v>100</v>
      </c>
      <c r="F26" s="26">
        <f>B26*$B$22+C26*$C$22+D26*$D$22+E26*$E$22</f>
        <v>57.960061801128433</v>
      </c>
    </row>
    <row r="27" spans="1:10" x14ac:dyDescent="0.35">
      <c r="A27" s="85" t="s">
        <v>302</v>
      </c>
      <c r="B27" s="86">
        <f>VLOOKUP(A27,$A$8:$C$12,3,0)</f>
        <v>16.602734336579129</v>
      </c>
      <c r="C27" s="86">
        <f>VLOOKUP(A27,$A$15:$C$19,3,0)</f>
        <v>8.5140562249007576</v>
      </c>
      <c r="D27" s="86">
        <f>VLOOKUP(A27,$F$8:$J$12,5,0)</f>
        <v>0</v>
      </c>
      <c r="E27" s="86">
        <f>VLOOKUP(A27,$F$15:$J$19,5,0)</f>
        <v>0</v>
      </c>
      <c r="F27" s="26">
        <f>B27*$B$22+C27*$C$22+D27*$D$22+E27*$E$22</f>
        <v>6.6836315459538902</v>
      </c>
    </row>
  </sheetData>
  <sortState xmlns:xlrd2="http://schemas.microsoft.com/office/spreadsheetml/2017/richdata2" ref="A23:F27">
    <sortCondition descending="1" ref="F24:F27"/>
  </sortState>
  <mergeCells count="3">
    <mergeCell ref="B7:C7"/>
    <mergeCell ref="G7:J7"/>
    <mergeCell ref="B14:C14"/>
  </mergeCells>
  <conditionalFormatting sqref="F24:F26">
    <cfRule type="colorScale" priority="3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24:F27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7">
    <cfRule type="colorScale" priority="2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EEC6A-07CD-4178-9559-5234CB45FE67}">
  <sheetPr>
    <tabColor theme="7" tint="0.59999389629810485"/>
  </sheetPr>
  <dimension ref="A1:L41"/>
  <sheetViews>
    <sheetView showGridLines="0" zoomScale="70" zoomScaleNormal="70" workbookViewId="0">
      <selection activeCell="M21" sqref="M21"/>
    </sheetView>
  </sheetViews>
  <sheetFormatPr defaultColWidth="9.08984375" defaultRowHeight="14.5" x14ac:dyDescent="0.35"/>
  <cols>
    <col min="1" max="1" width="42.6328125" style="92" bestFit="1" customWidth="1"/>
    <col min="2" max="2" width="12.90625" style="92" bestFit="1" customWidth="1"/>
    <col min="3" max="3" width="11.36328125" style="92" bestFit="1" customWidth="1"/>
    <col min="4" max="4" width="12.08984375" style="92" bestFit="1" customWidth="1"/>
    <col min="5" max="5" width="9.08984375" style="92"/>
    <col min="6" max="6" width="35.08984375" style="92" bestFit="1" customWidth="1"/>
    <col min="7" max="8" width="10" style="92" bestFit="1" customWidth="1"/>
    <col min="9" max="9" width="11.453125" style="92" bestFit="1" customWidth="1"/>
    <col min="10" max="10" width="10.90625" style="92" bestFit="1" customWidth="1"/>
    <col min="11" max="11" width="14.90625" style="92" bestFit="1" customWidth="1"/>
    <col min="12" max="16384" width="9.08984375" style="92"/>
  </cols>
  <sheetData>
    <row r="1" spans="1:12" x14ac:dyDescent="0.35">
      <c r="A1" s="1" t="s">
        <v>225</v>
      </c>
    </row>
    <row r="2" spans="1:12" x14ac:dyDescent="0.35">
      <c r="A2" s="1" t="s">
        <v>471</v>
      </c>
    </row>
    <row r="3" spans="1:12" x14ac:dyDescent="0.35">
      <c r="A3" s="1" t="s">
        <v>29</v>
      </c>
    </row>
    <row r="4" spans="1:12" x14ac:dyDescent="0.35">
      <c r="A4" s="23" t="s">
        <v>226</v>
      </c>
    </row>
    <row r="5" spans="1:12" x14ac:dyDescent="0.35">
      <c r="A5" s="8" t="s">
        <v>474</v>
      </c>
    </row>
    <row r="7" spans="1:12" x14ac:dyDescent="0.35">
      <c r="A7" s="93" t="s">
        <v>454</v>
      </c>
      <c r="B7" s="600" t="s">
        <v>455</v>
      </c>
      <c r="C7" s="601"/>
      <c r="D7" s="82"/>
      <c r="E7" s="82"/>
      <c r="F7" s="93" t="s">
        <v>456</v>
      </c>
      <c r="G7" s="599" t="s">
        <v>457</v>
      </c>
      <c r="H7" s="599"/>
      <c r="I7" s="599"/>
    </row>
    <row r="8" spans="1:12" x14ac:dyDescent="0.35">
      <c r="A8" s="94" t="s">
        <v>458</v>
      </c>
      <c r="B8" s="68" t="s">
        <v>340</v>
      </c>
      <c r="C8" s="84" t="s">
        <v>459</v>
      </c>
      <c r="D8" s="82"/>
      <c r="E8" s="82"/>
      <c r="F8" s="94" t="s">
        <v>458</v>
      </c>
      <c r="G8" s="68" t="s">
        <v>340</v>
      </c>
      <c r="H8" s="84" t="s">
        <v>460</v>
      </c>
      <c r="I8" s="84" t="s">
        <v>459</v>
      </c>
    </row>
    <row r="9" spans="1:12" x14ac:dyDescent="0.35">
      <c r="A9" s="95" t="s">
        <v>495</v>
      </c>
      <c r="B9" s="87">
        <v>25.05</v>
      </c>
      <c r="C9" s="87">
        <f t="shared" ref="C9:C16" si="0">B9/MAX($B$9:$B$16)*100</f>
        <v>1.9660319902051577</v>
      </c>
      <c r="D9" s="82"/>
      <c r="E9" s="82"/>
      <c r="F9" s="95" t="s">
        <v>495</v>
      </c>
      <c r="G9" s="96">
        <v>0</v>
      </c>
      <c r="H9" s="87">
        <v>1200</v>
      </c>
      <c r="I9" s="87">
        <f t="shared" ref="I9:I16" si="1">(MIN($H$9:$H$16))/H9*100</f>
        <v>59.583333333333343</v>
      </c>
      <c r="J9" s="97"/>
    </row>
    <row r="10" spans="1:12" x14ac:dyDescent="0.35">
      <c r="A10" s="98" t="s">
        <v>380</v>
      </c>
      <c r="B10" s="87">
        <v>389.37</v>
      </c>
      <c r="C10" s="87">
        <f t="shared" si="0"/>
        <v>30.559436168709876</v>
      </c>
      <c r="D10" s="82"/>
      <c r="E10" s="82"/>
      <c r="F10" s="98" t="s">
        <v>380</v>
      </c>
      <c r="G10" s="96">
        <v>0</v>
      </c>
      <c r="H10" s="87">
        <v>2250</v>
      </c>
      <c r="I10" s="87">
        <f t="shared" si="1"/>
        <v>31.777777777777782</v>
      </c>
      <c r="J10" s="97"/>
      <c r="L10" s="99"/>
    </row>
    <row r="11" spans="1:12" x14ac:dyDescent="0.35">
      <c r="A11" s="95" t="s">
        <v>381</v>
      </c>
      <c r="B11" s="87">
        <v>775.7</v>
      </c>
      <c r="C11" s="87">
        <f t="shared" si="0"/>
        <v>60.880280032021595</v>
      </c>
      <c r="D11" s="82"/>
      <c r="E11" s="82"/>
      <c r="F11" s="95" t="s">
        <v>381</v>
      </c>
      <c r="G11" s="96">
        <v>0</v>
      </c>
      <c r="H11" s="87">
        <v>715.00000000000011</v>
      </c>
      <c r="I11" s="87">
        <f t="shared" si="1"/>
        <v>100</v>
      </c>
      <c r="J11" s="97"/>
      <c r="L11" s="100"/>
    </row>
    <row r="12" spans="1:12" x14ac:dyDescent="0.35">
      <c r="A12" s="95" t="s">
        <v>379</v>
      </c>
      <c r="B12" s="87">
        <v>325.2</v>
      </c>
      <c r="C12" s="87">
        <f t="shared" si="0"/>
        <v>25.523097932723243</v>
      </c>
      <c r="D12" s="82"/>
      <c r="E12" s="82"/>
      <c r="F12" s="95" t="s">
        <v>379</v>
      </c>
      <c r="G12" s="96">
        <v>0</v>
      </c>
      <c r="H12" s="87">
        <v>1100</v>
      </c>
      <c r="I12" s="87">
        <f t="shared" si="1"/>
        <v>65.000000000000014</v>
      </c>
      <c r="J12" s="97"/>
      <c r="L12" s="99"/>
    </row>
    <row r="13" spans="1:12" x14ac:dyDescent="0.35">
      <c r="A13" s="95" t="s">
        <v>496</v>
      </c>
      <c r="B13" s="87">
        <v>180.75</v>
      </c>
      <c r="C13" s="87">
        <f t="shared" si="0"/>
        <v>14.186039210761766</v>
      </c>
      <c r="D13" s="82"/>
      <c r="E13" s="82"/>
      <c r="F13" s="95" t="s">
        <v>496</v>
      </c>
      <c r="G13" s="96">
        <v>0</v>
      </c>
      <c r="H13" s="87">
        <v>1101.1073224639504</v>
      </c>
      <c r="I13" s="87">
        <f t="shared" si="1"/>
        <v>64.934633110970779</v>
      </c>
      <c r="J13" s="97"/>
    </row>
    <row r="14" spans="1:12" x14ac:dyDescent="0.35">
      <c r="A14" s="95" t="s">
        <v>382</v>
      </c>
      <c r="B14" s="87">
        <v>608.54</v>
      </c>
      <c r="C14" s="87">
        <f t="shared" si="0"/>
        <v>47.760842607562743</v>
      </c>
      <c r="D14" s="82"/>
      <c r="E14" s="82"/>
      <c r="F14" s="95" t="s">
        <v>382</v>
      </c>
      <c r="G14" s="96">
        <v>0</v>
      </c>
      <c r="H14" s="87">
        <v>1254.2444444444445</v>
      </c>
      <c r="I14" s="87">
        <f t="shared" si="1"/>
        <v>57.006431494835319</v>
      </c>
      <c r="J14" s="97"/>
    </row>
    <row r="15" spans="1:12" x14ac:dyDescent="0.35">
      <c r="A15" s="95" t="s">
        <v>252</v>
      </c>
      <c r="B15" s="87">
        <v>484.3</v>
      </c>
      <c r="C15" s="87">
        <f t="shared" si="0"/>
        <v>38.009951810633055</v>
      </c>
      <c r="D15" s="82"/>
      <c r="E15" s="82"/>
      <c r="F15" s="95" t="s">
        <v>252</v>
      </c>
      <c r="G15" s="96">
        <v>0</v>
      </c>
      <c r="H15" s="87">
        <v>1223.5871683405785</v>
      </c>
      <c r="I15" s="87">
        <f t="shared" si="1"/>
        <v>58.434741594232207</v>
      </c>
      <c r="J15" s="97"/>
    </row>
    <row r="16" spans="1:12" x14ac:dyDescent="0.35">
      <c r="A16" s="95" t="s">
        <v>251</v>
      </c>
      <c r="B16" s="87">
        <v>1274.1400000000001</v>
      </c>
      <c r="C16" s="87">
        <f t="shared" si="0"/>
        <v>100</v>
      </c>
      <c r="D16" s="82"/>
      <c r="E16" s="82"/>
      <c r="F16" s="95" t="s">
        <v>251</v>
      </c>
      <c r="G16" s="96">
        <v>0</v>
      </c>
      <c r="H16" s="87">
        <v>2028.4635478508667</v>
      </c>
      <c r="I16" s="87">
        <f t="shared" si="1"/>
        <v>35.248353403122977</v>
      </c>
      <c r="J16" s="97"/>
    </row>
    <row r="17" spans="1:12" x14ac:dyDescent="0.35">
      <c r="A17" s="100"/>
      <c r="B17" s="101"/>
      <c r="C17" s="101"/>
      <c r="D17" s="82"/>
      <c r="E17" s="82"/>
      <c r="F17" s="100"/>
      <c r="G17" s="102"/>
      <c r="H17" s="101"/>
      <c r="I17" s="103"/>
      <c r="J17" s="101"/>
    </row>
    <row r="18" spans="1:12" x14ac:dyDescent="0.35">
      <c r="A18" s="82"/>
      <c r="B18" s="82"/>
      <c r="C18" s="82"/>
      <c r="D18" s="82"/>
      <c r="E18" s="82"/>
      <c r="F18" s="82"/>
      <c r="G18" s="82"/>
      <c r="H18" s="82"/>
      <c r="I18" s="82"/>
      <c r="J18" s="82"/>
    </row>
    <row r="19" spans="1:12" ht="15" customHeight="1" x14ac:dyDescent="0.35">
      <c r="A19" s="93" t="s">
        <v>462</v>
      </c>
      <c r="B19" s="600" t="s">
        <v>463</v>
      </c>
      <c r="C19" s="601"/>
      <c r="D19" s="82"/>
      <c r="E19" s="82"/>
      <c r="F19" s="93" t="s">
        <v>497</v>
      </c>
      <c r="G19" s="598" t="s">
        <v>494</v>
      </c>
      <c r="H19" s="599"/>
      <c r="I19" s="599"/>
      <c r="J19" s="599"/>
    </row>
    <row r="20" spans="1:12" x14ac:dyDescent="0.35">
      <c r="A20" s="94" t="s">
        <v>458</v>
      </c>
      <c r="B20" s="68" t="s">
        <v>340</v>
      </c>
      <c r="C20" s="84" t="s">
        <v>459</v>
      </c>
      <c r="D20" s="82"/>
      <c r="E20" s="82"/>
      <c r="F20" s="94" t="s">
        <v>458</v>
      </c>
      <c r="G20" s="68" t="s">
        <v>340</v>
      </c>
      <c r="H20" s="104" t="s">
        <v>465</v>
      </c>
      <c r="I20" s="84" t="s">
        <v>466</v>
      </c>
      <c r="J20" s="84" t="s">
        <v>459</v>
      </c>
      <c r="K20" s="103"/>
    </row>
    <row r="21" spans="1:12" x14ac:dyDescent="0.35">
      <c r="A21" s="95" t="s">
        <v>495</v>
      </c>
      <c r="B21" s="129">
        <v>8.4490740740699995E-4</v>
      </c>
      <c r="C21" s="87">
        <f t="shared" ref="C21:C28" si="2">+B21/(MAX($B$21:$B$28))*100</f>
        <v>38.421052631561714</v>
      </c>
      <c r="D21" s="105"/>
      <c r="F21" s="95" t="s">
        <v>495</v>
      </c>
      <c r="G21" s="106">
        <v>0</v>
      </c>
      <c r="H21" s="106">
        <v>0</v>
      </c>
      <c r="I21" s="107">
        <v>0</v>
      </c>
      <c r="J21" s="107">
        <f t="shared" ref="J21:J22" si="3">+I21/(MAX($I$21:$I$28))*100</f>
        <v>0</v>
      </c>
      <c r="K21" s="103"/>
      <c r="L21" s="108"/>
    </row>
    <row r="22" spans="1:12" x14ac:dyDescent="0.35">
      <c r="A22" s="98" t="s">
        <v>380</v>
      </c>
      <c r="B22" s="129">
        <v>1.7245370370369999E-3</v>
      </c>
      <c r="C22" s="87">
        <f t="shared" si="2"/>
        <v>78.421052631579897</v>
      </c>
      <c r="D22" s="105"/>
      <c r="F22" s="98" t="s">
        <v>380</v>
      </c>
      <c r="G22" s="106">
        <v>0.01</v>
      </c>
      <c r="H22" s="106">
        <v>0.01</v>
      </c>
      <c r="I22" s="107">
        <f>G22/H22*100</f>
        <v>100</v>
      </c>
      <c r="J22" s="107">
        <f t="shared" si="3"/>
        <v>50</v>
      </c>
      <c r="K22" s="103"/>
      <c r="L22" s="108"/>
    </row>
    <row r="23" spans="1:12" x14ac:dyDescent="0.35">
      <c r="A23" s="95" t="s">
        <v>381</v>
      </c>
      <c r="B23" s="129">
        <v>1.400462962963E-3</v>
      </c>
      <c r="C23" s="87">
        <f t="shared" si="2"/>
        <v>63.684210526319617</v>
      </c>
      <c r="D23" s="105"/>
      <c r="F23" s="95" t="s">
        <v>381</v>
      </c>
      <c r="G23" s="106">
        <v>0.01</v>
      </c>
      <c r="H23" s="106">
        <v>0.01</v>
      </c>
      <c r="I23" s="107">
        <f t="shared" ref="I23:I28" si="4">G23/H23*100</f>
        <v>100</v>
      </c>
      <c r="J23" s="107">
        <f>+I23/(MAX($I$21:$I$28))*100</f>
        <v>50</v>
      </c>
      <c r="K23" s="103"/>
      <c r="L23" s="108"/>
    </row>
    <row r="24" spans="1:12" x14ac:dyDescent="0.35">
      <c r="A24" s="95" t="s">
        <v>379</v>
      </c>
      <c r="B24" s="129">
        <v>2.1064814814809999E-3</v>
      </c>
      <c r="C24" s="87">
        <f t="shared" si="2"/>
        <v>95.789473684191847</v>
      </c>
      <c r="D24" s="105"/>
      <c r="F24" s="95" t="s">
        <v>379</v>
      </c>
      <c r="G24" s="106">
        <v>0.02</v>
      </c>
      <c r="H24" s="106">
        <v>0.01</v>
      </c>
      <c r="I24" s="107">
        <f t="shared" si="4"/>
        <v>200</v>
      </c>
      <c r="J24" s="107">
        <f>+I24/(MAX($I$21:$I$28))*100</f>
        <v>100</v>
      </c>
      <c r="K24" s="103"/>
      <c r="L24" s="108"/>
    </row>
    <row r="25" spans="1:12" x14ac:dyDescent="0.35">
      <c r="A25" s="95" t="s">
        <v>496</v>
      </c>
      <c r="B25" s="129">
        <v>1.400462962963E-3</v>
      </c>
      <c r="C25" s="87">
        <f t="shared" si="2"/>
        <v>63.684210526319617</v>
      </c>
      <c r="D25" s="105"/>
      <c r="F25" s="95" t="s">
        <v>496</v>
      </c>
      <c r="G25" s="106">
        <v>0.01</v>
      </c>
      <c r="H25" s="106">
        <v>0</v>
      </c>
      <c r="I25" s="107">
        <v>0</v>
      </c>
      <c r="J25" s="107">
        <f>+I25/(MAX($H$21:$H$28))*100</f>
        <v>0</v>
      </c>
      <c r="K25" s="103"/>
      <c r="L25" s="108"/>
    </row>
    <row r="26" spans="1:12" x14ac:dyDescent="0.35">
      <c r="A26" s="95" t="s">
        <v>382</v>
      </c>
      <c r="B26" s="129">
        <v>1.2268518518519999E-3</v>
      </c>
      <c r="C26" s="87">
        <f t="shared" si="2"/>
        <v>55.789473684219139</v>
      </c>
      <c r="D26" s="105"/>
      <c r="F26" s="95" t="s">
        <v>382</v>
      </c>
      <c r="G26" s="106">
        <v>0.01</v>
      </c>
      <c r="H26" s="106">
        <v>0.01</v>
      </c>
      <c r="I26" s="107">
        <f t="shared" si="4"/>
        <v>100</v>
      </c>
      <c r="J26" s="107">
        <f t="shared" ref="J26:J28" si="5">+I26/(MAX($I$21:$I$28))*100</f>
        <v>50</v>
      </c>
      <c r="K26" s="103"/>
      <c r="L26" s="108"/>
    </row>
    <row r="27" spans="1:12" x14ac:dyDescent="0.35">
      <c r="A27" s="95" t="s">
        <v>252</v>
      </c>
      <c r="B27" s="129">
        <v>2.1990740740740001E-3</v>
      </c>
      <c r="C27" s="87">
        <f t="shared" si="2"/>
        <v>100</v>
      </c>
      <c r="D27" s="105"/>
      <c r="F27" s="95" t="s">
        <v>252</v>
      </c>
      <c r="G27" s="106">
        <v>0.02</v>
      </c>
      <c r="H27" s="106">
        <v>0.01</v>
      </c>
      <c r="I27" s="107">
        <f t="shared" si="4"/>
        <v>200</v>
      </c>
      <c r="J27" s="107">
        <f t="shared" si="5"/>
        <v>100</v>
      </c>
      <c r="K27" s="103"/>
      <c r="L27" s="108"/>
    </row>
    <row r="28" spans="1:12" x14ac:dyDescent="0.35">
      <c r="A28" s="95" t="s">
        <v>251</v>
      </c>
      <c r="B28" s="129">
        <v>1.782407407407E-3</v>
      </c>
      <c r="C28" s="87">
        <f t="shared" si="2"/>
        <v>81.052631578931567</v>
      </c>
      <c r="D28" s="105"/>
      <c r="F28" s="95" t="s">
        <v>251</v>
      </c>
      <c r="G28" s="106">
        <v>0.02</v>
      </c>
      <c r="H28" s="106">
        <v>0.02</v>
      </c>
      <c r="I28" s="107">
        <f t="shared" si="4"/>
        <v>100</v>
      </c>
      <c r="J28" s="107">
        <f t="shared" si="5"/>
        <v>50</v>
      </c>
      <c r="K28" s="103"/>
      <c r="L28" s="108"/>
    </row>
    <row r="29" spans="1:12" x14ac:dyDescent="0.35">
      <c r="A29" s="100"/>
      <c r="B29" s="101"/>
      <c r="C29" s="101"/>
      <c r="D29" s="82"/>
      <c r="E29" s="82"/>
      <c r="F29" s="100"/>
      <c r="G29" s="102"/>
      <c r="H29" s="101"/>
      <c r="I29" s="103"/>
      <c r="J29" s="101"/>
    </row>
    <row r="31" spans="1:12" x14ac:dyDescent="0.35">
      <c r="A31" s="68" t="s">
        <v>340</v>
      </c>
      <c r="B31" s="109"/>
      <c r="C31" s="109"/>
      <c r="D31" s="109"/>
      <c r="E31" s="109"/>
      <c r="F31" s="109"/>
    </row>
    <row r="32" spans="1:12" x14ac:dyDescent="0.35">
      <c r="A32" s="110" t="s">
        <v>467</v>
      </c>
      <c r="B32" s="84">
        <v>0.25</v>
      </c>
      <c r="C32" s="84">
        <v>0.25</v>
      </c>
      <c r="D32" s="84">
        <v>0.25</v>
      </c>
      <c r="E32" s="84">
        <v>0.25</v>
      </c>
      <c r="F32" s="111"/>
    </row>
    <row r="33" spans="1:6" x14ac:dyDescent="0.35">
      <c r="A33" s="110" t="s">
        <v>458</v>
      </c>
      <c r="B33" s="111" t="s">
        <v>36</v>
      </c>
      <c r="C33" s="111" t="s">
        <v>468</v>
      </c>
      <c r="D33" s="111" t="s">
        <v>456</v>
      </c>
      <c r="E33" s="111" t="s">
        <v>469</v>
      </c>
      <c r="F33" s="111" t="s">
        <v>470</v>
      </c>
    </row>
    <row r="34" spans="1:6" x14ac:dyDescent="0.35">
      <c r="A34" s="112" t="s">
        <v>252</v>
      </c>
      <c r="B34" s="113">
        <f t="shared" ref="B34:B41" si="6">VLOOKUP(A34,$A$9:$C$16,3,0)</f>
        <v>38.009951810633055</v>
      </c>
      <c r="C34" s="113">
        <f t="shared" ref="C34:C41" si="7">VLOOKUP(A34,$A$20:$C$28,3,0)</f>
        <v>100</v>
      </c>
      <c r="D34" s="113">
        <f t="shared" ref="D34:D41" si="8">VLOOKUP(A34,$F$8:$I$16,4,0)</f>
        <v>58.434741594232207</v>
      </c>
      <c r="E34" s="113">
        <f t="shared" ref="E34:E41" si="9">VLOOKUP(A34,$F$21:$J$28,5,0)</f>
        <v>100</v>
      </c>
      <c r="F34" s="114">
        <f t="shared" ref="F34:F41" si="10">(B34*B$32)+(C34*C$32)+(D34*D$32)+(E34*E$32)</f>
        <v>74.111173351216308</v>
      </c>
    </row>
    <row r="35" spans="1:6" x14ac:dyDescent="0.35">
      <c r="A35" s="112" t="s">
        <v>379</v>
      </c>
      <c r="B35" s="113">
        <f t="shared" si="6"/>
        <v>25.523097932723243</v>
      </c>
      <c r="C35" s="113">
        <f t="shared" si="7"/>
        <v>95.789473684191847</v>
      </c>
      <c r="D35" s="113">
        <f t="shared" si="8"/>
        <v>65.000000000000014</v>
      </c>
      <c r="E35" s="113">
        <f t="shared" si="9"/>
        <v>100</v>
      </c>
      <c r="F35" s="114">
        <f t="shared" si="10"/>
        <v>71.57814290422877</v>
      </c>
    </row>
    <row r="36" spans="1:6" x14ac:dyDescent="0.35">
      <c r="A36" s="112" t="s">
        <v>381</v>
      </c>
      <c r="B36" s="113">
        <f t="shared" si="6"/>
        <v>60.880280032021595</v>
      </c>
      <c r="C36" s="113">
        <f t="shared" si="7"/>
        <v>63.684210526319617</v>
      </c>
      <c r="D36" s="113">
        <f t="shared" si="8"/>
        <v>100</v>
      </c>
      <c r="E36" s="113">
        <f t="shared" si="9"/>
        <v>50</v>
      </c>
      <c r="F36" s="114">
        <f t="shared" si="10"/>
        <v>68.641122639585305</v>
      </c>
    </row>
    <row r="37" spans="1:6" x14ac:dyDescent="0.35">
      <c r="A37" s="112" t="s">
        <v>251</v>
      </c>
      <c r="B37" s="113">
        <f t="shared" si="6"/>
        <v>100</v>
      </c>
      <c r="C37" s="113">
        <f t="shared" si="7"/>
        <v>81.052631578931567</v>
      </c>
      <c r="D37" s="113">
        <f t="shared" si="8"/>
        <v>35.248353403122977</v>
      </c>
      <c r="E37" s="113">
        <f t="shared" si="9"/>
        <v>50</v>
      </c>
      <c r="F37" s="114">
        <f t="shared" si="10"/>
        <v>66.57524624551364</v>
      </c>
    </row>
    <row r="38" spans="1:6" x14ac:dyDescent="0.35">
      <c r="A38" s="95" t="s">
        <v>382</v>
      </c>
      <c r="B38" s="114">
        <f t="shared" si="6"/>
        <v>47.760842607562743</v>
      </c>
      <c r="C38" s="114">
        <f t="shared" si="7"/>
        <v>55.789473684219139</v>
      </c>
      <c r="D38" s="114">
        <f t="shared" si="8"/>
        <v>57.006431494835319</v>
      </c>
      <c r="E38" s="114">
        <f t="shared" si="9"/>
        <v>50</v>
      </c>
      <c r="F38" s="114">
        <f t="shared" si="10"/>
        <v>52.639186946654299</v>
      </c>
    </row>
    <row r="39" spans="1:6" x14ac:dyDescent="0.35">
      <c r="A39" s="98" t="s">
        <v>380</v>
      </c>
      <c r="B39" s="114">
        <f t="shared" si="6"/>
        <v>30.559436168709876</v>
      </c>
      <c r="C39" s="114">
        <f t="shared" si="7"/>
        <v>78.421052631579897</v>
      </c>
      <c r="D39" s="114">
        <f t="shared" si="8"/>
        <v>31.777777777777782</v>
      </c>
      <c r="E39" s="114">
        <f t="shared" si="9"/>
        <v>50</v>
      </c>
      <c r="F39" s="114">
        <f t="shared" si="10"/>
        <v>47.689566644516887</v>
      </c>
    </row>
    <row r="40" spans="1:6" x14ac:dyDescent="0.35">
      <c r="A40" s="95" t="s">
        <v>496</v>
      </c>
      <c r="B40" s="114">
        <f t="shared" si="6"/>
        <v>14.186039210761766</v>
      </c>
      <c r="C40" s="114">
        <f t="shared" si="7"/>
        <v>63.684210526319617</v>
      </c>
      <c r="D40" s="114">
        <f t="shared" si="8"/>
        <v>64.934633110970779</v>
      </c>
      <c r="E40" s="114">
        <f t="shared" si="9"/>
        <v>0</v>
      </c>
      <c r="F40" s="114">
        <f t="shared" si="10"/>
        <v>35.70122071201304</v>
      </c>
    </row>
    <row r="41" spans="1:6" x14ac:dyDescent="0.35">
      <c r="A41" s="95" t="s">
        <v>495</v>
      </c>
      <c r="B41" s="114">
        <f t="shared" si="6"/>
        <v>1.9660319902051577</v>
      </c>
      <c r="C41" s="114">
        <f t="shared" si="7"/>
        <v>38.421052631561714</v>
      </c>
      <c r="D41" s="114">
        <f t="shared" si="8"/>
        <v>59.583333333333343</v>
      </c>
      <c r="E41" s="114">
        <f t="shared" si="9"/>
        <v>0</v>
      </c>
      <c r="F41" s="114">
        <f t="shared" si="10"/>
        <v>24.992604488775054</v>
      </c>
    </row>
  </sheetData>
  <sortState xmlns:xlrd2="http://schemas.microsoft.com/office/spreadsheetml/2017/richdata2" ref="A33:F41">
    <sortCondition descending="1" ref="F34:F41"/>
  </sortState>
  <mergeCells count="4">
    <mergeCell ref="B7:C7"/>
    <mergeCell ref="G7:I7"/>
    <mergeCell ref="B19:C19"/>
    <mergeCell ref="G19:J19"/>
  </mergeCells>
  <conditionalFormatting sqref="F34:F4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9:K16">
    <cfRule type="containsText" dxfId="1" priority="2" operator="containsText" text="true">
      <formula>NOT(ISERROR(SEARCH("true",K9)))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6B648-D0A7-491D-ADA6-D2158CE9EEF0}">
  <sheetPr>
    <tabColor theme="9" tint="0.79998168889431442"/>
  </sheetPr>
  <dimension ref="B1:AM217"/>
  <sheetViews>
    <sheetView showGridLines="0" zoomScale="60" zoomScaleNormal="60" workbookViewId="0">
      <pane ySplit="1" topLeftCell="A2" activePane="bottomLeft" state="frozen"/>
      <selection activeCell="I30" sqref="I30"/>
      <selection pane="bottomLeft" activeCell="I221" sqref="I220:I221"/>
    </sheetView>
  </sheetViews>
  <sheetFormatPr defaultColWidth="8.54296875" defaultRowHeight="13" x14ac:dyDescent="0.35"/>
  <cols>
    <col min="1" max="1" width="0.81640625" style="260" customWidth="1"/>
    <col min="2" max="2" width="19.6328125" style="260" bestFit="1" customWidth="1"/>
    <col min="3" max="3" width="12.36328125" style="260" bestFit="1" customWidth="1"/>
    <col min="4" max="4" width="25.54296875" style="260" customWidth="1"/>
    <col min="5" max="5" width="14.81640625" style="362" bestFit="1" customWidth="1"/>
    <col min="6" max="6" width="14.36328125" style="260" bestFit="1" customWidth="1"/>
    <col min="7" max="7" width="15.08984375" style="260" bestFit="1" customWidth="1"/>
    <col min="8" max="8" width="14" style="260" customWidth="1"/>
    <col min="9" max="9" width="22.1796875" style="260" customWidth="1"/>
    <col min="10" max="10" width="45.81640625" style="276" customWidth="1"/>
    <col min="11" max="11" width="16.1796875" style="260" customWidth="1"/>
    <col min="12" max="12" width="16.90625" style="260" customWidth="1"/>
    <col min="13" max="13" width="16.26953125" style="260" customWidth="1"/>
    <col min="14" max="14" width="15.36328125" style="260" customWidth="1"/>
    <col min="15" max="15" width="14.6328125" style="260" customWidth="1"/>
    <col min="16" max="16" width="21.6328125" style="260" bestFit="1" customWidth="1"/>
    <col min="17" max="17" width="12.81640625" style="260" customWidth="1"/>
    <col min="18" max="18" width="16" style="260" customWidth="1"/>
    <col min="19" max="19" width="11.6328125" style="260" customWidth="1"/>
    <col min="20" max="20" width="14" style="363" customWidth="1"/>
    <col min="21" max="21" width="13.08984375" style="260" customWidth="1"/>
    <col min="22" max="22" width="15.26953125" style="260" customWidth="1"/>
    <col min="23" max="23" width="9" style="260" customWidth="1"/>
    <col min="24" max="24" width="15.26953125" style="260" customWidth="1"/>
    <col min="25" max="25" width="19.1796875" style="260" bestFit="1" customWidth="1"/>
    <col min="26" max="26" width="12.81640625" style="260" bestFit="1" customWidth="1"/>
    <col min="27" max="27" width="12.1796875" style="260" bestFit="1" customWidth="1"/>
    <col min="28" max="28" width="15.26953125" style="260" bestFit="1" customWidth="1"/>
    <col min="29" max="29" width="15.36328125" style="260" bestFit="1" customWidth="1"/>
    <col min="30" max="30" width="8.54296875" style="260" hidden="1" customWidth="1"/>
    <col min="31" max="32" width="11.453125" style="261" hidden="1" customWidth="1"/>
    <col min="33" max="33" width="1" style="261" customWidth="1"/>
    <col min="34" max="34" width="43" style="313" bestFit="1" customWidth="1"/>
    <col min="35" max="35" width="21.1796875" style="260" bestFit="1" customWidth="1"/>
    <col min="36" max="16384" width="8.54296875" style="260"/>
  </cols>
  <sheetData>
    <row r="1" spans="2:35" ht="18.649999999999999" customHeight="1" x14ac:dyDescent="0.35">
      <c r="B1" s="249" t="s">
        <v>64</v>
      </c>
      <c r="C1" s="250" t="s">
        <v>65</v>
      </c>
      <c r="D1" s="250" t="s">
        <v>66</v>
      </c>
      <c r="E1" s="250" t="s">
        <v>67</v>
      </c>
      <c r="F1" s="250" t="s">
        <v>68</v>
      </c>
      <c r="G1" s="250" t="s">
        <v>69</v>
      </c>
      <c r="H1" s="250" t="s">
        <v>70</v>
      </c>
      <c r="I1" s="250" t="s">
        <v>71</v>
      </c>
      <c r="J1" s="250" t="s">
        <v>72</v>
      </c>
      <c r="K1" s="250" t="s">
        <v>73</v>
      </c>
      <c r="L1" s="251" t="s">
        <v>74</v>
      </c>
      <c r="M1" s="251" t="s">
        <v>75</v>
      </c>
      <c r="N1" s="251" t="s">
        <v>76</v>
      </c>
      <c r="O1" s="251" t="s">
        <v>77</v>
      </c>
      <c r="P1" s="251" t="s">
        <v>613</v>
      </c>
      <c r="Q1" s="252" t="s">
        <v>79</v>
      </c>
      <c r="R1" s="251" t="s">
        <v>80</v>
      </c>
      <c r="S1" s="251" t="s">
        <v>81</v>
      </c>
      <c r="T1" s="253" t="s">
        <v>35</v>
      </c>
      <c r="U1" s="251" t="s">
        <v>36</v>
      </c>
      <c r="V1" s="254" t="s">
        <v>82</v>
      </c>
      <c r="W1" s="254"/>
      <c r="X1" s="255" t="s">
        <v>83</v>
      </c>
      <c r="Y1" s="256" t="s">
        <v>84</v>
      </c>
      <c r="Z1" s="257" t="s">
        <v>39</v>
      </c>
      <c r="AA1" s="257" t="s">
        <v>40</v>
      </c>
      <c r="AB1" s="258" t="s">
        <v>41</v>
      </c>
      <c r="AC1" s="259" t="s">
        <v>58</v>
      </c>
      <c r="AH1" s="258" t="s">
        <v>85</v>
      </c>
    </row>
    <row r="2" spans="2:35" ht="18.649999999999999" customHeight="1" x14ac:dyDescent="0.35">
      <c r="B2" s="321" t="s">
        <v>575</v>
      </c>
      <c r="C2" s="293" t="s">
        <v>576</v>
      </c>
      <c r="D2" s="264" t="s">
        <v>547</v>
      </c>
      <c r="E2" s="264" t="s">
        <v>45</v>
      </c>
      <c r="F2" s="263" t="s">
        <v>87</v>
      </c>
      <c r="G2" s="263" t="s">
        <v>50</v>
      </c>
      <c r="H2" s="265" t="s">
        <v>95</v>
      </c>
      <c r="I2" s="265" t="s">
        <v>534</v>
      </c>
      <c r="J2" s="263" t="s">
        <v>579</v>
      </c>
      <c r="K2" s="263" t="s">
        <v>89</v>
      </c>
      <c r="L2" s="266">
        <f t="shared" ref="L2" si="0">N2-(M2-1)</f>
        <v>21</v>
      </c>
      <c r="M2" s="267">
        <v>45460</v>
      </c>
      <c r="N2" s="267">
        <v>45480</v>
      </c>
      <c r="O2" s="266">
        <f>8500000*60%</f>
        <v>5100000</v>
      </c>
      <c r="P2" s="268" t="s">
        <v>17</v>
      </c>
      <c r="Q2" s="269"/>
      <c r="R2" s="266"/>
      <c r="S2" s="318">
        <v>0.8</v>
      </c>
      <c r="T2" s="319">
        <f t="shared" ref="T2" si="1">O2*S2</f>
        <v>4080000</v>
      </c>
      <c r="U2" s="266">
        <f>O2/V2</f>
        <v>1700000</v>
      </c>
      <c r="V2" s="266">
        <v>3</v>
      </c>
      <c r="W2" s="266"/>
      <c r="X2" s="272">
        <v>200</v>
      </c>
      <c r="Y2" s="273">
        <f>(O2/1000)*X2</f>
        <v>1020000</v>
      </c>
      <c r="Z2" s="273">
        <f t="shared" ref="Z2:Z16" si="2">Y2/O2*1000</f>
        <v>200</v>
      </c>
      <c r="AA2" s="273"/>
      <c r="AB2" s="274"/>
      <c r="AC2" s="275"/>
      <c r="AD2" s="261"/>
      <c r="AE2" s="260"/>
      <c r="AG2" s="260"/>
      <c r="AH2" s="554" t="s">
        <v>583</v>
      </c>
    </row>
    <row r="3" spans="2:35" ht="18.649999999999999" customHeight="1" x14ac:dyDescent="0.35">
      <c r="B3" s="321" t="s">
        <v>575</v>
      </c>
      <c r="C3" s="293" t="s">
        <v>576</v>
      </c>
      <c r="D3" s="264" t="s">
        <v>547</v>
      </c>
      <c r="E3" s="264" t="s">
        <v>45</v>
      </c>
      <c r="F3" s="263" t="s">
        <v>87</v>
      </c>
      <c r="G3" s="263" t="s">
        <v>50</v>
      </c>
      <c r="H3" s="265" t="s">
        <v>95</v>
      </c>
      <c r="I3" s="265" t="s">
        <v>534</v>
      </c>
      <c r="J3" s="263" t="s">
        <v>580</v>
      </c>
      <c r="K3" s="263" t="s">
        <v>89</v>
      </c>
      <c r="L3" s="266">
        <f t="shared" ref="L3" si="3">N3-(M3-1)</f>
        <v>21</v>
      </c>
      <c r="M3" s="267">
        <v>45460</v>
      </c>
      <c r="N3" s="267">
        <v>45480</v>
      </c>
      <c r="O3" s="266">
        <f>8750000*60%</f>
        <v>5250000</v>
      </c>
      <c r="P3" s="268" t="s">
        <v>17</v>
      </c>
      <c r="Q3" s="269"/>
      <c r="R3" s="266"/>
      <c r="S3" s="318">
        <v>0.8</v>
      </c>
      <c r="T3" s="319">
        <f t="shared" ref="T3" si="4">O3*S3</f>
        <v>4200000</v>
      </c>
      <c r="U3" s="266">
        <f t="shared" ref="U3:U6" si="5">O3/V3</f>
        <v>1750000</v>
      </c>
      <c r="V3" s="266">
        <v>3</v>
      </c>
      <c r="W3" s="266"/>
      <c r="X3" s="272">
        <v>200</v>
      </c>
      <c r="Y3" s="273">
        <f>(O3/1000)*X3</f>
        <v>1050000</v>
      </c>
      <c r="Z3" s="273">
        <f t="shared" si="2"/>
        <v>200</v>
      </c>
      <c r="AA3" s="273"/>
      <c r="AB3" s="274"/>
      <c r="AC3" s="275"/>
      <c r="AD3" s="261"/>
      <c r="AE3" s="260"/>
      <c r="AG3" s="260"/>
      <c r="AH3" s="554" t="s">
        <v>584</v>
      </c>
    </row>
    <row r="4" spans="2:35" ht="18.649999999999999" customHeight="1" x14ac:dyDescent="0.35">
      <c r="B4" s="321" t="s">
        <v>575</v>
      </c>
      <c r="C4" s="293" t="s">
        <v>576</v>
      </c>
      <c r="D4" s="264" t="s">
        <v>547</v>
      </c>
      <c r="E4" s="264" t="s">
        <v>45</v>
      </c>
      <c r="F4" s="263" t="s">
        <v>87</v>
      </c>
      <c r="G4" s="263" t="s">
        <v>50</v>
      </c>
      <c r="H4" s="265" t="s">
        <v>95</v>
      </c>
      <c r="I4" s="265" t="s">
        <v>534</v>
      </c>
      <c r="J4" s="263" t="s">
        <v>581</v>
      </c>
      <c r="K4" s="263" t="s">
        <v>89</v>
      </c>
      <c r="L4" s="266">
        <f t="shared" ref="L4" si="6">N4-(M4-1)</f>
        <v>21</v>
      </c>
      <c r="M4" s="267">
        <v>45460</v>
      </c>
      <c r="N4" s="267">
        <v>45480</v>
      </c>
      <c r="O4" s="266">
        <f>13000000*50%</f>
        <v>6500000</v>
      </c>
      <c r="P4" s="268" t="s">
        <v>17</v>
      </c>
      <c r="Q4" s="269"/>
      <c r="R4" s="266"/>
      <c r="S4" s="318">
        <v>0.8</v>
      </c>
      <c r="T4" s="319">
        <f t="shared" ref="T4" si="7">O4*S4</f>
        <v>5200000</v>
      </c>
      <c r="U4" s="266">
        <f t="shared" si="5"/>
        <v>2166666.6666666665</v>
      </c>
      <c r="V4" s="266">
        <v>3</v>
      </c>
      <c r="W4" s="266"/>
      <c r="X4" s="272">
        <v>200</v>
      </c>
      <c r="Y4" s="273">
        <f>(O4/1000)*X4</f>
        <v>1300000</v>
      </c>
      <c r="Z4" s="273">
        <f t="shared" si="2"/>
        <v>200</v>
      </c>
      <c r="AA4" s="273"/>
      <c r="AB4" s="274"/>
      <c r="AC4" s="275"/>
      <c r="AD4" s="261"/>
      <c r="AE4" s="260"/>
      <c r="AG4" s="260"/>
      <c r="AH4" s="554" t="s">
        <v>585</v>
      </c>
    </row>
    <row r="5" spans="2:35" ht="18.649999999999999" customHeight="1" x14ac:dyDescent="0.35">
      <c r="B5" s="321" t="s">
        <v>575</v>
      </c>
      <c r="C5" s="293" t="s">
        <v>576</v>
      </c>
      <c r="D5" s="264" t="s">
        <v>547</v>
      </c>
      <c r="E5" s="264" t="s">
        <v>45</v>
      </c>
      <c r="F5" s="263" t="s">
        <v>87</v>
      </c>
      <c r="G5" s="263" t="s">
        <v>50</v>
      </c>
      <c r="H5" s="265" t="s">
        <v>95</v>
      </c>
      <c r="I5" s="265" t="s">
        <v>534</v>
      </c>
      <c r="J5" s="263" t="s">
        <v>582</v>
      </c>
      <c r="K5" s="263" t="s">
        <v>89</v>
      </c>
      <c r="L5" s="266">
        <f t="shared" ref="L5" si="8">N5-(M5-1)</f>
        <v>21</v>
      </c>
      <c r="M5" s="267">
        <v>45460</v>
      </c>
      <c r="N5" s="267">
        <v>45480</v>
      </c>
      <c r="O5" s="266">
        <v>915000</v>
      </c>
      <c r="P5" s="268" t="s">
        <v>17</v>
      </c>
      <c r="Q5" s="269"/>
      <c r="R5" s="266"/>
      <c r="S5" s="318">
        <v>0.8</v>
      </c>
      <c r="T5" s="319">
        <f t="shared" ref="T5" si="9">O5*S5</f>
        <v>732000</v>
      </c>
      <c r="U5" s="266">
        <f t="shared" si="5"/>
        <v>305000</v>
      </c>
      <c r="V5" s="266">
        <v>3</v>
      </c>
      <c r="W5" s="266"/>
      <c r="X5" s="272">
        <v>200</v>
      </c>
      <c r="Y5" s="273">
        <f>(O5/1000)*X5</f>
        <v>183000</v>
      </c>
      <c r="Z5" s="273">
        <f t="shared" si="2"/>
        <v>200</v>
      </c>
      <c r="AA5" s="273"/>
      <c r="AB5" s="274"/>
      <c r="AC5" s="275"/>
      <c r="AD5" s="261"/>
      <c r="AE5" s="260"/>
      <c r="AG5" s="260"/>
      <c r="AH5" s="554" t="s">
        <v>586</v>
      </c>
    </row>
    <row r="6" spans="2:35" ht="18.649999999999999" customHeight="1" x14ac:dyDescent="0.35">
      <c r="B6" s="321" t="s">
        <v>575</v>
      </c>
      <c r="C6" s="293" t="s">
        <v>576</v>
      </c>
      <c r="D6" s="264" t="s">
        <v>547</v>
      </c>
      <c r="E6" s="264" t="s">
        <v>45</v>
      </c>
      <c r="F6" s="263" t="s">
        <v>87</v>
      </c>
      <c r="G6" s="263" t="s">
        <v>577</v>
      </c>
      <c r="H6" s="265" t="s">
        <v>95</v>
      </c>
      <c r="I6" s="265" t="s">
        <v>534</v>
      </c>
      <c r="J6" s="263" t="s">
        <v>578</v>
      </c>
      <c r="K6" s="263" t="s">
        <v>89</v>
      </c>
      <c r="L6" s="266">
        <f t="shared" ref="L6" si="10">N6-(M6-1)</f>
        <v>21</v>
      </c>
      <c r="M6" s="267">
        <v>45460</v>
      </c>
      <c r="N6" s="267">
        <v>45480</v>
      </c>
      <c r="O6" s="266">
        <f>875000*60%</f>
        <v>525000</v>
      </c>
      <c r="P6" s="268" t="s">
        <v>17</v>
      </c>
      <c r="Q6" s="269"/>
      <c r="R6" s="266"/>
      <c r="S6" s="318">
        <v>0.8</v>
      </c>
      <c r="T6" s="319">
        <f t="shared" ref="T6" si="11">O6*S6</f>
        <v>420000</v>
      </c>
      <c r="U6" s="266">
        <f t="shared" si="5"/>
        <v>175000</v>
      </c>
      <c r="V6" s="266">
        <v>3</v>
      </c>
      <c r="W6" s="266"/>
      <c r="X6" s="272">
        <v>170</v>
      </c>
      <c r="Y6" s="273">
        <f>(O6/1000)*X6</f>
        <v>89250</v>
      </c>
      <c r="Z6" s="273">
        <f t="shared" si="2"/>
        <v>170</v>
      </c>
      <c r="AA6" s="273"/>
      <c r="AB6" s="274"/>
      <c r="AC6" s="275"/>
      <c r="AD6" s="261"/>
      <c r="AE6" s="260"/>
      <c r="AG6" s="260"/>
      <c r="AH6" s="554" t="s">
        <v>587</v>
      </c>
    </row>
    <row r="7" spans="2:35" ht="18.649999999999999" customHeight="1" x14ac:dyDescent="0.35">
      <c r="B7" s="277"/>
      <c r="C7" s="278"/>
      <c r="D7" s="279"/>
      <c r="E7" s="280"/>
      <c r="F7" s="279"/>
      <c r="G7" s="280"/>
      <c r="H7" s="280"/>
      <c r="I7" s="281"/>
      <c r="J7" s="546"/>
      <c r="K7" s="283"/>
      <c r="L7" s="284"/>
      <c r="M7" s="284"/>
      <c r="N7" s="284"/>
      <c r="O7" s="284">
        <f>SUM(O2:O6)</f>
        <v>18290000</v>
      </c>
      <c r="P7" s="284"/>
      <c r="Q7" s="285"/>
      <c r="R7" s="284"/>
      <c r="S7" s="286"/>
      <c r="T7" s="316">
        <f>SUM(T2:T6)</f>
        <v>14632000</v>
      </c>
      <c r="U7" s="284">
        <f>U4+(SUM(U2:U3,U5:U6)*30%)</f>
        <v>3345666.6666666665</v>
      </c>
      <c r="V7" s="284"/>
      <c r="W7" s="284"/>
      <c r="X7" s="287"/>
      <c r="Y7" s="317">
        <f>SUM(Y2:Y6)</f>
        <v>3642250</v>
      </c>
      <c r="Z7" s="288">
        <f t="shared" si="2"/>
        <v>199.1388737014762</v>
      </c>
      <c r="AA7" s="288"/>
      <c r="AB7" s="284"/>
      <c r="AC7" s="289"/>
      <c r="AD7" s="261"/>
      <c r="AE7" s="290"/>
      <c r="AG7" s="290"/>
    </row>
    <row r="8" spans="2:35" ht="18.649999999999999" customHeight="1" x14ac:dyDescent="0.35">
      <c r="B8" s="292" t="s">
        <v>92</v>
      </c>
      <c r="C8" s="293" t="s">
        <v>93</v>
      </c>
      <c r="D8" s="294" t="s">
        <v>94</v>
      </c>
      <c r="E8" s="294" t="s">
        <v>45</v>
      </c>
      <c r="F8" s="295" t="s">
        <v>87</v>
      </c>
      <c r="G8" s="295" t="s">
        <v>50</v>
      </c>
      <c r="H8" s="296" t="s">
        <v>95</v>
      </c>
      <c r="I8" s="296" t="s">
        <v>608</v>
      </c>
      <c r="J8" s="551" t="s">
        <v>96</v>
      </c>
      <c r="K8" s="295" t="s">
        <v>89</v>
      </c>
      <c r="L8" s="298">
        <f t="shared" ref="L8:L16" si="12">N8-(M8-1)</f>
        <v>21</v>
      </c>
      <c r="M8" s="299">
        <v>45460</v>
      </c>
      <c r="N8" s="299">
        <v>45480</v>
      </c>
      <c r="O8" s="298">
        <f t="shared" ref="O8:O17" si="13">U8*V8</f>
        <v>4146473.8759155716</v>
      </c>
      <c r="P8" s="300" t="s">
        <v>17</v>
      </c>
      <c r="Q8" s="301"/>
      <c r="R8" s="298"/>
      <c r="S8" s="302">
        <v>0.85</v>
      </c>
      <c r="T8" s="303">
        <f t="shared" ref="T8:T9" si="14">O8*S8</f>
        <v>3524502.7945282357</v>
      </c>
      <c r="U8" s="298">
        <f>AB8*AC8</f>
        <v>762219.46248448</v>
      </c>
      <c r="V8" s="298">
        <v>5.44</v>
      </c>
      <c r="W8" s="298"/>
      <c r="X8" s="304">
        <v>125</v>
      </c>
      <c r="Y8" s="305">
        <f t="shared" ref="Y8:Y13" si="15">(O8/1000)*X8</f>
        <v>518309.23448944645</v>
      </c>
      <c r="Z8" s="305">
        <f t="shared" si="2"/>
        <v>125</v>
      </c>
      <c r="AA8" s="305"/>
      <c r="AB8" s="306">
        <v>887432</v>
      </c>
      <c r="AC8" s="307">
        <f>85.890464%</f>
        <v>0.85890464</v>
      </c>
      <c r="AD8" s="261"/>
      <c r="AE8" s="260"/>
      <c r="AF8" s="261">
        <v>0.70400000000000007</v>
      </c>
      <c r="AG8" s="260"/>
      <c r="AH8" s="569"/>
    </row>
    <row r="9" spans="2:35" ht="18.649999999999999" customHeight="1" x14ac:dyDescent="0.35">
      <c r="B9" s="292" t="s">
        <v>92</v>
      </c>
      <c r="C9" s="293" t="s">
        <v>93</v>
      </c>
      <c r="D9" s="295" t="s">
        <v>86</v>
      </c>
      <c r="E9" s="295" t="s">
        <v>45</v>
      </c>
      <c r="F9" s="295" t="s">
        <v>87</v>
      </c>
      <c r="G9" s="296" t="s">
        <v>50</v>
      </c>
      <c r="H9" s="296" t="s">
        <v>95</v>
      </c>
      <c r="I9" s="296" t="s">
        <v>610</v>
      </c>
      <c r="J9" s="551" t="s">
        <v>96</v>
      </c>
      <c r="K9" s="295" t="s">
        <v>89</v>
      </c>
      <c r="L9" s="298">
        <f t="shared" si="12"/>
        <v>21</v>
      </c>
      <c r="M9" s="299">
        <v>45460</v>
      </c>
      <c r="N9" s="299">
        <v>45480</v>
      </c>
      <c r="O9" s="298">
        <f>Y9/X9*1000</f>
        <v>16760060.0076</v>
      </c>
      <c r="P9" s="300" t="s">
        <v>17</v>
      </c>
      <c r="Q9" s="301"/>
      <c r="R9" s="298"/>
      <c r="S9" s="302">
        <v>0.8</v>
      </c>
      <c r="T9" s="303">
        <f t="shared" si="14"/>
        <v>13408048.006080002</v>
      </c>
      <c r="U9" s="298">
        <f>O9/V9</f>
        <v>2428994.2039999999</v>
      </c>
      <c r="V9" s="298">
        <v>6.9</v>
      </c>
      <c r="W9" s="298"/>
      <c r="X9" s="304">
        <v>110</v>
      </c>
      <c r="Y9" s="305">
        <f>1843606.600836</f>
        <v>1843606.6008359999</v>
      </c>
      <c r="Z9" s="305">
        <f t="shared" si="2"/>
        <v>110</v>
      </c>
      <c r="AA9" s="305"/>
      <c r="AB9" s="306">
        <v>2693600</v>
      </c>
      <c r="AC9" s="307">
        <f>U9/AB9</f>
        <v>0.90176499999999993</v>
      </c>
      <c r="AF9" s="261">
        <v>0.748</v>
      </c>
      <c r="AH9" s="291"/>
    </row>
    <row r="10" spans="2:35" ht="18.649999999999999" customHeight="1" x14ac:dyDescent="0.35">
      <c r="B10" s="292" t="s">
        <v>92</v>
      </c>
      <c r="C10" s="293" t="s">
        <v>97</v>
      </c>
      <c r="D10" s="264" t="s">
        <v>561</v>
      </c>
      <c r="E10" s="264" t="s">
        <v>45</v>
      </c>
      <c r="F10" s="263" t="s">
        <v>87</v>
      </c>
      <c r="G10" s="263" t="s">
        <v>98</v>
      </c>
      <c r="H10" s="265" t="s">
        <v>90</v>
      </c>
      <c r="I10" s="265" t="s">
        <v>609</v>
      </c>
      <c r="J10" s="552" t="s">
        <v>96</v>
      </c>
      <c r="K10" s="263" t="s">
        <v>89</v>
      </c>
      <c r="L10" s="266">
        <f t="shared" si="12"/>
        <v>21</v>
      </c>
      <c r="M10" s="267">
        <v>45460</v>
      </c>
      <c r="N10" s="267">
        <v>45480</v>
      </c>
      <c r="O10" s="266">
        <f t="shared" si="13"/>
        <v>1780756.3758075</v>
      </c>
      <c r="P10" s="268" t="s">
        <v>17</v>
      </c>
      <c r="Q10" s="269">
        <v>1E-3</v>
      </c>
      <c r="R10" s="266">
        <f t="shared" ref="R10" si="16">O10*Q10</f>
        <v>1780.7563758075</v>
      </c>
      <c r="S10" s="270">
        <v>0.7</v>
      </c>
      <c r="T10" s="271">
        <f>O10*S10</f>
        <v>1246529.4630652498</v>
      </c>
      <c r="U10" s="266">
        <f t="shared" ref="U10" si="17">AB10*AC10</f>
        <v>1780756.3758075</v>
      </c>
      <c r="V10" s="266">
        <v>1</v>
      </c>
      <c r="W10" s="266"/>
      <c r="X10" s="272">
        <v>70</v>
      </c>
      <c r="Y10" s="273">
        <f t="shared" si="15"/>
        <v>124652.946306525</v>
      </c>
      <c r="Z10" s="273">
        <f t="shared" si="2"/>
        <v>70</v>
      </c>
      <c r="AA10" s="273">
        <f t="shared" ref="AA10:AA16" si="18">Y10/R10</f>
        <v>70</v>
      </c>
      <c r="AB10" s="274">
        <f>3434340 *85%</f>
        <v>2919189</v>
      </c>
      <c r="AC10" s="275">
        <v>0.61001749999999999</v>
      </c>
      <c r="AE10" s="260"/>
      <c r="AF10" s="261">
        <v>0.70400000000000007</v>
      </c>
      <c r="AG10" s="260"/>
      <c r="AH10" s="291"/>
    </row>
    <row r="11" spans="2:35" ht="18.649999999999999" customHeight="1" x14ac:dyDescent="0.35">
      <c r="B11" s="292" t="s">
        <v>92</v>
      </c>
      <c r="C11" s="293" t="s">
        <v>97</v>
      </c>
      <c r="D11" s="264" t="s">
        <v>86</v>
      </c>
      <c r="E11" s="264" t="s">
        <v>45</v>
      </c>
      <c r="F11" s="263" t="s">
        <v>87</v>
      </c>
      <c r="G11" s="263" t="s">
        <v>98</v>
      </c>
      <c r="H11" s="265" t="s">
        <v>90</v>
      </c>
      <c r="I11" s="265" t="s">
        <v>610</v>
      </c>
      <c r="J11" s="552" t="s">
        <v>96</v>
      </c>
      <c r="K11" s="263" t="s">
        <v>89</v>
      </c>
      <c r="L11" s="266">
        <f t="shared" ref="L11" si="19">N11-(M11-1)</f>
        <v>21</v>
      </c>
      <c r="M11" s="267">
        <v>45460</v>
      </c>
      <c r="N11" s="267">
        <v>45480</v>
      </c>
      <c r="O11" s="266">
        <f>Y11/X11*1000</f>
        <v>3600794.1422578124</v>
      </c>
      <c r="P11" s="268" t="s">
        <v>17</v>
      </c>
      <c r="Q11" s="269">
        <v>1E-3</v>
      </c>
      <c r="R11" s="266">
        <f t="shared" ref="R11" si="20">O11*Q11</f>
        <v>3600.7941422578124</v>
      </c>
      <c r="S11" s="270">
        <v>0.8</v>
      </c>
      <c r="T11" s="271">
        <f>O11*S11</f>
        <v>2880635.3138062502</v>
      </c>
      <c r="U11" s="266">
        <f>O11/V11</f>
        <v>2118114.2013281249</v>
      </c>
      <c r="V11" s="266">
        <f>1.7</f>
        <v>1.7</v>
      </c>
      <c r="W11" s="266"/>
      <c r="X11" s="272">
        <v>80</v>
      </c>
      <c r="Y11" s="273">
        <v>288063.53138062498</v>
      </c>
      <c r="Z11" s="273">
        <f t="shared" si="2"/>
        <v>80</v>
      </c>
      <c r="AA11" s="273">
        <f t="shared" si="18"/>
        <v>80</v>
      </c>
      <c r="AB11" s="274">
        <f>4906200*70%</f>
        <v>3434340</v>
      </c>
      <c r="AC11" s="275">
        <f>U11/AB11</f>
        <v>0.61674563419117645</v>
      </c>
      <c r="AE11" s="260"/>
      <c r="AF11" s="261">
        <v>0.70400000000000007</v>
      </c>
      <c r="AG11" s="260"/>
      <c r="AH11" s="458"/>
      <c r="AI11" s="459"/>
    </row>
    <row r="12" spans="2:35" ht="18.649999999999999" customHeight="1" x14ac:dyDescent="0.35">
      <c r="B12" s="292" t="s">
        <v>92</v>
      </c>
      <c r="C12" s="293" t="s">
        <v>97</v>
      </c>
      <c r="D12" s="263" t="s">
        <v>99</v>
      </c>
      <c r="E12" s="263" t="s">
        <v>46</v>
      </c>
      <c r="F12" s="263" t="s">
        <v>100</v>
      </c>
      <c r="G12" s="263" t="s">
        <v>101</v>
      </c>
      <c r="H12" s="265" t="s">
        <v>88</v>
      </c>
      <c r="I12" s="265" t="s">
        <v>102</v>
      </c>
      <c r="J12" s="553" t="s">
        <v>96</v>
      </c>
      <c r="K12" s="263" t="s">
        <v>89</v>
      </c>
      <c r="L12" s="266">
        <f t="shared" si="12"/>
        <v>21</v>
      </c>
      <c r="M12" s="267">
        <v>45460</v>
      </c>
      <c r="N12" s="267">
        <v>45480</v>
      </c>
      <c r="O12" s="266">
        <f t="shared" si="13"/>
        <v>759243.28838928568</v>
      </c>
      <c r="P12" s="268" t="s">
        <v>17</v>
      </c>
      <c r="Q12" s="269">
        <v>1.4999999999999999E-2</v>
      </c>
      <c r="R12" s="266">
        <f>O12*Q12</f>
        <v>11388.649325839284</v>
      </c>
      <c r="S12" s="268" t="s">
        <v>17</v>
      </c>
      <c r="T12" s="271" t="s">
        <v>17</v>
      </c>
      <c r="U12" s="266">
        <f>AB12*AC12</f>
        <v>893227.39810504194</v>
      </c>
      <c r="V12" s="266">
        <v>0.85</v>
      </c>
      <c r="W12" s="266"/>
      <c r="X12" s="272">
        <v>105</v>
      </c>
      <c r="Y12" s="273">
        <f t="shared" si="15"/>
        <v>79720.545280874998</v>
      </c>
      <c r="Z12" s="273">
        <f t="shared" si="2"/>
        <v>105</v>
      </c>
      <c r="AA12" s="273">
        <f t="shared" si="18"/>
        <v>7.0000000000000009</v>
      </c>
      <c r="AB12" s="274">
        <f>AB10*95%</f>
        <v>2773229.55</v>
      </c>
      <c r="AC12" s="275">
        <v>0.32208924</v>
      </c>
      <c r="AE12" s="260"/>
      <c r="AF12" s="261">
        <v>0.26400000000000001</v>
      </c>
      <c r="AG12" s="260"/>
      <c r="AH12" s="291"/>
      <c r="AI12" s="459"/>
    </row>
    <row r="13" spans="2:35" ht="18.649999999999999" customHeight="1" x14ac:dyDescent="0.35">
      <c r="B13" s="292" t="s">
        <v>92</v>
      </c>
      <c r="C13" s="293" t="s">
        <v>97</v>
      </c>
      <c r="D13" s="310" t="s">
        <v>103</v>
      </c>
      <c r="E13" s="263" t="s">
        <v>46</v>
      </c>
      <c r="F13" s="310" t="s">
        <v>100</v>
      </c>
      <c r="G13" s="263" t="s">
        <v>98</v>
      </c>
      <c r="H13" s="265" t="s">
        <v>88</v>
      </c>
      <c r="I13" s="265" t="s">
        <v>104</v>
      </c>
      <c r="J13" s="553" t="s">
        <v>96</v>
      </c>
      <c r="K13" s="263" t="s">
        <v>105</v>
      </c>
      <c r="L13" s="266">
        <f t="shared" si="12"/>
        <v>21</v>
      </c>
      <c r="M13" s="267">
        <v>45460</v>
      </c>
      <c r="N13" s="267">
        <v>45480</v>
      </c>
      <c r="O13" s="266">
        <f t="shared" si="13"/>
        <v>1268928.7249285898</v>
      </c>
      <c r="P13" s="268" t="s">
        <v>17</v>
      </c>
      <c r="Q13" s="269">
        <v>1.4999999999999999E-2</v>
      </c>
      <c r="R13" s="266">
        <f>O13*Q13</f>
        <v>19033.930873928846</v>
      </c>
      <c r="S13" s="268" t="s">
        <v>17</v>
      </c>
      <c r="T13" s="271" t="s">
        <v>17</v>
      </c>
      <c r="U13" s="266">
        <f>AB13*AC13</f>
        <v>1492857.3234453998</v>
      </c>
      <c r="V13" s="266">
        <v>0.85</v>
      </c>
      <c r="W13" s="266"/>
      <c r="X13" s="272">
        <v>120</v>
      </c>
      <c r="Y13" s="273">
        <f t="shared" si="15"/>
        <v>152271.44699143077</v>
      </c>
      <c r="Z13" s="273">
        <f t="shared" si="2"/>
        <v>120</v>
      </c>
      <c r="AA13" s="273">
        <f t="shared" si="18"/>
        <v>8</v>
      </c>
      <c r="AB13" s="274">
        <v>2780951</v>
      </c>
      <c r="AC13" s="275">
        <v>0.53681539999999994</v>
      </c>
      <c r="AE13" s="260"/>
      <c r="AF13" s="261">
        <v>0.44</v>
      </c>
      <c r="AG13" s="260"/>
      <c r="AH13" s="291"/>
    </row>
    <row r="14" spans="2:35" ht="18.649999999999999" customHeight="1" x14ac:dyDescent="0.35">
      <c r="B14" s="292" t="s">
        <v>92</v>
      </c>
      <c r="C14" s="293" t="s">
        <v>97</v>
      </c>
      <c r="D14" s="310" t="s">
        <v>106</v>
      </c>
      <c r="E14" s="311" t="s">
        <v>46</v>
      </c>
      <c r="F14" s="311" t="s">
        <v>91</v>
      </c>
      <c r="G14" s="263" t="s">
        <v>98</v>
      </c>
      <c r="H14" s="310" t="s">
        <v>88</v>
      </c>
      <c r="I14" s="263" t="s">
        <v>107</v>
      </c>
      <c r="J14" s="553" t="s">
        <v>96</v>
      </c>
      <c r="K14" s="263" t="s">
        <v>89</v>
      </c>
      <c r="L14" s="266">
        <f t="shared" si="12"/>
        <v>21</v>
      </c>
      <c r="M14" s="267">
        <v>45460</v>
      </c>
      <c r="N14" s="267">
        <v>45480</v>
      </c>
      <c r="O14" s="266">
        <f t="shared" si="13"/>
        <v>198714.08929849401</v>
      </c>
      <c r="P14" s="268" t="s">
        <v>17</v>
      </c>
      <c r="Q14" s="312">
        <v>0.01</v>
      </c>
      <c r="R14" s="266">
        <f t="shared" ref="R14:R15" si="21">O14*Q14</f>
        <v>1987.1408929849401</v>
      </c>
      <c r="S14" s="268" t="s">
        <v>17</v>
      </c>
      <c r="T14" s="271" t="s">
        <v>17</v>
      </c>
      <c r="U14" s="266">
        <f t="shared" ref="U14" si="22">AB14*AC14</f>
        <v>233781.28152764004</v>
      </c>
      <c r="V14" s="266">
        <v>0.85</v>
      </c>
      <c r="W14" s="266"/>
      <c r="X14" s="272">
        <v>200</v>
      </c>
      <c r="Y14" s="273">
        <f>O14*X14/1000</f>
        <v>39742.8178596988</v>
      </c>
      <c r="Z14" s="273">
        <f t="shared" si="2"/>
        <v>199.99999999999997</v>
      </c>
      <c r="AA14" s="273">
        <f t="shared" si="18"/>
        <v>20</v>
      </c>
      <c r="AB14" s="274">
        <v>989765</v>
      </c>
      <c r="AC14" s="275">
        <v>0.23619877600000003</v>
      </c>
      <c r="AE14" s="260"/>
      <c r="AF14" s="261">
        <v>0.17600000000000002</v>
      </c>
      <c r="AG14" s="260"/>
      <c r="AH14" s="562"/>
    </row>
    <row r="15" spans="2:35" ht="18.649999999999999" customHeight="1" x14ac:dyDescent="0.35">
      <c r="B15" s="292" t="s">
        <v>112</v>
      </c>
      <c r="C15" s="293" t="s">
        <v>97</v>
      </c>
      <c r="D15" s="310" t="s">
        <v>588</v>
      </c>
      <c r="E15" s="263" t="s">
        <v>46</v>
      </c>
      <c r="F15" s="310" t="s">
        <v>589</v>
      </c>
      <c r="G15" s="263" t="s">
        <v>98</v>
      </c>
      <c r="H15" s="265" t="s">
        <v>88</v>
      </c>
      <c r="I15" s="265" t="s">
        <v>590</v>
      </c>
      <c r="J15" s="553" t="s">
        <v>591</v>
      </c>
      <c r="K15" s="263" t="s">
        <v>592</v>
      </c>
      <c r="L15" s="266">
        <f t="shared" si="12"/>
        <v>21</v>
      </c>
      <c r="M15" s="267">
        <v>45460</v>
      </c>
      <c r="N15" s="267">
        <v>45480</v>
      </c>
      <c r="O15" s="266">
        <f>P15*3</f>
        <v>629550.32000000007</v>
      </c>
      <c r="P15" s="266">
        <f>Y15/X15</f>
        <v>209850.10666666669</v>
      </c>
      <c r="Q15" s="269">
        <v>1.4999999999999999E-2</v>
      </c>
      <c r="R15" s="266">
        <f t="shared" si="21"/>
        <v>9443.2548000000006</v>
      </c>
      <c r="S15" s="268" t="s">
        <v>17</v>
      </c>
      <c r="T15" s="271" t="s">
        <v>17</v>
      </c>
      <c r="U15" s="266">
        <f>O15/V15</f>
        <v>209850.10666666669</v>
      </c>
      <c r="V15" s="266">
        <v>3</v>
      </c>
      <c r="W15" s="266"/>
      <c r="X15" s="272">
        <v>1.5</v>
      </c>
      <c r="Y15" s="273">
        <v>314775.16000000003</v>
      </c>
      <c r="Z15" s="273">
        <f t="shared" si="2"/>
        <v>500</v>
      </c>
      <c r="AA15" s="273">
        <f t="shared" si="18"/>
        <v>33.333333333333336</v>
      </c>
      <c r="AB15" s="274">
        <v>2248394</v>
      </c>
      <c r="AC15" s="275">
        <f>U15/AB15</f>
        <v>9.3333333333333338E-2</v>
      </c>
      <c r="AE15" s="260"/>
      <c r="AF15" s="261">
        <v>0.26400000000000001</v>
      </c>
      <c r="AG15" s="260"/>
      <c r="AH15" s="320"/>
    </row>
    <row r="16" spans="2:35" ht="17.5" customHeight="1" x14ac:dyDescent="0.35">
      <c r="B16" s="292" t="s">
        <v>92</v>
      </c>
      <c r="C16" s="293" t="s">
        <v>97</v>
      </c>
      <c r="D16" s="310" t="s">
        <v>109</v>
      </c>
      <c r="E16" s="263" t="s">
        <v>46</v>
      </c>
      <c r="F16" s="310" t="s">
        <v>100</v>
      </c>
      <c r="G16" s="263" t="s">
        <v>98</v>
      </c>
      <c r="H16" s="265" t="s">
        <v>88</v>
      </c>
      <c r="I16" s="265" t="s">
        <v>110</v>
      </c>
      <c r="J16" s="553" t="s">
        <v>96</v>
      </c>
      <c r="K16" s="263" t="s">
        <v>111</v>
      </c>
      <c r="L16" s="266">
        <f t="shared" si="12"/>
        <v>21</v>
      </c>
      <c r="M16" s="267">
        <v>45460</v>
      </c>
      <c r="N16" s="267">
        <v>45480</v>
      </c>
      <c r="O16" s="266">
        <f t="shared" si="13"/>
        <v>2620840.1458800002</v>
      </c>
      <c r="P16" s="268" t="s">
        <v>17</v>
      </c>
      <c r="Q16" s="269">
        <v>0.02</v>
      </c>
      <c r="R16" s="266">
        <f>O16*Q16</f>
        <v>52416.802917600005</v>
      </c>
      <c r="S16" s="268" t="s">
        <v>17</v>
      </c>
      <c r="T16" s="271" t="s">
        <v>17</v>
      </c>
      <c r="U16" s="266">
        <f>AB16*AC16</f>
        <v>2620840.1458800002</v>
      </c>
      <c r="V16" s="266">
        <v>1</v>
      </c>
      <c r="W16" s="266"/>
      <c r="X16" s="272">
        <v>4.5</v>
      </c>
      <c r="Y16" s="273">
        <f>R16*X16</f>
        <v>235875.61312920004</v>
      </c>
      <c r="Z16" s="273">
        <f t="shared" si="2"/>
        <v>90.000000000000014</v>
      </c>
      <c r="AA16" s="273">
        <f t="shared" si="18"/>
        <v>4.5</v>
      </c>
      <c r="AB16" s="274">
        <f>8137000*50%</f>
        <v>4068500</v>
      </c>
      <c r="AC16" s="275">
        <v>0.64417848</v>
      </c>
      <c r="AE16" s="260"/>
      <c r="AF16" s="261">
        <v>0.52800000000000002</v>
      </c>
      <c r="AG16" s="260"/>
    </row>
    <row r="17" spans="2:35" ht="18.649999999999999" customHeight="1" x14ac:dyDescent="0.35">
      <c r="B17" s="292" t="s">
        <v>92</v>
      </c>
      <c r="C17" s="293" t="s">
        <v>97</v>
      </c>
      <c r="D17" s="310" t="s">
        <v>600</v>
      </c>
      <c r="E17" s="314" t="s">
        <v>46</v>
      </c>
      <c r="F17" s="311" t="s">
        <v>565</v>
      </c>
      <c r="G17" s="263" t="s">
        <v>101</v>
      </c>
      <c r="H17" s="265" t="s">
        <v>88</v>
      </c>
      <c r="I17" s="265" t="s">
        <v>527</v>
      </c>
      <c r="J17" s="552" t="s">
        <v>566</v>
      </c>
      <c r="K17" s="263" t="s">
        <v>89</v>
      </c>
      <c r="L17" s="266">
        <f t="shared" ref="L17" si="23">N17-M17+1</f>
        <v>13</v>
      </c>
      <c r="M17" s="267">
        <v>45460</v>
      </c>
      <c r="N17" s="267">
        <v>45472</v>
      </c>
      <c r="O17" s="266">
        <f t="shared" si="13"/>
        <v>812409.28</v>
      </c>
      <c r="P17" s="268" t="s">
        <v>17</v>
      </c>
      <c r="Q17" s="315">
        <v>5.0000000000000001E-3</v>
      </c>
      <c r="R17" s="266">
        <f t="shared" ref="R17" si="24">O17*Q17</f>
        <v>4062.0464000000002</v>
      </c>
      <c r="S17" s="268" t="s">
        <v>17</v>
      </c>
      <c r="T17" s="271" t="s">
        <v>17</v>
      </c>
      <c r="U17" s="266">
        <f t="shared" ref="U17" si="25">AB17*AC17</f>
        <v>406204.64</v>
      </c>
      <c r="V17" s="266">
        <v>2</v>
      </c>
      <c r="W17" s="266"/>
      <c r="X17" s="272">
        <v>105</v>
      </c>
      <c r="Y17" s="273">
        <f t="shared" ref="Y17" si="26">O17/1000*X17</f>
        <v>85302.974400000006</v>
      </c>
      <c r="Z17" s="273">
        <f t="shared" ref="Z17" si="27">Y17/O17*1000</f>
        <v>105.00000000000001</v>
      </c>
      <c r="AA17" s="273">
        <f t="shared" ref="AA17" si="28">Y17/R17</f>
        <v>21</v>
      </c>
      <c r="AB17" s="274">
        <v>1015511.6</v>
      </c>
      <c r="AC17" s="275">
        <v>0.4</v>
      </c>
      <c r="AE17" s="260"/>
      <c r="AF17" s="261">
        <v>0.78032060075835807</v>
      </c>
      <c r="AG17" s="260"/>
    </row>
    <row r="18" spans="2:35" ht="18.649999999999999" customHeight="1" x14ac:dyDescent="0.35">
      <c r="B18" s="292" t="s">
        <v>112</v>
      </c>
      <c r="C18" s="293" t="s">
        <v>97</v>
      </c>
      <c r="D18" s="311" t="s">
        <v>116</v>
      </c>
      <c r="E18" s="263" t="s">
        <v>46</v>
      </c>
      <c r="F18" s="311" t="s">
        <v>114</v>
      </c>
      <c r="G18" s="263" t="s">
        <v>98</v>
      </c>
      <c r="H18" s="265" t="s">
        <v>88</v>
      </c>
      <c r="I18" s="265" t="s">
        <v>115</v>
      </c>
      <c r="J18" s="552" t="s">
        <v>96</v>
      </c>
      <c r="K18" s="263" t="s">
        <v>105</v>
      </c>
      <c r="L18" s="266">
        <f>N18-M18+1</f>
        <v>6</v>
      </c>
      <c r="M18" s="267">
        <v>45471</v>
      </c>
      <c r="N18" s="267">
        <v>45476</v>
      </c>
      <c r="O18" s="266">
        <f>867857/14*6</f>
        <v>371938.71428571432</v>
      </c>
      <c r="P18" s="268" t="s">
        <v>17</v>
      </c>
      <c r="Q18" s="315">
        <v>0.01</v>
      </c>
      <c r="R18" s="266">
        <f>O18*Q18</f>
        <v>3719.3871428571433</v>
      </c>
      <c r="S18" s="268" t="s">
        <v>17</v>
      </c>
      <c r="T18" s="271" t="s">
        <v>17</v>
      </c>
      <c r="U18" s="266">
        <f>O18/V18</f>
        <v>74387.742857142861</v>
      </c>
      <c r="V18" s="266">
        <v>5</v>
      </c>
      <c r="W18" s="266"/>
      <c r="X18" s="272">
        <v>260</v>
      </c>
      <c r="Y18" s="273">
        <f>(O18/1000)*X18</f>
        <v>96704.065714285724</v>
      </c>
      <c r="Z18" s="273">
        <f t="shared" ref="Z18:Z36" si="29">Y18/O18*1000</f>
        <v>260</v>
      </c>
      <c r="AA18" s="273">
        <f t="shared" ref="AA18:AA27" si="30">Y18/R18</f>
        <v>26</v>
      </c>
      <c r="AB18" s="274">
        <v>202500</v>
      </c>
      <c r="AC18" s="275">
        <f>U18/AB18</f>
        <v>0.36734687830687834</v>
      </c>
      <c r="AE18" s="260"/>
      <c r="AF18" s="261">
        <v>0.37714279506172838</v>
      </c>
      <c r="AG18" s="260"/>
    </row>
    <row r="19" spans="2:35" ht="18.649999999999999" customHeight="1" x14ac:dyDescent="0.35">
      <c r="B19" s="277" t="str">
        <f>B16</f>
        <v>Telengana - Seg A</v>
      </c>
      <c r="C19" s="278"/>
      <c r="D19" s="279" t="s">
        <v>18</v>
      </c>
      <c r="E19" s="280"/>
      <c r="F19" s="279"/>
      <c r="G19" s="280"/>
      <c r="H19" s="280"/>
      <c r="I19" s="281"/>
      <c r="J19" s="546"/>
      <c r="K19" s="283"/>
      <c r="L19" s="284"/>
      <c r="M19" s="284"/>
      <c r="N19" s="284"/>
      <c r="O19" s="284">
        <f>SUM(O8:O18)</f>
        <v>32949708.964362968</v>
      </c>
      <c r="P19" s="284"/>
      <c r="Q19" s="285">
        <f>R19/O19</f>
        <v>3.2605071864965588E-3</v>
      </c>
      <c r="R19" s="284">
        <f>SUM(R8:R18)</f>
        <v>107432.76287127554</v>
      </c>
      <c r="S19" s="286"/>
      <c r="T19" s="316">
        <f>SUM(T8:T18)</f>
        <v>21059715.577479735</v>
      </c>
      <c r="U19" s="284">
        <f>U16+(SUM(U8:U11,U12:U15,U17:U18)*10%)</f>
        <v>3660879.4195022001</v>
      </c>
      <c r="V19" s="284">
        <f>O19/U19</f>
        <v>9.0004900977709372</v>
      </c>
      <c r="W19" s="284"/>
      <c r="X19" s="287"/>
      <c r="Y19" s="317">
        <f>SUM(Y8:Y18)</f>
        <v>3779024.936388087</v>
      </c>
      <c r="Z19" s="288">
        <f t="shared" si="29"/>
        <v>114.69069242691408</v>
      </c>
      <c r="AA19" s="288">
        <f t="shared" si="30"/>
        <v>35.175721403684484</v>
      </c>
      <c r="AB19" s="284">
        <f>AB16+(SUM(AB8:AB15,AB17:AB18)*2%)</f>
        <v>4467398.2429999998</v>
      </c>
      <c r="AC19" s="289">
        <f>U19/AB19</f>
        <v>0.81946565324424792</v>
      </c>
      <c r="AD19" s="261"/>
      <c r="AE19" s="290"/>
      <c r="AF19" s="261">
        <v>0.73916175187177169</v>
      </c>
      <c r="AG19" s="290"/>
    </row>
    <row r="20" spans="2:35" ht="18.649999999999999" customHeight="1" x14ac:dyDescent="0.35">
      <c r="B20" s="292" t="s">
        <v>117</v>
      </c>
      <c r="C20" s="293" t="s">
        <v>97</v>
      </c>
      <c r="D20" s="572" t="s">
        <v>611</v>
      </c>
      <c r="E20" s="264" t="s">
        <v>45</v>
      </c>
      <c r="F20" s="263" t="s">
        <v>87</v>
      </c>
      <c r="G20" s="263" t="s">
        <v>101</v>
      </c>
      <c r="H20" s="265" t="s">
        <v>95</v>
      </c>
      <c r="I20" s="265" t="s">
        <v>608</v>
      </c>
      <c r="J20" s="552" t="s">
        <v>96</v>
      </c>
      <c r="K20" s="263" t="s">
        <v>89</v>
      </c>
      <c r="L20" s="266">
        <f t="shared" ref="L20" si="31">N20-(M20-1)</f>
        <v>21</v>
      </c>
      <c r="M20" s="267">
        <v>45460</v>
      </c>
      <c r="N20" s="267">
        <v>45480</v>
      </c>
      <c r="O20" s="266">
        <f>Y20/X20*1000</f>
        <v>5660925.7989499997</v>
      </c>
      <c r="P20" s="268" t="s">
        <v>17</v>
      </c>
      <c r="Q20" s="269">
        <v>2E-3</v>
      </c>
      <c r="R20" s="266">
        <f t="shared" ref="R20" si="32">O20*Q20</f>
        <v>11321.8515979</v>
      </c>
      <c r="S20" s="318">
        <v>0.85</v>
      </c>
      <c r="T20" s="319">
        <f t="shared" ref="T20" si="33">O20*S20</f>
        <v>4811786.9291074993</v>
      </c>
      <c r="U20" s="266">
        <f>O20/V20</f>
        <v>1802842.6111305731</v>
      </c>
      <c r="V20" s="266">
        <v>3.14</v>
      </c>
      <c r="W20" s="266"/>
      <c r="X20" s="272">
        <v>80</v>
      </c>
      <c r="Y20" s="273">
        <f>566092.579895*80%</f>
        <v>452874.06391600001</v>
      </c>
      <c r="Z20" s="273">
        <f t="shared" si="29"/>
        <v>80</v>
      </c>
      <c r="AA20" s="273">
        <f t="shared" si="30"/>
        <v>40</v>
      </c>
      <c r="AB20" s="274">
        <f>1855988*2</f>
        <v>3711976</v>
      </c>
      <c r="AC20" s="275">
        <f>U20/AB20</f>
        <v>0.48568272292993625</v>
      </c>
      <c r="AD20" s="261"/>
      <c r="AE20" s="260"/>
      <c r="AF20" s="261">
        <v>0.70400000000000007</v>
      </c>
      <c r="AG20" s="260"/>
      <c r="AH20" s="458"/>
      <c r="AI20" s="459"/>
    </row>
    <row r="21" spans="2:35" ht="18.649999999999999" customHeight="1" x14ac:dyDescent="0.35">
      <c r="B21" s="292" t="s">
        <v>117</v>
      </c>
      <c r="C21" s="293" t="s">
        <v>97</v>
      </c>
      <c r="D21" s="572" t="s">
        <v>612</v>
      </c>
      <c r="E21" s="264" t="s">
        <v>45</v>
      </c>
      <c r="F21" s="263" t="s">
        <v>87</v>
      </c>
      <c r="G21" s="263" t="s">
        <v>101</v>
      </c>
      <c r="H21" s="265" t="s">
        <v>95</v>
      </c>
      <c r="I21" s="265" t="s">
        <v>608</v>
      </c>
      <c r="J21" s="552" t="s">
        <v>96</v>
      </c>
      <c r="K21" s="263" t="s">
        <v>89</v>
      </c>
      <c r="L21" s="266">
        <f t="shared" ref="L21" si="34">N21-(M21-1)</f>
        <v>21</v>
      </c>
      <c r="M21" s="267">
        <v>45460</v>
      </c>
      <c r="N21" s="267">
        <v>45480</v>
      </c>
      <c r="O21" s="266">
        <f>Y21/X21*1000</f>
        <v>2358719.0828958331</v>
      </c>
      <c r="P21" s="268" t="s">
        <v>17</v>
      </c>
      <c r="Q21" s="269">
        <v>2E-3</v>
      </c>
      <c r="R21" s="266">
        <f t="shared" ref="R21" si="35">O21*Q21</f>
        <v>4717.4381657916665</v>
      </c>
      <c r="S21" s="318">
        <v>0.85</v>
      </c>
      <c r="T21" s="319">
        <f t="shared" ref="T21" si="36">O21*S21</f>
        <v>2004911.220461458</v>
      </c>
      <c r="U21" s="266">
        <f>O21/V21</f>
        <v>751184.42130440543</v>
      </c>
      <c r="V21" s="266">
        <v>3.14</v>
      </c>
      <c r="W21" s="266"/>
      <c r="X21" s="272">
        <f>80*60%</f>
        <v>48</v>
      </c>
      <c r="Y21" s="273">
        <f>566092.579895*20%</f>
        <v>113218.515979</v>
      </c>
      <c r="Z21" s="273">
        <f t="shared" ref="Z21" si="37">Y21/O21*1000</f>
        <v>48.000000000000007</v>
      </c>
      <c r="AA21" s="273">
        <f t="shared" ref="AA21" si="38">Y21/R21</f>
        <v>24</v>
      </c>
      <c r="AB21" s="274">
        <f>1855988*2</f>
        <v>3711976</v>
      </c>
      <c r="AC21" s="275">
        <f>U21/AB21</f>
        <v>0.20236780122080678</v>
      </c>
      <c r="AD21" s="261"/>
      <c r="AE21" s="260"/>
      <c r="AF21" s="261">
        <v>0.70400000000000007</v>
      </c>
      <c r="AG21" s="260"/>
      <c r="AH21" s="458"/>
      <c r="AI21" s="459"/>
    </row>
    <row r="22" spans="2:35" ht="19.5" customHeight="1" x14ac:dyDescent="0.35">
      <c r="B22" s="292" t="s">
        <v>117</v>
      </c>
      <c r="C22" s="293" t="s">
        <v>97</v>
      </c>
      <c r="D22" s="263" t="s">
        <v>86</v>
      </c>
      <c r="E22" s="263" t="s">
        <v>45</v>
      </c>
      <c r="F22" s="263" t="s">
        <v>87</v>
      </c>
      <c r="G22" s="263" t="s">
        <v>101</v>
      </c>
      <c r="H22" s="265" t="s">
        <v>95</v>
      </c>
      <c r="I22" s="265" t="s">
        <v>610</v>
      </c>
      <c r="J22" s="552" t="s">
        <v>96</v>
      </c>
      <c r="K22" s="263" t="s">
        <v>89</v>
      </c>
      <c r="L22" s="266">
        <f t="shared" ref="L22" si="39">N22-(M22-1)</f>
        <v>21</v>
      </c>
      <c r="M22" s="267">
        <v>45460</v>
      </c>
      <c r="N22" s="267">
        <v>45480</v>
      </c>
      <c r="O22" s="266">
        <f>Y22/X22*1000</f>
        <v>29616306.923774995</v>
      </c>
      <c r="P22" s="268" t="s">
        <v>17</v>
      </c>
      <c r="Q22" s="269">
        <v>1E-3</v>
      </c>
      <c r="R22" s="266">
        <f t="shared" ref="R22" si="40">O22*Q22</f>
        <v>29616.306923774995</v>
      </c>
      <c r="S22" s="318">
        <v>0.8</v>
      </c>
      <c r="T22" s="319">
        <f t="shared" ref="T22" si="41">O22*S22</f>
        <v>23693045.539019998</v>
      </c>
      <c r="U22" s="266">
        <f>O22/V22</f>
        <v>7258898.7558272043</v>
      </c>
      <c r="V22" s="266">
        <f>3*136%</f>
        <v>4.08</v>
      </c>
      <c r="W22" s="266"/>
      <c r="X22" s="272">
        <v>80</v>
      </c>
      <c r="Y22" s="273">
        <v>2369304.5539019997</v>
      </c>
      <c r="Z22" s="273">
        <f t="shared" si="29"/>
        <v>80</v>
      </c>
      <c r="AA22" s="273">
        <f t="shared" si="30"/>
        <v>80</v>
      </c>
      <c r="AB22" s="274">
        <f>5884840*2</f>
        <v>11769680</v>
      </c>
      <c r="AC22" s="275">
        <f>U22/AB22</f>
        <v>0.61674563419117634</v>
      </c>
      <c r="AF22" s="261">
        <v>0.70400000000000007</v>
      </c>
      <c r="AH22" s="458"/>
      <c r="AI22" s="459"/>
    </row>
    <row r="23" spans="2:35" ht="18.649999999999999" customHeight="1" x14ac:dyDescent="0.35">
      <c r="B23" s="292" t="s">
        <v>117</v>
      </c>
      <c r="C23" s="293" t="s">
        <v>97</v>
      </c>
      <c r="D23" s="263" t="s">
        <v>99</v>
      </c>
      <c r="E23" s="263" t="s">
        <v>46</v>
      </c>
      <c r="F23" s="263" t="s">
        <v>100</v>
      </c>
      <c r="G23" s="263" t="s">
        <v>101</v>
      </c>
      <c r="H23" s="265" t="s">
        <v>88</v>
      </c>
      <c r="I23" s="265" t="s">
        <v>102</v>
      </c>
      <c r="J23" s="553" t="s">
        <v>96</v>
      </c>
      <c r="K23" s="263" t="s">
        <v>89</v>
      </c>
      <c r="L23" s="266">
        <f t="shared" ref="L23:L26" si="42">N23-(M23-1)</f>
        <v>21</v>
      </c>
      <c r="M23" s="267">
        <v>45460</v>
      </c>
      <c r="N23" s="267">
        <v>45480</v>
      </c>
      <c r="O23" s="266">
        <f t="shared" ref="O23:O25" si="43">U23*V23</f>
        <v>3061141.4836413837</v>
      </c>
      <c r="P23" s="268" t="s">
        <v>17</v>
      </c>
      <c r="Q23" s="269">
        <v>1.4999999999999999E-2</v>
      </c>
      <c r="R23" s="266">
        <f>O23*Q23</f>
        <v>45917.122254620757</v>
      </c>
      <c r="S23" s="268" t="s">
        <v>17</v>
      </c>
      <c r="T23" s="271" t="s">
        <v>17</v>
      </c>
      <c r="U23" s="266">
        <f>AB23*AC23</f>
        <v>3601342.92193104</v>
      </c>
      <c r="V23" s="266">
        <v>0.85</v>
      </c>
      <c r="W23" s="266"/>
      <c r="X23" s="272">
        <v>105</v>
      </c>
      <c r="Y23" s="273">
        <f>(O23/1000)*X23</f>
        <v>321419.85578234529</v>
      </c>
      <c r="Z23" s="273">
        <f t="shared" si="29"/>
        <v>105</v>
      </c>
      <c r="AA23" s="273">
        <f t="shared" si="30"/>
        <v>7</v>
      </c>
      <c r="AB23" s="274">
        <f>AB22*95%</f>
        <v>11181196</v>
      </c>
      <c r="AC23" s="275">
        <v>0.32208924</v>
      </c>
      <c r="AE23" s="260"/>
      <c r="AF23" s="261">
        <v>0.26400000000000001</v>
      </c>
      <c r="AG23" s="260"/>
    </row>
    <row r="24" spans="2:35" ht="18.649999999999999" customHeight="1" x14ac:dyDescent="0.35">
      <c r="B24" s="292" t="s">
        <v>117</v>
      </c>
      <c r="C24" s="293" t="s">
        <v>97</v>
      </c>
      <c r="D24" s="310" t="s">
        <v>103</v>
      </c>
      <c r="E24" s="263" t="s">
        <v>46</v>
      </c>
      <c r="F24" s="310" t="s">
        <v>100</v>
      </c>
      <c r="G24" s="263" t="s">
        <v>98</v>
      </c>
      <c r="H24" s="265" t="s">
        <v>88</v>
      </c>
      <c r="I24" s="265" t="s">
        <v>104</v>
      </c>
      <c r="J24" s="553" t="s">
        <v>96</v>
      </c>
      <c r="K24" s="263" t="s">
        <v>105</v>
      </c>
      <c r="L24" s="266">
        <f t="shared" si="42"/>
        <v>21</v>
      </c>
      <c r="M24" s="267">
        <v>45460</v>
      </c>
      <c r="N24" s="267">
        <v>45480</v>
      </c>
      <c r="O24" s="266">
        <f t="shared" si="43"/>
        <v>3036273.4646070749</v>
      </c>
      <c r="P24" s="268" t="s">
        <v>17</v>
      </c>
      <c r="Q24" s="269">
        <v>1.4999999999999999E-2</v>
      </c>
      <c r="R24" s="266">
        <f>O24*Q24</f>
        <v>45544.101969106123</v>
      </c>
      <c r="S24" s="268" t="s">
        <v>17</v>
      </c>
      <c r="T24" s="271" t="s">
        <v>17</v>
      </c>
      <c r="U24" s="266">
        <f>AB24*AC24</f>
        <v>3572086.4289495</v>
      </c>
      <c r="V24" s="266">
        <v>0.85</v>
      </c>
      <c r="W24" s="266"/>
      <c r="X24" s="272">
        <v>120</v>
      </c>
      <c r="Y24" s="273">
        <f>(O24/1000)*X24</f>
        <v>364352.81575284898</v>
      </c>
      <c r="Z24" s="273">
        <f t="shared" si="29"/>
        <v>120</v>
      </c>
      <c r="AA24" s="273">
        <f t="shared" si="30"/>
        <v>8</v>
      </c>
      <c r="AB24" s="274">
        <f>4182651*2</f>
        <v>8365302</v>
      </c>
      <c r="AC24" s="275">
        <v>0.42701224999999998</v>
      </c>
      <c r="AE24" s="260"/>
      <c r="AF24" s="261">
        <v>0.44</v>
      </c>
      <c r="AG24" s="260"/>
      <c r="AH24" s="320"/>
      <c r="AI24" s="459"/>
    </row>
    <row r="25" spans="2:35" ht="18.649999999999999" customHeight="1" x14ac:dyDescent="0.35">
      <c r="B25" s="292" t="s">
        <v>117</v>
      </c>
      <c r="C25" s="293" t="s">
        <v>97</v>
      </c>
      <c r="D25" s="310" t="s">
        <v>106</v>
      </c>
      <c r="E25" s="311" t="s">
        <v>46</v>
      </c>
      <c r="F25" s="311" t="s">
        <v>91</v>
      </c>
      <c r="G25" s="263" t="s">
        <v>98</v>
      </c>
      <c r="H25" s="310" t="s">
        <v>88</v>
      </c>
      <c r="I25" s="263" t="s">
        <v>107</v>
      </c>
      <c r="J25" s="553" t="s">
        <v>96</v>
      </c>
      <c r="K25" s="263" t="s">
        <v>89</v>
      </c>
      <c r="L25" s="266">
        <f t="shared" si="42"/>
        <v>21</v>
      </c>
      <c r="M25" s="267">
        <v>45460</v>
      </c>
      <c r="N25" s="267">
        <v>45480</v>
      </c>
      <c r="O25" s="266">
        <f t="shared" si="43"/>
        <v>1656648.9249034242</v>
      </c>
      <c r="P25" s="268" t="s">
        <v>17</v>
      </c>
      <c r="Q25" s="312">
        <v>0.01</v>
      </c>
      <c r="R25" s="266">
        <f t="shared" ref="R25:R26" si="44">O25*Q25</f>
        <v>16566.489249034243</v>
      </c>
      <c r="S25" s="268" t="s">
        <v>17</v>
      </c>
      <c r="T25" s="271" t="s">
        <v>17</v>
      </c>
      <c r="U25" s="266">
        <f>AB25*AC25</f>
        <v>1948998.7351804993</v>
      </c>
      <c r="V25" s="266">
        <v>0.85</v>
      </c>
      <c r="W25" s="266"/>
      <c r="X25" s="272">
        <v>200</v>
      </c>
      <c r="Y25" s="273">
        <f>O25*X25/1000</f>
        <v>331329.78498068481</v>
      </c>
      <c r="Z25" s="273">
        <f t="shared" si="29"/>
        <v>199.99999999999997</v>
      </c>
      <c r="AA25" s="273">
        <f t="shared" si="30"/>
        <v>19.999999999999996</v>
      </c>
      <c r="AB25" s="274">
        <f>6876266*1.2</f>
        <v>8251519.1999999993</v>
      </c>
      <c r="AC25" s="275">
        <v>0.23619877600000003</v>
      </c>
      <c r="AE25" s="260"/>
      <c r="AF25" s="261">
        <v>0.17600000000000002</v>
      </c>
      <c r="AG25" s="260"/>
      <c r="AH25" s="562"/>
    </row>
    <row r="26" spans="2:35" ht="18.649999999999999" customHeight="1" x14ac:dyDescent="0.35">
      <c r="B26" s="292" t="s">
        <v>117</v>
      </c>
      <c r="C26" s="293" t="s">
        <v>97</v>
      </c>
      <c r="D26" s="314" t="s">
        <v>526</v>
      </c>
      <c r="E26" s="263" t="s">
        <v>46</v>
      </c>
      <c r="F26" s="310" t="s">
        <v>91</v>
      </c>
      <c r="G26" s="263" t="s">
        <v>101</v>
      </c>
      <c r="H26" s="265" t="s">
        <v>88</v>
      </c>
      <c r="I26" s="265" t="s">
        <v>527</v>
      </c>
      <c r="J26" s="552" t="s">
        <v>96</v>
      </c>
      <c r="K26" s="263" t="s">
        <v>89</v>
      </c>
      <c r="L26" s="266">
        <f t="shared" si="42"/>
        <v>21</v>
      </c>
      <c r="M26" s="267">
        <v>45460</v>
      </c>
      <c r="N26" s="267">
        <v>45480</v>
      </c>
      <c r="O26" s="266">
        <f>U26*V26</f>
        <v>3111089.25</v>
      </c>
      <c r="P26" s="268" t="s">
        <v>17</v>
      </c>
      <c r="Q26" s="315">
        <v>4.0000000000000001E-3</v>
      </c>
      <c r="R26" s="266">
        <f t="shared" si="44"/>
        <v>12444.357</v>
      </c>
      <c r="S26" s="268" t="s">
        <v>17</v>
      </c>
      <c r="T26" s="271" t="s">
        <v>17</v>
      </c>
      <c r="U26" s="266">
        <f>AB26*AC26</f>
        <v>3111089.25</v>
      </c>
      <c r="V26" s="266">
        <v>1</v>
      </c>
      <c r="W26" s="266"/>
      <c r="X26" s="272">
        <v>100</v>
      </c>
      <c r="Y26" s="273">
        <f>O26*X26/1000</f>
        <v>311108.92499999999</v>
      </c>
      <c r="Z26" s="273">
        <f t="shared" si="29"/>
        <v>99.999999999999986</v>
      </c>
      <c r="AA26" s="273">
        <f t="shared" si="30"/>
        <v>25</v>
      </c>
      <c r="AB26" s="274">
        <f>5000000*1.7</f>
        <v>8500000</v>
      </c>
      <c r="AC26" s="275">
        <v>0.36601050000000002</v>
      </c>
      <c r="AE26" s="260"/>
      <c r="AF26" s="261">
        <v>0.31798319327731073</v>
      </c>
      <c r="AG26" s="260"/>
    </row>
    <row r="27" spans="2:35" ht="18.649999999999999" customHeight="1" x14ac:dyDescent="0.35">
      <c r="B27" s="277" t="str">
        <f>B26</f>
        <v>Telengana - Seg B</v>
      </c>
      <c r="C27" s="278"/>
      <c r="D27" s="279" t="s">
        <v>18</v>
      </c>
      <c r="E27" s="280"/>
      <c r="F27" s="279"/>
      <c r="G27" s="280"/>
      <c r="H27" s="280"/>
      <c r="I27" s="281"/>
      <c r="J27" s="546"/>
      <c r="K27" s="283"/>
      <c r="L27" s="284"/>
      <c r="M27" s="284"/>
      <c r="N27" s="284"/>
      <c r="O27" s="284">
        <f>SUM(O20:O26)</f>
        <v>48501104.92877271</v>
      </c>
      <c r="P27" s="284"/>
      <c r="Q27" s="285">
        <f>R27/O27</f>
        <v>3.4252346911312218E-3</v>
      </c>
      <c r="R27" s="284">
        <f>SUM(R20:R26)</f>
        <v>166127.66716022778</v>
      </c>
      <c r="S27" s="286"/>
      <c r="T27" s="316">
        <f>SUM(T20:T26)</f>
        <v>30509743.688588955</v>
      </c>
      <c r="U27" s="284">
        <f>U22+(SUM(U20,U23:U26)*15%)</f>
        <v>9364352.7479059473</v>
      </c>
      <c r="V27" s="284">
        <f>O27/U27</f>
        <v>5.1793333970272002</v>
      </c>
      <c r="W27" s="284"/>
      <c r="X27" s="287"/>
      <c r="Y27" s="317">
        <f>SUM(Y20:Y26)</f>
        <v>4263608.5153128793</v>
      </c>
      <c r="Z27" s="288">
        <f t="shared" si="29"/>
        <v>87.907451213210265</v>
      </c>
      <c r="AA27" s="288">
        <f t="shared" si="30"/>
        <v>25.664650495577533</v>
      </c>
      <c r="AB27" s="284">
        <f>AB22+(SUM(AB20,AB23:AB26)*15%)</f>
        <v>17771178.98</v>
      </c>
      <c r="AC27" s="289">
        <f>U27/AB27</f>
        <v>0.52694043307114036</v>
      </c>
      <c r="AD27" s="261"/>
      <c r="AE27" s="290"/>
      <c r="AF27" s="261">
        <v>0.76430692665383249</v>
      </c>
      <c r="AG27" s="290"/>
    </row>
    <row r="28" spans="2:35" ht="18.649999999999999" customHeight="1" x14ac:dyDescent="0.35">
      <c r="B28" s="292" t="s">
        <v>118</v>
      </c>
      <c r="C28" s="293" t="s">
        <v>93</v>
      </c>
      <c r="D28" s="294" t="s">
        <v>94</v>
      </c>
      <c r="E28" s="294" t="s">
        <v>45</v>
      </c>
      <c r="F28" s="295" t="s">
        <v>87</v>
      </c>
      <c r="G28" s="295" t="s">
        <v>50</v>
      </c>
      <c r="H28" s="296" t="s">
        <v>95</v>
      </c>
      <c r="I28" s="296" t="s">
        <v>608</v>
      </c>
      <c r="J28" s="551" t="s">
        <v>96</v>
      </c>
      <c r="K28" s="295" t="s">
        <v>89</v>
      </c>
      <c r="L28" s="298">
        <f t="shared" ref="L28:L36" si="45">N28-(M28-1)</f>
        <v>21</v>
      </c>
      <c r="M28" s="299">
        <v>45460</v>
      </c>
      <c r="N28" s="299">
        <v>45480</v>
      </c>
      <c r="O28" s="298">
        <f t="shared" ref="O28:O37" si="46">U28*V28</f>
        <v>2443015.1059283204</v>
      </c>
      <c r="P28" s="300" t="s">
        <v>17</v>
      </c>
      <c r="Q28" s="301"/>
      <c r="R28" s="298"/>
      <c r="S28" s="302">
        <v>0.85</v>
      </c>
      <c r="T28" s="303">
        <f t="shared" ref="T28:T29" si="47">O28*S28</f>
        <v>2076562.8400390723</v>
      </c>
      <c r="U28" s="298">
        <f>AB28*AC28</f>
        <v>359266.92734240001</v>
      </c>
      <c r="V28" s="298">
        <f>5*136%</f>
        <v>6.8000000000000007</v>
      </c>
      <c r="W28" s="298"/>
      <c r="X28" s="304">
        <v>125</v>
      </c>
      <c r="Y28" s="305">
        <f t="shared" ref="Y28:Y33" si="48">(O28/1000)*X28</f>
        <v>305376.88824104005</v>
      </c>
      <c r="Z28" s="305">
        <f t="shared" si="29"/>
        <v>125</v>
      </c>
      <c r="AA28" s="305"/>
      <c r="AB28" s="306">
        <v>418285</v>
      </c>
      <c r="AC28" s="307">
        <v>0.85890464</v>
      </c>
      <c r="AD28" s="261"/>
      <c r="AE28" s="260"/>
      <c r="AF28" s="261">
        <v>0.70400000000000007</v>
      </c>
      <c r="AG28" s="260"/>
      <c r="AH28" s="458"/>
    </row>
    <row r="29" spans="2:35" ht="18.649999999999999" customHeight="1" x14ac:dyDescent="0.35">
      <c r="B29" s="292" t="s">
        <v>118</v>
      </c>
      <c r="C29" s="293" t="s">
        <v>93</v>
      </c>
      <c r="D29" s="295" t="s">
        <v>86</v>
      </c>
      <c r="E29" s="295" t="s">
        <v>45</v>
      </c>
      <c r="F29" s="295" t="s">
        <v>87</v>
      </c>
      <c r="G29" s="296" t="s">
        <v>50</v>
      </c>
      <c r="H29" s="296" t="s">
        <v>95</v>
      </c>
      <c r="I29" s="296" t="s">
        <v>610</v>
      </c>
      <c r="J29" s="551" t="s">
        <v>96</v>
      </c>
      <c r="K29" s="295" t="s">
        <v>89</v>
      </c>
      <c r="L29" s="298">
        <f t="shared" si="45"/>
        <v>21</v>
      </c>
      <c r="M29" s="299">
        <v>45460</v>
      </c>
      <c r="N29" s="299">
        <v>45480</v>
      </c>
      <c r="O29" s="298">
        <f>Y29/X29*1000</f>
        <v>12984442.093800001</v>
      </c>
      <c r="P29" s="300" t="s">
        <v>17</v>
      </c>
      <c r="Q29" s="301"/>
      <c r="R29" s="298"/>
      <c r="S29" s="302">
        <v>0.8</v>
      </c>
      <c r="T29" s="303">
        <f t="shared" si="47"/>
        <v>10387553.675040001</v>
      </c>
      <c r="U29" s="298">
        <f>O29/V29</f>
        <v>1564390.6137108433</v>
      </c>
      <c r="V29" s="298">
        <v>8.3000000000000007</v>
      </c>
      <c r="W29" s="298"/>
      <c r="X29" s="304">
        <v>110</v>
      </c>
      <c r="Y29" s="305">
        <f>1428288.630318</f>
        <v>1428288.630318</v>
      </c>
      <c r="Z29" s="305">
        <f t="shared" si="29"/>
        <v>109.99999999999999</v>
      </c>
      <c r="AA29" s="305"/>
      <c r="AB29" s="306">
        <v>1739000</v>
      </c>
      <c r="AC29" s="307">
        <f>U29/AB29</f>
        <v>0.89959207228915661</v>
      </c>
      <c r="AF29" s="261">
        <v>0.748</v>
      </c>
      <c r="AH29" s="458"/>
    </row>
    <row r="30" spans="2:35" ht="18.649999999999999" customHeight="1" x14ac:dyDescent="0.35">
      <c r="B30" s="292" t="s">
        <v>118</v>
      </c>
      <c r="C30" s="293" t="s">
        <v>97</v>
      </c>
      <c r="D30" s="264" t="s">
        <v>561</v>
      </c>
      <c r="E30" s="264" t="s">
        <v>45</v>
      </c>
      <c r="F30" s="263" t="s">
        <v>87</v>
      </c>
      <c r="G30" s="263" t="s">
        <v>98</v>
      </c>
      <c r="H30" s="265" t="s">
        <v>90</v>
      </c>
      <c r="I30" s="265" t="s">
        <v>609</v>
      </c>
      <c r="J30" s="552" t="s">
        <v>96</v>
      </c>
      <c r="K30" s="263" t="s">
        <v>89</v>
      </c>
      <c r="L30" s="266">
        <f t="shared" si="45"/>
        <v>21</v>
      </c>
      <c r="M30" s="267">
        <v>45460</v>
      </c>
      <c r="N30" s="267">
        <v>45480</v>
      </c>
      <c r="O30" s="266">
        <f t="shared" si="46"/>
        <v>2975601.3131625</v>
      </c>
      <c r="P30" s="268" t="s">
        <v>17</v>
      </c>
      <c r="Q30" s="269">
        <v>1E-3</v>
      </c>
      <c r="R30" s="266">
        <f t="shared" ref="R30" si="49">O30*Q30</f>
        <v>2975.6013131625</v>
      </c>
      <c r="S30" s="270">
        <v>0.7</v>
      </c>
      <c r="T30" s="271">
        <f>O30*S30</f>
        <v>2082920.9192137499</v>
      </c>
      <c r="U30" s="266">
        <f t="shared" ref="U30" si="50">AB30*AC30</f>
        <v>1983734.2087749999</v>
      </c>
      <c r="V30" s="266">
        <v>1.5</v>
      </c>
      <c r="W30" s="266"/>
      <c r="X30" s="272">
        <v>70</v>
      </c>
      <c r="Y30" s="273">
        <f t="shared" si="48"/>
        <v>208292.09192137499</v>
      </c>
      <c r="Z30" s="273">
        <f t="shared" si="29"/>
        <v>69.999999999999986</v>
      </c>
      <c r="AA30" s="273">
        <f t="shared" ref="AA30:AA36" si="51">Y30/R30</f>
        <v>70</v>
      </c>
      <c r="AB30" s="274">
        <f>3825800*85%</f>
        <v>3251930</v>
      </c>
      <c r="AC30" s="275">
        <v>0.61001749999999999</v>
      </c>
      <c r="AE30" s="260"/>
      <c r="AF30" s="261">
        <v>0.61599999999999999</v>
      </c>
      <c r="AG30" s="260"/>
      <c r="AH30" s="291"/>
    </row>
    <row r="31" spans="2:35" ht="18.649999999999999" customHeight="1" x14ac:dyDescent="0.35">
      <c r="B31" s="292" t="s">
        <v>118</v>
      </c>
      <c r="C31" s="293" t="s">
        <v>97</v>
      </c>
      <c r="D31" s="264" t="s">
        <v>86</v>
      </c>
      <c r="E31" s="264" t="s">
        <v>45</v>
      </c>
      <c r="F31" s="263" t="s">
        <v>87</v>
      </c>
      <c r="G31" s="263" t="s">
        <v>98</v>
      </c>
      <c r="H31" s="265" t="s">
        <v>90</v>
      </c>
      <c r="I31" s="265" t="s">
        <v>610</v>
      </c>
      <c r="J31" s="552" t="s">
        <v>96</v>
      </c>
      <c r="K31" s="263" t="s">
        <v>89</v>
      </c>
      <c r="L31" s="266">
        <f t="shared" ref="L31" si="52">N31-(M31-1)</f>
        <v>21</v>
      </c>
      <c r="M31" s="267">
        <v>45460</v>
      </c>
      <c r="N31" s="267">
        <v>45480</v>
      </c>
      <c r="O31" s="266">
        <f>Y31/X31*1000</f>
        <v>5615718.1645468753</v>
      </c>
      <c r="P31" s="268" t="s">
        <v>17</v>
      </c>
      <c r="Q31" s="269">
        <v>1E-3</v>
      </c>
      <c r="R31" s="266">
        <f t="shared" ref="R31" si="53">O31*Q31</f>
        <v>5615.7181645468754</v>
      </c>
      <c r="S31" s="270">
        <v>0.8</v>
      </c>
      <c r="T31" s="271">
        <f>O31*S31</f>
        <v>4492574.5316375</v>
      </c>
      <c r="U31" s="266">
        <f>O31/V31</f>
        <v>2359545.4472886026</v>
      </c>
      <c r="V31" s="266">
        <f>1.75*136%</f>
        <v>2.3800000000000003</v>
      </c>
      <c r="W31" s="266"/>
      <c r="X31" s="272">
        <v>80</v>
      </c>
      <c r="Y31" s="273">
        <v>449257.45316375</v>
      </c>
      <c r="Z31" s="273">
        <f t="shared" si="29"/>
        <v>80</v>
      </c>
      <c r="AA31" s="273">
        <f t="shared" si="51"/>
        <v>80</v>
      </c>
      <c r="AB31" s="274">
        <v>3825800</v>
      </c>
      <c r="AC31" s="275">
        <f>U31/AB31</f>
        <v>0.61674563419117634</v>
      </c>
      <c r="AE31" s="260"/>
      <c r="AF31" s="261">
        <v>0.61599999999999999</v>
      </c>
      <c r="AG31" s="260"/>
      <c r="AH31" s="458"/>
      <c r="AI31" s="459"/>
    </row>
    <row r="32" spans="2:35" ht="18.649999999999999" customHeight="1" x14ac:dyDescent="0.35">
      <c r="B32" s="292" t="s">
        <v>118</v>
      </c>
      <c r="C32" s="293" t="s">
        <v>97</v>
      </c>
      <c r="D32" s="263" t="s">
        <v>99</v>
      </c>
      <c r="E32" s="263" t="s">
        <v>46</v>
      </c>
      <c r="F32" s="263" t="s">
        <v>100</v>
      </c>
      <c r="G32" s="263" t="s">
        <v>101</v>
      </c>
      <c r="H32" s="265" t="s">
        <v>88</v>
      </c>
      <c r="I32" s="265" t="s">
        <v>102</v>
      </c>
      <c r="J32" s="553" t="s">
        <v>96</v>
      </c>
      <c r="K32" s="263" t="s">
        <v>89</v>
      </c>
      <c r="L32" s="266">
        <f t="shared" si="45"/>
        <v>21</v>
      </c>
      <c r="M32" s="267">
        <v>45460</v>
      </c>
      <c r="N32" s="267">
        <v>45480</v>
      </c>
      <c r="O32" s="266">
        <f t="shared" si="46"/>
        <v>845784.91725330893</v>
      </c>
      <c r="P32" s="268" t="s">
        <v>17</v>
      </c>
      <c r="Q32" s="269">
        <v>1.4999999999999999E-2</v>
      </c>
      <c r="R32" s="266">
        <f>O32*Q32</f>
        <v>12686.773758799634</v>
      </c>
      <c r="S32" s="268" t="s">
        <v>17</v>
      </c>
      <c r="T32" s="271" t="s">
        <v>17</v>
      </c>
      <c r="U32" s="266">
        <f>AB32*AC32</f>
        <v>995041.07912153995</v>
      </c>
      <c r="V32" s="266">
        <v>0.85</v>
      </c>
      <c r="W32" s="266"/>
      <c r="X32" s="272">
        <v>105</v>
      </c>
      <c r="Y32" s="273">
        <f t="shared" si="48"/>
        <v>88807.416311597437</v>
      </c>
      <c r="Z32" s="273">
        <f t="shared" si="29"/>
        <v>105</v>
      </c>
      <c r="AA32" s="273">
        <f t="shared" si="51"/>
        <v>7</v>
      </c>
      <c r="AB32" s="274">
        <f>AB30*95%</f>
        <v>3089333.5</v>
      </c>
      <c r="AC32" s="275">
        <v>0.32208924</v>
      </c>
      <c r="AE32" s="260"/>
      <c r="AF32" s="261">
        <v>0.26400000000000001</v>
      </c>
      <c r="AG32" s="260"/>
      <c r="AH32" s="291"/>
      <c r="AI32" s="459"/>
    </row>
    <row r="33" spans="2:35" ht="18.649999999999999" customHeight="1" x14ac:dyDescent="0.35">
      <c r="B33" s="292" t="s">
        <v>118</v>
      </c>
      <c r="C33" s="293" t="s">
        <v>97</v>
      </c>
      <c r="D33" s="310" t="s">
        <v>103</v>
      </c>
      <c r="E33" s="263" t="s">
        <v>46</v>
      </c>
      <c r="F33" s="310" t="s">
        <v>100</v>
      </c>
      <c r="G33" s="263" t="s">
        <v>98</v>
      </c>
      <c r="H33" s="265" t="s">
        <v>88</v>
      </c>
      <c r="I33" s="265" t="s">
        <v>104</v>
      </c>
      <c r="J33" s="553" t="s">
        <v>96</v>
      </c>
      <c r="K33" s="263" t="s">
        <v>105</v>
      </c>
      <c r="L33" s="266">
        <f t="shared" si="45"/>
        <v>21</v>
      </c>
      <c r="M33" s="267">
        <v>45460</v>
      </c>
      <c r="N33" s="267">
        <v>45480</v>
      </c>
      <c r="O33" s="266">
        <f t="shared" si="46"/>
        <v>785456.9933158299</v>
      </c>
      <c r="P33" s="268" t="s">
        <v>17</v>
      </c>
      <c r="Q33" s="269">
        <v>1.4999999999999999E-2</v>
      </c>
      <c r="R33" s="266">
        <f>O33*Q33</f>
        <v>11781.854899737447</v>
      </c>
      <c r="S33" s="268" t="s">
        <v>17</v>
      </c>
      <c r="T33" s="271" t="s">
        <v>17</v>
      </c>
      <c r="U33" s="266">
        <f>AB33*AC33</f>
        <v>924067.0509597999</v>
      </c>
      <c r="V33" s="266">
        <v>0.85</v>
      </c>
      <c r="W33" s="266"/>
      <c r="X33" s="272">
        <v>120</v>
      </c>
      <c r="Y33" s="273">
        <f t="shared" si="48"/>
        <v>94254.839197899593</v>
      </c>
      <c r="Z33" s="273">
        <f t="shared" si="29"/>
        <v>120.00000000000001</v>
      </c>
      <c r="AA33" s="273">
        <f t="shared" si="51"/>
        <v>8.0000000000000018</v>
      </c>
      <c r="AB33" s="274">
        <v>1721387</v>
      </c>
      <c r="AC33" s="275">
        <v>0.53681539999999994</v>
      </c>
      <c r="AE33" s="260"/>
      <c r="AF33" s="261">
        <v>0.44</v>
      </c>
      <c r="AG33" s="260"/>
      <c r="AH33" s="320"/>
    </row>
    <row r="34" spans="2:35" ht="18.649999999999999" customHeight="1" x14ac:dyDescent="0.35">
      <c r="B34" s="292" t="s">
        <v>118</v>
      </c>
      <c r="C34" s="293" t="s">
        <v>97</v>
      </c>
      <c r="D34" s="310" t="s">
        <v>106</v>
      </c>
      <c r="E34" s="311" t="s">
        <v>46</v>
      </c>
      <c r="F34" s="311" t="s">
        <v>91</v>
      </c>
      <c r="G34" s="263" t="s">
        <v>98</v>
      </c>
      <c r="H34" s="310" t="s">
        <v>88</v>
      </c>
      <c r="I34" s="263" t="s">
        <v>107</v>
      </c>
      <c r="J34" s="553" t="s">
        <v>96</v>
      </c>
      <c r="K34" s="263" t="s">
        <v>89</v>
      </c>
      <c r="L34" s="266">
        <f t="shared" si="45"/>
        <v>21</v>
      </c>
      <c r="M34" s="267">
        <v>45460</v>
      </c>
      <c r="N34" s="267">
        <v>45480</v>
      </c>
      <c r="O34" s="266">
        <f t="shared" si="46"/>
        <v>624490.44345308293</v>
      </c>
      <c r="P34" s="268" t="s">
        <v>17</v>
      </c>
      <c r="Q34" s="312">
        <v>0.01</v>
      </c>
      <c r="R34" s="266">
        <f t="shared" ref="R34:R35" si="54">O34*Q34</f>
        <v>6244.9044345308293</v>
      </c>
      <c r="S34" s="268" t="s">
        <v>17</v>
      </c>
      <c r="T34" s="271" t="s">
        <v>17</v>
      </c>
      <c r="U34" s="266">
        <f t="shared" ref="U34" si="55">AB34*AC34</f>
        <v>734694.63935656811</v>
      </c>
      <c r="V34" s="266">
        <v>0.85</v>
      </c>
      <c r="W34" s="266"/>
      <c r="X34" s="272">
        <v>200</v>
      </c>
      <c r="Y34" s="273">
        <f>O34*X34/1000</f>
        <v>124898.0886906166</v>
      </c>
      <c r="Z34" s="273">
        <f t="shared" si="29"/>
        <v>200</v>
      </c>
      <c r="AA34" s="273">
        <f t="shared" si="51"/>
        <v>20</v>
      </c>
      <c r="AB34" s="274">
        <v>2073662</v>
      </c>
      <c r="AC34" s="275">
        <v>0.35429816400000003</v>
      </c>
      <c r="AE34" s="260"/>
      <c r="AF34" s="261">
        <v>0.26400000000000001</v>
      </c>
      <c r="AG34" s="260"/>
      <c r="AH34" s="562"/>
    </row>
    <row r="35" spans="2:35" ht="18.649999999999999" customHeight="1" x14ac:dyDescent="0.35">
      <c r="B35" s="292" t="s">
        <v>118</v>
      </c>
      <c r="C35" s="293" t="s">
        <v>97</v>
      </c>
      <c r="D35" s="310" t="s">
        <v>588</v>
      </c>
      <c r="E35" s="263" t="s">
        <v>46</v>
      </c>
      <c r="F35" s="310" t="s">
        <v>589</v>
      </c>
      <c r="G35" s="263" t="s">
        <v>98</v>
      </c>
      <c r="H35" s="265" t="s">
        <v>88</v>
      </c>
      <c r="I35" s="265" t="s">
        <v>590</v>
      </c>
      <c r="J35" s="553" t="s">
        <v>591</v>
      </c>
      <c r="K35" s="263" t="s">
        <v>592</v>
      </c>
      <c r="L35" s="266">
        <f t="shared" si="45"/>
        <v>21</v>
      </c>
      <c r="M35" s="267">
        <v>45460</v>
      </c>
      <c r="N35" s="267">
        <v>45480</v>
      </c>
      <c r="O35" s="266">
        <f>P35*3</f>
        <v>719486.04</v>
      </c>
      <c r="P35" s="266">
        <f>Y35/X35</f>
        <v>239828.68000000002</v>
      </c>
      <c r="Q35" s="269">
        <v>1.4999999999999999E-2</v>
      </c>
      <c r="R35" s="266">
        <f t="shared" si="54"/>
        <v>10792.2906</v>
      </c>
      <c r="S35" s="268" t="s">
        <v>17</v>
      </c>
      <c r="T35" s="271" t="s">
        <v>17</v>
      </c>
      <c r="U35" s="266">
        <f>O35/V35</f>
        <v>239828.68000000002</v>
      </c>
      <c r="V35" s="266">
        <v>3</v>
      </c>
      <c r="W35" s="266"/>
      <c r="X35" s="272">
        <v>1.5</v>
      </c>
      <c r="Y35" s="273">
        <v>359743.02</v>
      </c>
      <c r="Z35" s="273">
        <f t="shared" si="29"/>
        <v>500</v>
      </c>
      <c r="AA35" s="273">
        <f t="shared" si="51"/>
        <v>33.333333333333336</v>
      </c>
      <c r="AB35" s="274">
        <v>2569593</v>
      </c>
      <c r="AC35" s="275">
        <f>U35/AB35</f>
        <v>9.3333333333333338E-2</v>
      </c>
      <c r="AE35" s="260"/>
      <c r="AF35" s="261">
        <v>0.26400000000000001</v>
      </c>
      <c r="AG35" s="260"/>
      <c r="AH35" s="320"/>
    </row>
    <row r="36" spans="2:35" ht="18.649999999999999" customHeight="1" x14ac:dyDescent="0.35">
      <c r="B36" s="292" t="s">
        <v>118</v>
      </c>
      <c r="C36" s="293" t="s">
        <v>97</v>
      </c>
      <c r="D36" s="310" t="s">
        <v>109</v>
      </c>
      <c r="E36" s="263" t="s">
        <v>46</v>
      </c>
      <c r="F36" s="310" t="s">
        <v>100</v>
      </c>
      <c r="G36" s="263" t="s">
        <v>98</v>
      </c>
      <c r="H36" s="265" t="s">
        <v>88</v>
      </c>
      <c r="I36" s="265" t="s">
        <v>110</v>
      </c>
      <c r="J36" s="553" t="s">
        <v>96</v>
      </c>
      <c r="K36" s="263" t="s">
        <v>111</v>
      </c>
      <c r="L36" s="266">
        <f t="shared" si="45"/>
        <v>21</v>
      </c>
      <c r="M36" s="267">
        <v>45460</v>
      </c>
      <c r="N36" s="267">
        <v>45480</v>
      </c>
      <c r="O36" s="266">
        <f t="shared" si="46"/>
        <v>2233688.8794</v>
      </c>
      <c r="P36" s="268" t="s">
        <v>17</v>
      </c>
      <c r="Q36" s="269">
        <v>0.02</v>
      </c>
      <c r="R36" s="266">
        <f>O36*Q36</f>
        <v>44673.777587999997</v>
      </c>
      <c r="S36" s="268" t="s">
        <v>17</v>
      </c>
      <c r="T36" s="271" t="s">
        <v>17</v>
      </c>
      <c r="U36" s="266">
        <f>AB36*AC36</f>
        <v>2233688.8794</v>
      </c>
      <c r="V36" s="266">
        <v>1</v>
      </c>
      <c r="W36" s="266"/>
      <c r="X36" s="272">
        <v>4.5</v>
      </c>
      <c r="Y36" s="273">
        <f>R36*X36</f>
        <v>201031.99914599999</v>
      </c>
      <c r="Z36" s="273">
        <f t="shared" si="29"/>
        <v>90</v>
      </c>
      <c r="AA36" s="273">
        <f t="shared" si="51"/>
        <v>4.5</v>
      </c>
      <c r="AB36" s="274">
        <v>3467500</v>
      </c>
      <c r="AC36" s="275">
        <v>0.64417848</v>
      </c>
      <c r="AE36" s="260"/>
      <c r="AF36" s="261">
        <v>0.52800000000000002</v>
      </c>
      <c r="AG36" s="260"/>
    </row>
    <row r="37" spans="2:35" ht="18.649999999999999" customHeight="1" x14ac:dyDescent="0.35">
      <c r="B37" s="292" t="s">
        <v>118</v>
      </c>
      <c r="C37" s="293" t="s">
        <v>97</v>
      </c>
      <c r="D37" s="310" t="s">
        <v>600</v>
      </c>
      <c r="E37" s="314" t="s">
        <v>46</v>
      </c>
      <c r="F37" s="311" t="s">
        <v>565</v>
      </c>
      <c r="G37" s="263" t="s">
        <v>101</v>
      </c>
      <c r="H37" s="265" t="s">
        <v>88</v>
      </c>
      <c r="I37" s="265" t="s">
        <v>527</v>
      </c>
      <c r="J37" s="552" t="s">
        <v>566</v>
      </c>
      <c r="K37" s="263" t="s">
        <v>89</v>
      </c>
      <c r="L37" s="266">
        <f t="shared" ref="L37" si="56">N37-M37+1</f>
        <v>13</v>
      </c>
      <c r="M37" s="267">
        <v>45460</v>
      </c>
      <c r="N37" s="267">
        <v>45472</v>
      </c>
      <c r="O37" s="266">
        <f t="shared" si="46"/>
        <v>1014873.6000000001</v>
      </c>
      <c r="P37" s="268" t="s">
        <v>17</v>
      </c>
      <c r="Q37" s="315">
        <v>5.0000000000000001E-3</v>
      </c>
      <c r="R37" s="266">
        <f t="shared" ref="R37" si="57">O37*Q37</f>
        <v>5074.3680000000004</v>
      </c>
      <c r="S37" s="268" t="s">
        <v>17</v>
      </c>
      <c r="T37" s="271" t="s">
        <v>17</v>
      </c>
      <c r="U37" s="266">
        <f t="shared" ref="U37" si="58">AB37*AC37</f>
        <v>507436.80000000005</v>
      </c>
      <c r="V37" s="266">
        <v>2</v>
      </c>
      <c r="W37" s="266"/>
      <c r="X37" s="272">
        <v>105</v>
      </c>
      <c r="Y37" s="273">
        <f t="shared" ref="Y37" si="59">O37/1000*X37</f>
        <v>106561.72800000002</v>
      </c>
      <c r="Z37" s="273">
        <f t="shared" ref="Z37" si="60">Y37/O37*1000</f>
        <v>105.00000000000001</v>
      </c>
      <c r="AA37" s="273">
        <f t="shared" ref="AA37" si="61">Y37/R37</f>
        <v>21.000000000000004</v>
      </c>
      <c r="AB37" s="274">
        <v>1014873.6000000001</v>
      </c>
      <c r="AC37" s="275">
        <v>0.5</v>
      </c>
      <c r="AE37" s="260"/>
      <c r="AF37" s="261">
        <v>0.81694198781885841</v>
      </c>
      <c r="AG37" s="260"/>
    </row>
    <row r="38" spans="2:35" ht="18.649999999999999" customHeight="1" x14ac:dyDescent="0.35">
      <c r="B38" s="292" t="s">
        <v>118</v>
      </c>
      <c r="C38" s="293" t="s">
        <v>97</v>
      </c>
      <c r="D38" s="311" t="s">
        <v>116</v>
      </c>
      <c r="E38" s="263" t="s">
        <v>46</v>
      </c>
      <c r="F38" s="311" t="s">
        <v>114</v>
      </c>
      <c r="G38" s="263" t="s">
        <v>98</v>
      </c>
      <c r="H38" s="265" t="s">
        <v>88</v>
      </c>
      <c r="I38" s="265" t="s">
        <v>115</v>
      </c>
      <c r="J38" s="552" t="s">
        <v>96</v>
      </c>
      <c r="K38" s="263" t="s">
        <v>105</v>
      </c>
      <c r="L38" s="266">
        <f>N38-M38+1</f>
        <v>6</v>
      </c>
      <c r="M38" s="267">
        <v>45471</v>
      </c>
      <c r="N38" s="267">
        <v>45476</v>
      </c>
      <c r="O38" s="266">
        <f>1680622/14*6</f>
        <v>720266.57142857136</v>
      </c>
      <c r="P38" s="268" t="s">
        <v>17</v>
      </c>
      <c r="Q38" s="315">
        <v>0.01</v>
      </c>
      <c r="R38" s="266">
        <f>O38*Q38</f>
        <v>7202.6657142857139</v>
      </c>
      <c r="S38" s="268" t="s">
        <v>17</v>
      </c>
      <c r="T38" s="271" t="s">
        <v>17</v>
      </c>
      <c r="U38" s="266">
        <f>O38/V38</f>
        <v>144053.31428571427</v>
      </c>
      <c r="V38" s="266">
        <v>5</v>
      </c>
      <c r="W38" s="266"/>
      <c r="X38" s="272">
        <v>260</v>
      </c>
      <c r="Y38" s="273">
        <f>(O38/1000)*X38</f>
        <v>187269.30857142856</v>
      </c>
      <c r="Z38" s="273">
        <f>Y38/O38*1000</f>
        <v>260</v>
      </c>
      <c r="AA38" s="273">
        <f t="shared" ref="AA38:AA47" si="62">Y38/R38</f>
        <v>26</v>
      </c>
      <c r="AB38" s="274">
        <v>392145</v>
      </c>
      <c r="AC38" s="275">
        <f>U38/AB38</f>
        <v>0.36734706367724762</v>
      </c>
      <c r="AE38" s="260"/>
      <c r="AF38" s="261">
        <v>0.37714298537530766</v>
      </c>
      <c r="AG38" s="260"/>
    </row>
    <row r="39" spans="2:35" ht="18.649999999999999" customHeight="1" x14ac:dyDescent="0.35">
      <c r="B39" s="277" t="str">
        <f>B38</f>
        <v>Bangalore - Seg A</v>
      </c>
      <c r="C39" s="278"/>
      <c r="D39" s="279" t="s">
        <v>18</v>
      </c>
      <c r="E39" s="280"/>
      <c r="F39" s="279"/>
      <c r="G39" s="280"/>
      <c r="H39" s="280"/>
      <c r="I39" s="281"/>
      <c r="J39" s="546"/>
      <c r="K39" s="283"/>
      <c r="L39" s="284"/>
      <c r="M39" s="284"/>
      <c r="N39" s="284"/>
      <c r="O39" s="284">
        <f>SUM(O28:O38)</f>
        <v>30962824.122288495</v>
      </c>
      <c r="P39" s="284"/>
      <c r="Q39" s="285">
        <f>R39/O39</f>
        <v>3.4573058985276749E-3</v>
      </c>
      <c r="R39" s="284">
        <f>SUM(R28:R38)</f>
        <v>107047.954473063</v>
      </c>
      <c r="S39" s="286"/>
      <c r="T39" s="316">
        <f>SUM(T28:T38)</f>
        <v>19039611.965930324</v>
      </c>
      <c r="U39" s="284">
        <f>U30+(SUM(U28:U29,U32:U38,U31)*9%)</f>
        <v>2889315.4176068921</v>
      </c>
      <c r="V39" s="284">
        <f>O39/U39</f>
        <v>10.716318451633018</v>
      </c>
      <c r="W39" s="284"/>
      <c r="X39" s="287"/>
      <c r="Y39" s="317">
        <f>SUM(Y28:Y38)</f>
        <v>3553781.4635617076</v>
      </c>
      <c r="Z39" s="288">
        <f>Y39/O39*1000</f>
        <v>114.77575332036746</v>
      </c>
      <c r="AA39" s="288">
        <f t="shared" si="62"/>
        <v>33.198032424393155</v>
      </c>
      <c r="AB39" s="284">
        <f>AB30+(SUM(AB28:AB29,AB32:AB38)*2%)</f>
        <v>3581645.5819999999</v>
      </c>
      <c r="AC39" s="289">
        <f>U39/AB39</f>
        <v>0.80670053791126117</v>
      </c>
      <c r="AD39" s="261"/>
      <c r="AE39" s="290"/>
      <c r="AF39" s="261">
        <v>0.75420328008868931</v>
      </c>
      <c r="AG39" s="290"/>
    </row>
    <row r="40" spans="2:35" ht="18.649999999999999" customHeight="1" x14ac:dyDescent="0.35">
      <c r="B40" s="292" t="s">
        <v>119</v>
      </c>
      <c r="C40" s="293" t="s">
        <v>97</v>
      </c>
      <c r="D40" s="572" t="s">
        <v>611</v>
      </c>
      <c r="E40" s="264" t="s">
        <v>45</v>
      </c>
      <c r="F40" s="263" t="s">
        <v>87</v>
      </c>
      <c r="G40" s="263" t="s">
        <v>101</v>
      </c>
      <c r="H40" s="265" t="s">
        <v>95</v>
      </c>
      <c r="I40" s="265" t="s">
        <v>608</v>
      </c>
      <c r="J40" s="552" t="s">
        <v>96</v>
      </c>
      <c r="K40" s="263" t="s">
        <v>89</v>
      </c>
      <c r="L40" s="266">
        <f t="shared" ref="L40" si="63">N40-(M40-1)</f>
        <v>21</v>
      </c>
      <c r="M40" s="267">
        <v>45460</v>
      </c>
      <c r="N40" s="267">
        <v>45480</v>
      </c>
      <c r="O40" s="266">
        <f>Y40/X40*1000</f>
        <v>1854039.6081349996</v>
      </c>
      <c r="P40" s="268" t="s">
        <v>17</v>
      </c>
      <c r="Q40" s="269">
        <v>2E-3</v>
      </c>
      <c r="R40" s="266">
        <f t="shared" ref="R40" si="64">O40*Q40</f>
        <v>3708.0792162699995</v>
      </c>
      <c r="S40" s="318">
        <v>0.85</v>
      </c>
      <c r="T40" s="319">
        <f t="shared" ref="T40" si="65">O40*S40</f>
        <v>1575933.6669147497</v>
      </c>
      <c r="U40" s="266">
        <f>O40/V40</f>
        <v>590458.47392834385</v>
      </c>
      <c r="V40" s="266">
        <v>3.14</v>
      </c>
      <c r="W40" s="266"/>
      <c r="X40" s="272">
        <v>80</v>
      </c>
      <c r="Y40" s="273">
        <f>185403.9608135*80%</f>
        <v>148323.16865079998</v>
      </c>
      <c r="Z40" s="273">
        <f t="shared" ref="Z40" si="66">Y40/O40*1000</f>
        <v>80</v>
      </c>
      <c r="AA40" s="273">
        <f t="shared" si="62"/>
        <v>40</v>
      </c>
      <c r="AB40" s="274">
        <v>1215728.8</v>
      </c>
      <c r="AC40" s="275">
        <f>U40/AB40</f>
        <v>0.48568272292993619</v>
      </c>
      <c r="AD40" s="261"/>
      <c r="AE40" s="260"/>
      <c r="AF40" s="261">
        <v>0.61599999999999999</v>
      </c>
      <c r="AG40" s="260"/>
      <c r="AH40" s="458"/>
      <c r="AI40" s="459"/>
    </row>
    <row r="41" spans="2:35" ht="18.649999999999999" customHeight="1" x14ac:dyDescent="0.35">
      <c r="B41" s="292" t="s">
        <v>119</v>
      </c>
      <c r="C41" s="293" t="s">
        <v>97</v>
      </c>
      <c r="D41" s="572" t="s">
        <v>612</v>
      </c>
      <c r="E41" s="264" t="s">
        <v>45</v>
      </c>
      <c r="F41" s="263" t="s">
        <v>87</v>
      </c>
      <c r="G41" s="263" t="s">
        <v>101</v>
      </c>
      <c r="H41" s="265" t="s">
        <v>95</v>
      </c>
      <c r="I41" s="265" t="s">
        <v>608</v>
      </c>
      <c r="J41" s="552" t="s">
        <v>96</v>
      </c>
      <c r="K41" s="263" t="s">
        <v>89</v>
      </c>
      <c r="L41" s="266">
        <f t="shared" ref="L41" si="67">N41-(M41-1)</f>
        <v>21</v>
      </c>
      <c r="M41" s="267">
        <v>45460</v>
      </c>
      <c r="N41" s="267">
        <v>45480</v>
      </c>
      <c r="O41" s="266">
        <f>Y41/X41*1000</f>
        <v>772516.5033895832</v>
      </c>
      <c r="P41" s="268" t="s">
        <v>17</v>
      </c>
      <c r="Q41" s="269">
        <v>2E-3</v>
      </c>
      <c r="R41" s="266">
        <f t="shared" ref="R41" si="68">O41*Q41</f>
        <v>1545.0330067791665</v>
      </c>
      <c r="S41" s="318">
        <v>0.85</v>
      </c>
      <c r="T41" s="319">
        <f t="shared" ref="T41" si="69">O41*S41</f>
        <v>656639.02788114571</v>
      </c>
      <c r="U41" s="266">
        <f>O41/V41</f>
        <v>246024.36413680992</v>
      </c>
      <c r="V41" s="266">
        <v>3.14</v>
      </c>
      <c r="W41" s="266"/>
      <c r="X41" s="272">
        <f>80*60%</f>
        <v>48</v>
      </c>
      <c r="Y41" s="273">
        <f>185403.9608135*20%</f>
        <v>37080.792162699996</v>
      </c>
      <c r="Z41" s="273">
        <f t="shared" ref="Z41" si="70">Y41/O41*1000</f>
        <v>48</v>
      </c>
      <c r="AA41" s="273">
        <f t="shared" ref="AA41" si="71">Y41/R41</f>
        <v>24</v>
      </c>
      <c r="AB41" s="274">
        <v>1215728.8</v>
      </c>
      <c r="AC41" s="275">
        <f>U41/AB41</f>
        <v>0.20236780122080675</v>
      </c>
      <c r="AD41" s="261"/>
      <c r="AE41" s="260"/>
      <c r="AF41" s="261">
        <v>0.61599999999999999</v>
      </c>
      <c r="AG41" s="260"/>
      <c r="AH41" s="458"/>
      <c r="AI41" s="459"/>
    </row>
    <row r="42" spans="2:35" ht="18.649999999999999" customHeight="1" x14ac:dyDescent="0.35">
      <c r="B42" s="292" t="s">
        <v>119</v>
      </c>
      <c r="C42" s="293" t="s">
        <v>97</v>
      </c>
      <c r="D42" s="263" t="s">
        <v>86</v>
      </c>
      <c r="E42" s="263" t="s">
        <v>45</v>
      </c>
      <c r="F42" s="263" t="s">
        <v>87</v>
      </c>
      <c r="G42" s="263" t="s">
        <v>101</v>
      </c>
      <c r="H42" s="265" t="s">
        <v>95</v>
      </c>
      <c r="I42" s="265" t="s">
        <v>610</v>
      </c>
      <c r="J42" s="552" t="s">
        <v>96</v>
      </c>
      <c r="K42" s="263" t="s">
        <v>89</v>
      </c>
      <c r="L42" s="266">
        <f t="shared" ref="L42" si="72">N42-(M42-1)</f>
        <v>21</v>
      </c>
      <c r="M42" s="267">
        <v>45460</v>
      </c>
      <c r="N42" s="267">
        <v>45480</v>
      </c>
      <c r="O42" s="266">
        <f>Y42/X42*1000</f>
        <v>12515029.052418752</v>
      </c>
      <c r="P42" s="268" t="s">
        <v>17</v>
      </c>
      <c r="Q42" s="269">
        <v>1E-3</v>
      </c>
      <c r="R42" s="266">
        <f t="shared" ref="R42" si="73">O42*Q42</f>
        <v>12515.029052418751</v>
      </c>
      <c r="S42" s="318">
        <v>0.8</v>
      </c>
      <c r="T42" s="319">
        <f t="shared" ref="T42" si="74">O42*S42</f>
        <v>10012023.241935002</v>
      </c>
      <c r="U42" s="266">
        <f>O42/V42</f>
        <v>3067409.0814751843</v>
      </c>
      <c r="V42" s="266">
        <f>3*136%</f>
        <v>4.08</v>
      </c>
      <c r="W42" s="266"/>
      <c r="X42" s="272">
        <v>80</v>
      </c>
      <c r="Y42" s="273">
        <v>1001202.3241935001</v>
      </c>
      <c r="Z42" s="273">
        <f t="shared" ref="Z42:Z68" si="75">Y42/O42*1000</f>
        <v>80</v>
      </c>
      <c r="AA42" s="273">
        <f t="shared" si="62"/>
        <v>80</v>
      </c>
      <c r="AB42" s="274">
        <v>4973540</v>
      </c>
      <c r="AC42" s="275">
        <f>U42/AB42</f>
        <v>0.61674563419117656</v>
      </c>
      <c r="AF42" s="261">
        <v>0.61599999999999999</v>
      </c>
      <c r="AH42" s="458"/>
      <c r="AI42" s="459"/>
    </row>
    <row r="43" spans="2:35" ht="18.649999999999999" customHeight="1" x14ac:dyDescent="0.35">
      <c r="B43" s="292" t="s">
        <v>119</v>
      </c>
      <c r="C43" s="293" t="s">
        <v>97</v>
      </c>
      <c r="D43" s="263" t="s">
        <v>99</v>
      </c>
      <c r="E43" s="263" t="s">
        <v>46</v>
      </c>
      <c r="F43" s="263" t="s">
        <v>100</v>
      </c>
      <c r="G43" s="263" t="s">
        <v>101</v>
      </c>
      <c r="H43" s="265" t="s">
        <v>88</v>
      </c>
      <c r="I43" s="265" t="s">
        <v>102</v>
      </c>
      <c r="J43" s="553" t="s">
        <v>96</v>
      </c>
      <c r="K43" s="263" t="s">
        <v>89</v>
      </c>
      <c r="L43" s="266">
        <f t="shared" ref="L43:L46" si="76">N43-(M43-1)</f>
        <v>21</v>
      </c>
      <c r="M43" s="267">
        <v>45460</v>
      </c>
      <c r="N43" s="267">
        <v>45480</v>
      </c>
      <c r="O43" s="266">
        <f t="shared" ref="O43:O45" si="77">U43*V43</f>
        <v>1293553.4028580021</v>
      </c>
      <c r="P43" s="268" t="s">
        <v>17</v>
      </c>
      <c r="Q43" s="269">
        <v>1.4999999999999999E-2</v>
      </c>
      <c r="R43" s="266">
        <f>O43*Q43</f>
        <v>19403.301042870033</v>
      </c>
      <c r="S43" s="268" t="s">
        <v>17</v>
      </c>
      <c r="T43" s="271" t="s">
        <v>17</v>
      </c>
      <c r="U43" s="266">
        <f>AB43*AC43</f>
        <v>1521827.5327741201</v>
      </c>
      <c r="V43" s="266">
        <v>0.85</v>
      </c>
      <c r="W43" s="266"/>
      <c r="X43" s="272">
        <v>105</v>
      </c>
      <c r="Y43" s="273">
        <f>(O43/1000)*X43</f>
        <v>135823.10730009023</v>
      </c>
      <c r="Z43" s="273">
        <f t="shared" si="75"/>
        <v>105</v>
      </c>
      <c r="AA43" s="273">
        <f t="shared" si="62"/>
        <v>7</v>
      </c>
      <c r="AB43" s="274">
        <f>AB42*95%</f>
        <v>4724863</v>
      </c>
      <c r="AC43" s="275">
        <v>0.32208924</v>
      </c>
      <c r="AE43" s="260"/>
      <c r="AF43" s="261">
        <v>0.26400000000000001</v>
      </c>
      <c r="AG43" s="260"/>
      <c r="AI43" s="459"/>
    </row>
    <row r="44" spans="2:35" ht="18.649999999999999" customHeight="1" x14ac:dyDescent="0.35">
      <c r="B44" s="292" t="s">
        <v>119</v>
      </c>
      <c r="C44" s="293" t="s">
        <v>97</v>
      </c>
      <c r="D44" s="310" t="s">
        <v>103</v>
      </c>
      <c r="E44" s="263" t="s">
        <v>46</v>
      </c>
      <c r="F44" s="310" t="s">
        <v>100</v>
      </c>
      <c r="G44" s="263" t="s">
        <v>98</v>
      </c>
      <c r="H44" s="265" t="s">
        <v>88</v>
      </c>
      <c r="I44" s="265" t="s">
        <v>104</v>
      </c>
      <c r="J44" s="553" t="s">
        <v>96</v>
      </c>
      <c r="K44" s="263" t="s">
        <v>105</v>
      </c>
      <c r="L44" s="266">
        <f t="shared" si="76"/>
        <v>21</v>
      </c>
      <c r="M44" s="267">
        <v>45460</v>
      </c>
      <c r="N44" s="267">
        <v>45480</v>
      </c>
      <c r="O44" s="266">
        <f t="shared" si="77"/>
        <v>690937.97452242498</v>
      </c>
      <c r="P44" s="268" t="s">
        <v>17</v>
      </c>
      <c r="Q44" s="269">
        <v>1.4999999999999999E-2</v>
      </c>
      <c r="R44" s="266">
        <f>O44*Q44</f>
        <v>10364.069617836374</v>
      </c>
      <c r="S44" s="268" t="s">
        <v>17</v>
      </c>
      <c r="T44" s="271" t="s">
        <v>17</v>
      </c>
      <c r="U44" s="266">
        <f>AB44*AC44</f>
        <v>812868.20532049995</v>
      </c>
      <c r="V44" s="266">
        <v>0.85</v>
      </c>
      <c r="W44" s="266"/>
      <c r="X44" s="272">
        <v>120</v>
      </c>
      <c r="Y44" s="273">
        <f>(O44/1000)*X44</f>
        <v>82912.556942690993</v>
      </c>
      <c r="Z44" s="273">
        <f t="shared" si="75"/>
        <v>120</v>
      </c>
      <c r="AA44" s="273">
        <f t="shared" si="62"/>
        <v>8</v>
      </c>
      <c r="AB44" s="274">
        <v>1903618</v>
      </c>
      <c r="AC44" s="275">
        <v>0.42701224999999998</v>
      </c>
      <c r="AE44" s="260"/>
      <c r="AF44" s="261">
        <v>0.44</v>
      </c>
      <c r="AG44" s="260"/>
    </row>
    <row r="45" spans="2:35" ht="18.649999999999999" customHeight="1" x14ac:dyDescent="0.35">
      <c r="B45" s="292" t="s">
        <v>119</v>
      </c>
      <c r="C45" s="293" t="s">
        <v>97</v>
      </c>
      <c r="D45" s="310" t="s">
        <v>106</v>
      </c>
      <c r="E45" s="311" t="s">
        <v>46</v>
      </c>
      <c r="F45" s="311" t="s">
        <v>91</v>
      </c>
      <c r="G45" s="263" t="s">
        <v>98</v>
      </c>
      <c r="H45" s="310" t="s">
        <v>88</v>
      </c>
      <c r="I45" s="263" t="s">
        <v>107</v>
      </c>
      <c r="J45" s="553" t="s">
        <v>96</v>
      </c>
      <c r="K45" s="263" t="s">
        <v>89</v>
      </c>
      <c r="L45" s="266">
        <f t="shared" si="76"/>
        <v>21</v>
      </c>
      <c r="M45" s="267">
        <v>45460</v>
      </c>
      <c r="N45" s="267">
        <v>45480</v>
      </c>
      <c r="O45" s="266">
        <f t="shared" si="77"/>
        <v>558471.38569885527</v>
      </c>
      <c r="P45" s="268" t="s">
        <v>17</v>
      </c>
      <c r="Q45" s="312">
        <v>0.01</v>
      </c>
      <c r="R45" s="266">
        <f t="shared" ref="R45:R46" si="78">O45*Q45</f>
        <v>5584.7138569885528</v>
      </c>
      <c r="S45" s="268" t="s">
        <v>17</v>
      </c>
      <c r="T45" s="271" t="s">
        <v>17</v>
      </c>
      <c r="U45" s="266">
        <f>AB45*AC45</f>
        <v>657025.15964571212</v>
      </c>
      <c r="V45" s="266">
        <v>0.85</v>
      </c>
      <c r="W45" s="266"/>
      <c r="X45" s="272">
        <v>200</v>
      </c>
      <c r="Y45" s="273">
        <f>O45*X45/1000</f>
        <v>111694.27713977106</v>
      </c>
      <c r="Z45" s="273">
        <f t="shared" si="75"/>
        <v>200</v>
      </c>
      <c r="AA45" s="273">
        <f t="shared" si="62"/>
        <v>20</v>
      </c>
      <c r="AB45" s="274">
        <v>2781662</v>
      </c>
      <c r="AC45" s="275">
        <v>0.23619877600000003</v>
      </c>
      <c r="AE45" s="260"/>
      <c r="AF45" s="261">
        <v>0.17600000000000002</v>
      </c>
      <c r="AG45" s="260"/>
      <c r="AH45" s="562"/>
    </row>
    <row r="46" spans="2:35" ht="18.649999999999999" customHeight="1" x14ac:dyDescent="0.35">
      <c r="B46" s="292" t="s">
        <v>119</v>
      </c>
      <c r="C46" s="293" t="s">
        <v>97</v>
      </c>
      <c r="D46" s="314" t="s">
        <v>528</v>
      </c>
      <c r="E46" s="263" t="s">
        <v>46</v>
      </c>
      <c r="F46" s="310" t="s">
        <v>91</v>
      </c>
      <c r="G46" s="263" t="s">
        <v>101</v>
      </c>
      <c r="H46" s="265" t="s">
        <v>88</v>
      </c>
      <c r="I46" s="265" t="s">
        <v>527</v>
      </c>
      <c r="J46" s="552" t="s">
        <v>96</v>
      </c>
      <c r="K46" s="263" t="s">
        <v>89</v>
      </c>
      <c r="L46" s="266">
        <f t="shared" si="76"/>
        <v>21</v>
      </c>
      <c r="M46" s="267">
        <v>45460</v>
      </c>
      <c r="N46" s="267">
        <v>45480</v>
      </c>
      <c r="O46" s="266">
        <f>Y46/X46*1000</f>
        <v>4615384.615384615</v>
      </c>
      <c r="P46" s="268" t="s">
        <v>17</v>
      </c>
      <c r="Q46" s="315">
        <v>3.0000000000000001E-3</v>
      </c>
      <c r="R46" s="266">
        <f t="shared" si="78"/>
        <v>13846.153846153846</v>
      </c>
      <c r="S46" s="268" t="s">
        <v>17</v>
      </c>
      <c r="T46" s="271" t="s">
        <v>17</v>
      </c>
      <c r="U46" s="266">
        <f>O46/V46</f>
        <v>923076.92307692301</v>
      </c>
      <c r="V46" s="266">
        <v>5</v>
      </c>
      <c r="W46" s="266"/>
      <c r="X46" s="272">
        <v>65</v>
      </c>
      <c r="Y46" s="273">
        <v>300000</v>
      </c>
      <c r="Z46" s="273">
        <f t="shared" si="75"/>
        <v>65</v>
      </c>
      <c r="AA46" s="273">
        <f t="shared" si="62"/>
        <v>21.666666666666668</v>
      </c>
      <c r="AB46" s="274">
        <f>499352.890846154*300%</f>
        <v>1498058.6725384621</v>
      </c>
      <c r="AC46" s="275">
        <f>U46/AB46</f>
        <v>0.61618208952575149</v>
      </c>
      <c r="AE46" s="260"/>
      <c r="AF46" s="261">
        <v>0.72298698504354841</v>
      </c>
      <c r="AG46" s="260"/>
      <c r="AH46" s="320"/>
    </row>
    <row r="47" spans="2:35" ht="18.649999999999999" customHeight="1" x14ac:dyDescent="0.35">
      <c r="B47" s="277" t="str">
        <f>B46</f>
        <v>Bangalore - Seg B</v>
      </c>
      <c r="C47" s="278"/>
      <c r="D47" s="279" t="s">
        <v>18</v>
      </c>
      <c r="E47" s="280"/>
      <c r="F47" s="279"/>
      <c r="G47" s="280"/>
      <c r="H47" s="280"/>
      <c r="I47" s="281"/>
      <c r="J47" s="546"/>
      <c r="K47" s="283"/>
      <c r="L47" s="284"/>
      <c r="M47" s="284"/>
      <c r="N47" s="284"/>
      <c r="O47" s="284">
        <f>SUM(O40:O46)</f>
        <v>22299932.542407233</v>
      </c>
      <c r="P47" s="284"/>
      <c r="Q47" s="285">
        <f>R47/O47</f>
        <v>3.0029857494845965E-3</v>
      </c>
      <c r="R47" s="284">
        <f>SUM(R40:R46)</f>
        <v>66966.379639316729</v>
      </c>
      <c r="S47" s="286"/>
      <c r="T47" s="316">
        <f>SUM(T40:T46)</f>
        <v>12244595.936730897</v>
      </c>
      <c r="U47" s="284">
        <f>U42+(SUM(U40,U43:U46)*15%)</f>
        <v>3743197.525687024</v>
      </c>
      <c r="V47" s="284">
        <f>O47/U47</f>
        <v>5.9574554613743818</v>
      </c>
      <c r="W47" s="284"/>
      <c r="X47" s="287"/>
      <c r="Y47" s="317">
        <f>SUM(Y40:Y46)</f>
        <v>1817036.2263895522</v>
      </c>
      <c r="Z47" s="288">
        <f t="shared" si="75"/>
        <v>81.481691612032421</v>
      </c>
      <c r="AA47" s="288">
        <f t="shared" si="62"/>
        <v>27.13355920054471</v>
      </c>
      <c r="AB47" s="284">
        <f>AB42+(SUM(AB40,AB43:AB46)*15%)</f>
        <v>6792129.5708807698</v>
      </c>
      <c r="AC47" s="289">
        <f>U47/AB47</f>
        <v>0.55110808570773839</v>
      </c>
      <c r="AD47" s="261"/>
      <c r="AE47" s="290"/>
      <c r="AF47" s="261">
        <v>0.72918033054744236</v>
      </c>
      <c r="AG47" s="290"/>
    </row>
    <row r="48" spans="2:35" ht="18.649999999999999" customHeight="1" x14ac:dyDescent="0.35">
      <c r="B48" s="321" t="s">
        <v>120</v>
      </c>
      <c r="C48" s="293" t="s">
        <v>93</v>
      </c>
      <c r="D48" s="294" t="s">
        <v>94</v>
      </c>
      <c r="E48" s="294" t="s">
        <v>45</v>
      </c>
      <c r="F48" s="295" t="s">
        <v>87</v>
      </c>
      <c r="G48" s="295" t="s">
        <v>50</v>
      </c>
      <c r="H48" s="296" t="s">
        <v>95</v>
      </c>
      <c r="I48" s="296" t="s">
        <v>608</v>
      </c>
      <c r="J48" s="551" t="s">
        <v>96</v>
      </c>
      <c r="K48" s="295" t="s">
        <v>89</v>
      </c>
      <c r="L48" s="298">
        <f t="shared" ref="L48:L56" si="79">N48-(M48-1)</f>
        <v>21</v>
      </c>
      <c r="M48" s="299">
        <v>45460</v>
      </c>
      <c r="N48" s="299">
        <v>45480</v>
      </c>
      <c r="O48" s="298">
        <f t="shared" ref="O48:O56" si="80">U48*V48</f>
        <v>1271488.0728704</v>
      </c>
      <c r="P48" s="300" t="s">
        <v>17</v>
      </c>
      <c r="Q48" s="301"/>
      <c r="R48" s="298"/>
      <c r="S48" s="302">
        <v>0.85</v>
      </c>
      <c r="T48" s="303">
        <f t="shared" ref="T48:T49" si="81">O48*S48</f>
        <v>1080764.86193984</v>
      </c>
      <c r="U48" s="298">
        <f>AB48*AC48</f>
        <v>186983.54012799999</v>
      </c>
      <c r="V48" s="298">
        <f>5*136%</f>
        <v>6.8000000000000007</v>
      </c>
      <c r="W48" s="298"/>
      <c r="X48" s="304">
        <v>125</v>
      </c>
      <c r="Y48" s="305">
        <f t="shared" ref="Y48:Y53" si="82">(O48/1000)*X48</f>
        <v>158936.0091088</v>
      </c>
      <c r="Z48" s="305">
        <f t="shared" si="75"/>
        <v>125</v>
      </c>
      <c r="AA48" s="305"/>
      <c r="AB48" s="306">
        <v>217700</v>
      </c>
      <c r="AC48" s="307">
        <v>0.85890464</v>
      </c>
      <c r="AD48" s="261"/>
      <c r="AE48" s="260"/>
      <c r="AF48" s="261">
        <v>0.70400000000000007</v>
      </c>
      <c r="AG48" s="260"/>
    </row>
    <row r="49" spans="2:35" ht="18.649999999999999" customHeight="1" x14ac:dyDescent="0.35">
      <c r="B49" s="321" t="s">
        <v>120</v>
      </c>
      <c r="C49" s="293" t="s">
        <v>93</v>
      </c>
      <c r="D49" s="295" t="s">
        <v>86</v>
      </c>
      <c r="E49" s="295" t="s">
        <v>45</v>
      </c>
      <c r="F49" s="295" t="s">
        <v>87</v>
      </c>
      <c r="G49" s="296" t="s">
        <v>50</v>
      </c>
      <c r="H49" s="296" t="s">
        <v>95</v>
      </c>
      <c r="I49" s="296" t="s">
        <v>610</v>
      </c>
      <c r="J49" s="551" t="s">
        <v>96</v>
      </c>
      <c r="K49" s="295" t="s">
        <v>89</v>
      </c>
      <c r="L49" s="298">
        <f t="shared" si="79"/>
        <v>21</v>
      </c>
      <c r="M49" s="299">
        <v>45460</v>
      </c>
      <c r="N49" s="299">
        <v>45480</v>
      </c>
      <c r="O49" s="298">
        <f>Y49/X49*1000</f>
        <v>8632421.4747311994</v>
      </c>
      <c r="P49" s="300" t="s">
        <v>17</v>
      </c>
      <c r="Q49" s="301"/>
      <c r="R49" s="298"/>
      <c r="S49" s="302">
        <v>0.8</v>
      </c>
      <c r="T49" s="303">
        <f t="shared" si="81"/>
        <v>6905937.1797849601</v>
      </c>
      <c r="U49" s="298">
        <f>O49/V49</f>
        <v>1040050.7800880963</v>
      </c>
      <c r="V49" s="298">
        <v>8.3000000000000007</v>
      </c>
      <c r="W49" s="298"/>
      <c r="X49" s="304">
        <v>110</v>
      </c>
      <c r="Y49" s="305">
        <f>949566.362220432</f>
        <v>949566.36222043203</v>
      </c>
      <c r="Z49" s="305">
        <f t="shared" si="75"/>
        <v>110.00000000000001</v>
      </c>
      <c r="AA49" s="305"/>
      <c r="AB49" s="306">
        <v>1156136</v>
      </c>
      <c r="AC49" s="307">
        <f>U49/AB49</f>
        <v>0.8995920722891565</v>
      </c>
      <c r="AF49" s="261">
        <v>0.748</v>
      </c>
    </row>
    <row r="50" spans="2:35" ht="18.649999999999999" customHeight="1" x14ac:dyDescent="0.35">
      <c r="B50" s="321" t="s">
        <v>120</v>
      </c>
      <c r="C50" s="293" t="s">
        <v>97</v>
      </c>
      <c r="D50" s="264" t="s">
        <v>561</v>
      </c>
      <c r="E50" s="264" t="s">
        <v>45</v>
      </c>
      <c r="F50" s="263" t="s">
        <v>87</v>
      </c>
      <c r="G50" s="263" t="s">
        <v>98</v>
      </c>
      <c r="H50" s="265" t="s">
        <v>90</v>
      </c>
      <c r="I50" s="265" t="s">
        <v>609</v>
      </c>
      <c r="J50" s="552" t="s">
        <v>96</v>
      </c>
      <c r="K50" s="263" t="s">
        <v>89</v>
      </c>
      <c r="L50" s="266">
        <f t="shared" si="79"/>
        <v>21</v>
      </c>
      <c r="M50" s="267">
        <v>45460</v>
      </c>
      <c r="N50" s="267">
        <v>45480</v>
      </c>
      <c r="O50" s="266">
        <f t="shared" si="80"/>
        <v>1989633.7413940313</v>
      </c>
      <c r="P50" s="268" t="s">
        <v>17</v>
      </c>
      <c r="Q50" s="269">
        <v>1E-3</v>
      </c>
      <c r="R50" s="266">
        <f t="shared" ref="R50" si="83">O50*Q50</f>
        <v>1989.6337413940314</v>
      </c>
      <c r="S50" s="270">
        <v>0.7</v>
      </c>
      <c r="T50" s="271">
        <f>O50*S50</f>
        <v>1392743.6189758219</v>
      </c>
      <c r="U50" s="266">
        <f t="shared" ref="U50" si="84">AB50*AC50</f>
        <v>1136933.566510875</v>
      </c>
      <c r="V50" s="266">
        <v>1.75</v>
      </c>
      <c r="W50" s="266"/>
      <c r="X50" s="272">
        <v>70</v>
      </c>
      <c r="Y50" s="273">
        <f t="shared" si="82"/>
        <v>139274.36189758219</v>
      </c>
      <c r="Z50" s="273">
        <f t="shared" si="75"/>
        <v>69.999999999999986</v>
      </c>
      <c r="AA50" s="273">
        <f t="shared" ref="AA50:AA59" si="85">Y50/R50</f>
        <v>70</v>
      </c>
      <c r="AB50" s="274">
        <f>2192673*85%</f>
        <v>1863772.05</v>
      </c>
      <c r="AC50" s="275">
        <v>0.61001749999999999</v>
      </c>
      <c r="AE50" s="260"/>
      <c r="AF50" s="261">
        <v>0.66</v>
      </c>
      <c r="AG50" s="260"/>
    </row>
    <row r="51" spans="2:35" ht="18.649999999999999" customHeight="1" x14ac:dyDescent="0.35">
      <c r="B51" s="321" t="s">
        <v>120</v>
      </c>
      <c r="C51" s="293" t="s">
        <v>97</v>
      </c>
      <c r="D51" s="264" t="s">
        <v>86</v>
      </c>
      <c r="E51" s="264" t="s">
        <v>45</v>
      </c>
      <c r="F51" s="263" t="s">
        <v>87</v>
      </c>
      <c r="G51" s="263" t="s">
        <v>98</v>
      </c>
      <c r="H51" s="265" t="s">
        <v>90</v>
      </c>
      <c r="I51" s="265" t="s">
        <v>610</v>
      </c>
      <c r="J51" s="552" t="s">
        <v>96</v>
      </c>
      <c r="K51" s="263" t="s">
        <v>89</v>
      </c>
      <c r="L51" s="266">
        <f t="shared" ref="L51" si="86">N51-(M51-1)</f>
        <v>21</v>
      </c>
      <c r="M51" s="267">
        <v>45460</v>
      </c>
      <c r="N51" s="267">
        <v>45480</v>
      </c>
      <c r="O51" s="266">
        <f>Y51/X51*1000</f>
        <v>2758735.8599160933</v>
      </c>
      <c r="P51" s="268" t="s">
        <v>17</v>
      </c>
      <c r="Q51" s="269">
        <v>1E-3</v>
      </c>
      <c r="R51" s="266">
        <f t="shared" ref="R51" si="87">O51*Q51</f>
        <v>2758.7358599160934</v>
      </c>
      <c r="S51" s="270">
        <v>0.8</v>
      </c>
      <c r="T51" s="271">
        <f>O51*S51</f>
        <v>2206988.6879328745</v>
      </c>
      <c r="U51" s="266">
        <f>O51/V51</f>
        <v>1352321.4999588693</v>
      </c>
      <c r="V51" s="266">
        <f>1.5*136%</f>
        <v>2.04</v>
      </c>
      <c r="W51" s="266"/>
      <c r="X51" s="272">
        <v>80</v>
      </c>
      <c r="Y51" s="273">
        <v>220698.86879328749</v>
      </c>
      <c r="Z51" s="273">
        <f t="shared" si="75"/>
        <v>80.000000000000014</v>
      </c>
      <c r="AA51" s="273">
        <f t="shared" si="85"/>
        <v>80</v>
      </c>
      <c r="AB51" s="274">
        <v>2192673</v>
      </c>
      <c r="AC51" s="275">
        <f>U51/AB51</f>
        <v>0.61674563419117634</v>
      </c>
      <c r="AE51" s="260"/>
      <c r="AF51" s="261">
        <v>0.66</v>
      </c>
      <c r="AG51" s="260"/>
      <c r="AH51" s="458"/>
      <c r="AI51" s="459"/>
    </row>
    <row r="52" spans="2:35" ht="18.649999999999999" customHeight="1" x14ac:dyDescent="0.35">
      <c r="B52" s="321" t="s">
        <v>120</v>
      </c>
      <c r="C52" s="293" t="s">
        <v>97</v>
      </c>
      <c r="D52" s="263" t="s">
        <v>99</v>
      </c>
      <c r="E52" s="263" t="s">
        <v>46</v>
      </c>
      <c r="F52" s="263" t="s">
        <v>100</v>
      </c>
      <c r="G52" s="263" t="s">
        <v>101</v>
      </c>
      <c r="H52" s="265" t="s">
        <v>88</v>
      </c>
      <c r="I52" s="265" t="s">
        <v>102</v>
      </c>
      <c r="J52" s="553" t="s">
        <v>96</v>
      </c>
      <c r="K52" s="263" t="s">
        <v>89</v>
      </c>
      <c r="L52" s="266">
        <f t="shared" si="79"/>
        <v>21</v>
      </c>
      <c r="M52" s="267">
        <v>45460</v>
      </c>
      <c r="N52" s="267">
        <v>45480</v>
      </c>
      <c r="O52" s="266">
        <f t="shared" si="80"/>
        <v>1140571.7539237097</v>
      </c>
      <c r="P52" s="268" t="s">
        <v>17</v>
      </c>
      <c r="Q52" s="269">
        <v>1.4999999999999999E-2</v>
      </c>
      <c r="R52" s="266">
        <f>O52*Q52</f>
        <v>17108.576308855645</v>
      </c>
      <c r="S52" s="268" t="s">
        <v>17</v>
      </c>
      <c r="T52" s="271" t="s">
        <v>17</v>
      </c>
      <c r="U52" s="266">
        <f>AB52*AC52</f>
        <v>570285.87696185487</v>
      </c>
      <c r="V52" s="266">
        <v>2</v>
      </c>
      <c r="W52" s="266"/>
      <c r="X52" s="272">
        <v>105</v>
      </c>
      <c r="Y52" s="273">
        <f t="shared" si="82"/>
        <v>119760.03416198953</v>
      </c>
      <c r="Z52" s="273">
        <f t="shared" si="75"/>
        <v>105.00000000000001</v>
      </c>
      <c r="AA52" s="273">
        <f t="shared" si="85"/>
        <v>7.0000000000000009</v>
      </c>
      <c r="AB52" s="274">
        <f>AB50*95%</f>
        <v>1770583.4475</v>
      </c>
      <c r="AC52" s="275">
        <v>0.32208924</v>
      </c>
      <c r="AE52" s="260"/>
      <c r="AF52" s="261">
        <v>0.26400000000000001</v>
      </c>
      <c r="AG52" s="260"/>
      <c r="AI52" s="459"/>
    </row>
    <row r="53" spans="2:35" ht="18.649999999999999" customHeight="1" x14ac:dyDescent="0.35">
      <c r="B53" s="321" t="s">
        <v>120</v>
      </c>
      <c r="C53" s="293" t="s">
        <v>97</v>
      </c>
      <c r="D53" s="310" t="s">
        <v>103</v>
      </c>
      <c r="E53" s="263" t="s">
        <v>46</v>
      </c>
      <c r="F53" s="310" t="s">
        <v>100</v>
      </c>
      <c r="G53" s="263" t="s">
        <v>98</v>
      </c>
      <c r="H53" s="265" t="s">
        <v>88</v>
      </c>
      <c r="I53" s="265" t="s">
        <v>104</v>
      </c>
      <c r="J53" s="553" t="s">
        <v>96</v>
      </c>
      <c r="K53" s="263" t="s">
        <v>105</v>
      </c>
      <c r="L53" s="266">
        <f t="shared" si="79"/>
        <v>21</v>
      </c>
      <c r="M53" s="267">
        <v>45460</v>
      </c>
      <c r="N53" s="267">
        <v>45480</v>
      </c>
      <c r="O53" s="266">
        <f t="shared" si="80"/>
        <v>1229635.7970248</v>
      </c>
      <c r="P53" s="268" t="s">
        <v>17</v>
      </c>
      <c r="Q53" s="269">
        <v>1.4999999999999999E-2</v>
      </c>
      <c r="R53" s="266">
        <f>O53*Q53</f>
        <v>18444.536955371997</v>
      </c>
      <c r="S53" s="268" t="s">
        <v>17</v>
      </c>
      <c r="T53" s="271" t="s">
        <v>17</v>
      </c>
      <c r="U53" s="266">
        <f>AB53*AC53</f>
        <v>614817.89851239999</v>
      </c>
      <c r="V53" s="266">
        <v>2</v>
      </c>
      <c r="W53" s="266"/>
      <c r="X53" s="272">
        <v>120</v>
      </c>
      <c r="Y53" s="273">
        <f t="shared" si="82"/>
        <v>147556.29564297601</v>
      </c>
      <c r="Z53" s="273">
        <f t="shared" si="75"/>
        <v>120.00000000000001</v>
      </c>
      <c r="AA53" s="273">
        <f t="shared" si="85"/>
        <v>8.0000000000000018</v>
      </c>
      <c r="AB53" s="274">
        <v>1145306</v>
      </c>
      <c r="AC53" s="275">
        <v>0.53681539999999994</v>
      </c>
      <c r="AE53" s="260"/>
      <c r="AF53" s="261">
        <v>0.44</v>
      </c>
      <c r="AG53" s="260"/>
      <c r="AH53" s="320"/>
    </row>
    <row r="54" spans="2:35" ht="18.649999999999999" customHeight="1" x14ac:dyDescent="0.35">
      <c r="B54" s="321" t="s">
        <v>120</v>
      </c>
      <c r="C54" s="293" t="s">
        <v>97</v>
      </c>
      <c r="D54" s="310" t="s">
        <v>106</v>
      </c>
      <c r="E54" s="311" t="s">
        <v>46</v>
      </c>
      <c r="F54" s="311" t="s">
        <v>91</v>
      </c>
      <c r="G54" s="263" t="s">
        <v>98</v>
      </c>
      <c r="H54" s="310" t="s">
        <v>88</v>
      </c>
      <c r="I54" s="263" t="s">
        <v>107</v>
      </c>
      <c r="J54" s="553" t="s">
        <v>96</v>
      </c>
      <c r="K54" s="263" t="s">
        <v>89</v>
      </c>
      <c r="L54" s="266">
        <f t="shared" si="79"/>
        <v>21</v>
      </c>
      <c r="M54" s="267">
        <v>45460</v>
      </c>
      <c r="N54" s="267">
        <v>45480</v>
      </c>
      <c r="O54" s="266">
        <f t="shared" si="80"/>
        <v>991214.3046521761</v>
      </c>
      <c r="P54" s="268" t="s">
        <v>17</v>
      </c>
      <c r="Q54" s="312">
        <v>0.01</v>
      </c>
      <c r="R54" s="266">
        <f t="shared" ref="R54:R55" si="88">O54*Q54</f>
        <v>9912.1430465217618</v>
      </c>
      <c r="S54" s="268" t="s">
        <v>17</v>
      </c>
      <c r="T54" s="271" t="s">
        <v>17</v>
      </c>
      <c r="U54" s="266">
        <f t="shared" ref="U54" si="89">AB54*AC54</f>
        <v>495607.15232608805</v>
      </c>
      <c r="V54" s="266">
        <v>2</v>
      </c>
      <c r="W54" s="266"/>
      <c r="X54" s="272">
        <v>200</v>
      </c>
      <c r="Y54" s="273">
        <f>O54*X54/1000</f>
        <v>198242.86093043521</v>
      </c>
      <c r="Z54" s="273">
        <f t="shared" si="75"/>
        <v>199.99999999999997</v>
      </c>
      <c r="AA54" s="273">
        <f t="shared" si="85"/>
        <v>19.999999999999996</v>
      </c>
      <c r="AB54" s="274">
        <v>1398842</v>
      </c>
      <c r="AC54" s="275">
        <v>0.35429816400000003</v>
      </c>
      <c r="AE54" s="260"/>
      <c r="AF54" s="261">
        <v>0.26400000000000001</v>
      </c>
      <c r="AG54" s="260"/>
      <c r="AH54" s="562"/>
    </row>
    <row r="55" spans="2:35" ht="18.649999999999999" customHeight="1" x14ac:dyDescent="0.35">
      <c r="B55" s="321" t="s">
        <v>120</v>
      </c>
      <c r="C55" s="293" t="s">
        <v>97</v>
      </c>
      <c r="D55" s="310" t="s">
        <v>588</v>
      </c>
      <c r="E55" s="263" t="s">
        <v>46</v>
      </c>
      <c r="F55" s="310" t="s">
        <v>589</v>
      </c>
      <c r="G55" s="263" t="s">
        <v>98</v>
      </c>
      <c r="H55" s="265" t="s">
        <v>88</v>
      </c>
      <c r="I55" s="265" t="s">
        <v>590</v>
      </c>
      <c r="J55" s="553" t="s">
        <v>591</v>
      </c>
      <c r="K55" s="263" t="s">
        <v>592</v>
      </c>
      <c r="L55" s="266">
        <f t="shared" si="79"/>
        <v>21</v>
      </c>
      <c r="M55" s="267">
        <v>45460</v>
      </c>
      <c r="N55" s="267">
        <v>45480</v>
      </c>
      <c r="O55" s="266">
        <f>P55*3</f>
        <v>134903.72</v>
      </c>
      <c r="P55" s="266">
        <f>Y55/X55</f>
        <v>44967.906666666669</v>
      </c>
      <c r="Q55" s="269">
        <v>1.4999999999999999E-2</v>
      </c>
      <c r="R55" s="266">
        <f t="shared" si="88"/>
        <v>2023.5557999999999</v>
      </c>
      <c r="S55" s="268" t="s">
        <v>17</v>
      </c>
      <c r="T55" s="271" t="s">
        <v>17</v>
      </c>
      <c r="U55" s="266">
        <f>O55/V55</f>
        <v>44967.906666666669</v>
      </c>
      <c r="V55" s="266">
        <v>3</v>
      </c>
      <c r="W55" s="266"/>
      <c r="X55" s="272">
        <v>1.5</v>
      </c>
      <c r="Y55" s="273">
        <v>67451.86</v>
      </c>
      <c r="Z55" s="273">
        <f t="shared" si="75"/>
        <v>500</v>
      </c>
      <c r="AA55" s="273">
        <f t="shared" si="85"/>
        <v>33.333333333333336</v>
      </c>
      <c r="AB55" s="274">
        <v>481799</v>
      </c>
      <c r="AC55" s="275">
        <f>U55/AB55</f>
        <v>9.3333333333333338E-2</v>
      </c>
      <c r="AE55" s="260"/>
      <c r="AF55" s="261">
        <v>0.26400000000000001</v>
      </c>
      <c r="AG55" s="260"/>
      <c r="AH55" s="320"/>
    </row>
    <row r="56" spans="2:35" ht="18.649999999999999" customHeight="1" x14ac:dyDescent="0.35">
      <c r="B56" s="321" t="s">
        <v>120</v>
      </c>
      <c r="C56" s="293" t="s">
        <v>97</v>
      </c>
      <c r="D56" s="310" t="s">
        <v>109</v>
      </c>
      <c r="E56" s="263" t="s">
        <v>46</v>
      </c>
      <c r="F56" s="310" t="s">
        <v>100</v>
      </c>
      <c r="G56" s="263" t="s">
        <v>98</v>
      </c>
      <c r="H56" s="265" t="s">
        <v>88</v>
      </c>
      <c r="I56" s="265" t="s">
        <v>110</v>
      </c>
      <c r="J56" s="553" t="s">
        <v>96</v>
      </c>
      <c r="K56" s="263" t="s">
        <v>111</v>
      </c>
      <c r="L56" s="266">
        <f t="shared" si="79"/>
        <v>21</v>
      </c>
      <c r="M56" s="267">
        <v>45460</v>
      </c>
      <c r="N56" s="267">
        <v>45480</v>
      </c>
      <c r="O56" s="266">
        <f t="shared" si="80"/>
        <v>2125760.0000000005</v>
      </c>
      <c r="P56" s="268" t="s">
        <v>17</v>
      </c>
      <c r="Q56" s="269">
        <v>0.02</v>
      </c>
      <c r="R56" s="266">
        <f>O56*Q56</f>
        <v>42515.200000000012</v>
      </c>
      <c r="S56" s="268" t="s">
        <v>17</v>
      </c>
      <c r="T56" s="271" t="s">
        <v>17</v>
      </c>
      <c r="U56" s="266">
        <f>AB56*AC56</f>
        <v>2125760.0000000005</v>
      </c>
      <c r="V56" s="266">
        <v>1</v>
      </c>
      <c r="W56" s="266"/>
      <c r="X56" s="272">
        <v>4.5</v>
      </c>
      <c r="Y56" s="273">
        <f>R56*X56</f>
        <v>191318.40000000005</v>
      </c>
      <c r="Z56" s="273">
        <f t="shared" si="75"/>
        <v>90.000000000000014</v>
      </c>
      <c r="AA56" s="273">
        <f t="shared" si="85"/>
        <v>4.5</v>
      </c>
      <c r="AB56" s="274">
        <v>3270400.0000000005</v>
      </c>
      <c r="AC56" s="275">
        <v>0.65</v>
      </c>
      <c r="AE56" s="260"/>
      <c r="AF56" s="261">
        <v>0.61599999999999999</v>
      </c>
      <c r="AG56" s="260"/>
    </row>
    <row r="57" spans="2:35" ht="18.649999999999999" customHeight="1" x14ac:dyDescent="0.35">
      <c r="B57" s="321" t="s">
        <v>120</v>
      </c>
      <c r="C57" s="293" t="s">
        <v>97</v>
      </c>
      <c r="D57" s="310" t="s">
        <v>600</v>
      </c>
      <c r="E57" s="314" t="s">
        <v>46</v>
      </c>
      <c r="F57" s="311" t="s">
        <v>565</v>
      </c>
      <c r="G57" s="263" t="s">
        <v>101</v>
      </c>
      <c r="H57" s="265" t="s">
        <v>88</v>
      </c>
      <c r="I57" s="265" t="s">
        <v>527</v>
      </c>
      <c r="J57" s="552" t="s">
        <v>566</v>
      </c>
      <c r="K57" s="263" t="s">
        <v>89</v>
      </c>
      <c r="L57" s="266">
        <f>N57-M57+1</f>
        <v>13</v>
      </c>
      <c r="M57" s="267">
        <v>45460</v>
      </c>
      <c r="N57" s="267">
        <v>45472</v>
      </c>
      <c r="O57" s="266">
        <f>U57*V57</f>
        <v>640126.4</v>
      </c>
      <c r="P57" s="315" t="s">
        <v>17</v>
      </c>
      <c r="Q57" s="315">
        <v>5.0000000000000001E-3</v>
      </c>
      <c r="R57" s="266">
        <f>O57*Q57</f>
        <v>3200.6320000000001</v>
      </c>
      <c r="S57" s="271" t="s">
        <v>17</v>
      </c>
      <c r="T57" s="266" t="s">
        <v>17</v>
      </c>
      <c r="U57" s="266">
        <f>AB57*AC57</f>
        <v>320063.2</v>
      </c>
      <c r="V57" s="266">
        <v>2</v>
      </c>
      <c r="W57" s="266"/>
      <c r="X57" s="273">
        <v>105</v>
      </c>
      <c r="Y57" s="273">
        <f>O57/1000*X57</f>
        <v>67213.271999999997</v>
      </c>
      <c r="Z57" s="273">
        <f t="shared" si="75"/>
        <v>105</v>
      </c>
      <c r="AA57" s="273">
        <f t="shared" si="85"/>
        <v>21</v>
      </c>
      <c r="AB57" s="274">
        <v>800158</v>
      </c>
      <c r="AC57" s="275">
        <v>0.4</v>
      </c>
      <c r="AD57" s="313"/>
      <c r="AE57" s="260"/>
      <c r="AF57" s="260">
        <v>0.28941776903702171</v>
      </c>
      <c r="AG57" s="260"/>
      <c r="AH57" s="260"/>
    </row>
    <row r="58" spans="2:35" ht="18.649999999999999" customHeight="1" x14ac:dyDescent="0.35">
      <c r="B58" s="321" t="s">
        <v>120</v>
      </c>
      <c r="C58" s="293" t="s">
        <v>97</v>
      </c>
      <c r="D58" s="311" t="s">
        <v>116</v>
      </c>
      <c r="E58" s="263" t="s">
        <v>46</v>
      </c>
      <c r="F58" s="311" t="s">
        <v>114</v>
      </c>
      <c r="G58" s="263" t="s">
        <v>98</v>
      </c>
      <c r="H58" s="265" t="s">
        <v>88</v>
      </c>
      <c r="I58" s="265" t="s">
        <v>115</v>
      </c>
      <c r="J58" s="552" t="s">
        <v>96</v>
      </c>
      <c r="K58" s="263" t="s">
        <v>105</v>
      </c>
      <c r="L58" s="266">
        <f>N58-M58+1</f>
        <v>6</v>
      </c>
      <c r="M58" s="267">
        <v>45471</v>
      </c>
      <c r="N58" s="267">
        <v>45476</v>
      </c>
      <c r="O58" s="266">
        <f>362315/14*6</f>
        <v>155277.85714285716</v>
      </c>
      <c r="P58" s="268" t="s">
        <v>17</v>
      </c>
      <c r="Q58" s="315">
        <v>0.01</v>
      </c>
      <c r="R58" s="266">
        <f>O58*Q58</f>
        <v>1552.7785714285717</v>
      </c>
      <c r="S58" s="268" t="s">
        <v>17</v>
      </c>
      <c r="T58" s="271" t="s">
        <v>17</v>
      </c>
      <c r="U58" s="266">
        <f>O58/V58</f>
        <v>62111.142857142862</v>
      </c>
      <c r="V58" s="266">
        <v>2.5</v>
      </c>
      <c r="W58" s="266"/>
      <c r="X58" s="272">
        <v>260</v>
      </c>
      <c r="Y58" s="273">
        <f>(O58/1000)*X58</f>
        <v>40372.242857142861</v>
      </c>
      <c r="Z58" s="273">
        <f t="shared" si="75"/>
        <v>260</v>
      </c>
      <c r="AA58" s="273">
        <f t="shared" si="85"/>
        <v>25.999999999999996</v>
      </c>
      <c r="AB58" s="274">
        <v>169080</v>
      </c>
      <c r="AC58" s="275">
        <f>U58/AB58</f>
        <v>0.36734766298286531</v>
      </c>
      <c r="AE58" s="260"/>
      <c r="AF58" s="261">
        <v>0.37714360066240832</v>
      </c>
      <c r="AG58" s="260"/>
    </row>
    <row r="59" spans="2:35" ht="18.649999999999999" customHeight="1" x14ac:dyDescent="0.35">
      <c r="B59" s="277" t="str">
        <f>B58</f>
        <v>Ahmedabad</v>
      </c>
      <c r="C59" s="278"/>
      <c r="D59" s="279" t="s">
        <v>18</v>
      </c>
      <c r="E59" s="280"/>
      <c r="F59" s="279"/>
      <c r="G59" s="280"/>
      <c r="H59" s="280"/>
      <c r="I59" s="281"/>
      <c r="J59" s="546"/>
      <c r="K59" s="283"/>
      <c r="L59" s="284"/>
      <c r="M59" s="284"/>
      <c r="N59" s="284"/>
      <c r="O59" s="284">
        <f>SUM(O48:O58)</f>
        <v>21069768.981655266</v>
      </c>
      <c r="P59" s="284"/>
      <c r="Q59" s="285">
        <f>R59/O59</f>
        <v>4.7226807455802884E-3</v>
      </c>
      <c r="R59" s="284">
        <f>SUM(R48:R58)</f>
        <v>99505.792283488117</v>
      </c>
      <c r="S59" s="286"/>
      <c r="T59" s="316">
        <f>SUM(T48:T58)</f>
        <v>11586434.348633498</v>
      </c>
      <c r="U59" s="284">
        <f>U56+(SUM(U48:U48,U57:U58,U49:U50,U51:U55)*10%)</f>
        <v>2708174.2564009996</v>
      </c>
      <c r="V59" s="284">
        <f>O59/U59</f>
        <v>7.7800639792122235</v>
      </c>
      <c r="W59" s="284"/>
      <c r="X59" s="287"/>
      <c r="Y59" s="317">
        <f>SUM(Y48:Y58)</f>
        <v>2300390.5676126452</v>
      </c>
      <c r="Z59" s="288">
        <f t="shared" si="75"/>
        <v>109.17967679738288</v>
      </c>
      <c r="AA59" s="288">
        <f t="shared" si="85"/>
        <v>23.118157393882381</v>
      </c>
      <c r="AB59" s="284">
        <f>AB56+(SUM(AB48:AB55,AB57:AB58)*2%)</f>
        <v>3494320.9899500003</v>
      </c>
      <c r="AC59" s="289">
        <f>U59/AB59</f>
        <v>0.77502160339303872</v>
      </c>
      <c r="AD59" s="261"/>
      <c r="AE59" s="290"/>
      <c r="AF59" s="261">
        <v>0.71765482548306614</v>
      </c>
      <c r="AG59" s="290"/>
      <c r="AH59" s="460"/>
      <c r="AI59" s="459"/>
    </row>
    <row r="60" spans="2:35" ht="18.649999999999999" customHeight="1" x14ac:dyDescent="0.35">
      <c r="B60" s="321" t="s">
        <v>25</v>
      </c>
      <c r="C60" s="293" t="s">
        <v>93</v>
      </c>
      <c r="D60" s="294" t="s">
        <v>94</v>
      </c>
      <c r="E60" s="294" t="s">
        <v>45</v>
      </c>
      <c r="F60" s="295" t="s">
        <v>87</v>
      </c>
      <c r="G60" s="295" t="s">
        <v>50</v>
      </c>
      <c r="H60" s="296" t="s">
        <v>95</v>
      </c>
      <c r="I60" s="296" t="s">
        <v>608</v>
      </c>
      <c r="J60" s="551" t="s">
        <v>96</v>
      </c>
      <c r="K60" s="295" t="s">
        <v>89</v>
      </c>
      <c r="L60" s="298">
        <f t="shared" ref="L60:L68" si="90">N60-(M60-1)</f>
        <v>21</v>
      </c>
      <c r="M60" s="299">
        <v>45460</v>
      </c>
      <c r="N60" s="299">
        <v>45480</v>
      </c>
      <c r="O60" s="298">
        <f t="shared" ref="O60:O69" si="91">U60*V60</f>
        <v>3328559.5322425603</v>
      </c>
      <c r="P60" s="300" t="s">
        <v>17</v>
      </c>
      <c r="Q60" s="301"/>
      <c r="R60" s="298"/>
      <c r="S60" s="302">
        <v>0.85</v>
      </c>
      <c r="T60" s="303">
        <f t="shared" ref="T60:T61" si="92">O60*S60</f>
        <v>2829275.6024061763</v>
      </c>
      <c r="U60" s="298">
        <f>AB60*AC60</f>
        <v>489494.04885919997</v>
      </c>
      <c r="V60" s="298">
        <f>5*136%</f>
        <v>6.8000000000000007</v>
      </c>
      <c r="W60" s="298"/>
      <c r="X60" s="304">
        <v>125</v>
      </c>
      <c r="Y60" s="305">
        <f t="shared" ref="Y60:Y65" si="93">(O60/1000)*X60</f>
        <v>416069.94153032004</v>
      </c>
      <c r="Z60" s="305">
        <f t="shared" si="75"/>
        <v>125</v>
      </c>
      <c r="AA60" s="305"/>
      <c r="AB60" s="306">
        <v>569905</v>
      </c>
      <c r="AC60" s="307">
        <v>0.85890464</v>
      </c>
      <c r="AD60" s="261"/>
      <c r="AE60" s="260"/>
      <c r="AF60" s="261">
        <v>0.70400000000000007</v>
      </c>
      <c r="AG60" s="260"/>
    </row>
    <row r="61" spans="2:35" ht="18.649999999999999" customHeight="1" x14ac:dyDescent="0.35">
      <c r="B61" s="321" t="s">
        <v>25</v>
      </c>
      <c r="C61" s="293" t="s">
        <v>93</v>
      </c>
      <c r="D61" s="295" t="s">
        <v>86</v>
      </c>
      <c r="E61" s="295" t="s">
        <v>45</v>
      </c>
      <c r="F61" s="295" t="s">
        <v>87</v>
      </c>
      <c r="G61" s="296" t="s">
        <v>50</v>
      </c>
      <c r="H61" s="296" t="s">
        <v>95</v>
      </c>
      <c r="I61" s="296" t="s">
        <v>610</v>
      </c>
      <c r="J61" s="551" t="s">
        <v>96</v>
      </c>
      <c r="K61" s="295" t="s">
        <v>89</v>
      </c>
      <c r="L61" s="298">
        <f t="shared" si="90"/>
        <v>21</v>
      </c>
      <c r="M61" s="299">
        <v>45460</v>
      </c>
      <c r="N61" s="299">
        <v>45480</v>
      </c>
      <c r="O61" s="298">
        <f>Y61/X61*1000</f>
        <v>10774324.2906</v>
      </c>
      <c r="P61" s="300" t="s">
        <v>17</v>
      </c>
      <c r="Q61" s="301"/>
      <c r="R61" s="298"/>
      <c r="S61" s="302">
        <v>0.8</v>
      </c>
      <c r="T61" s="303">
        <f t="shared" si="92"/>
        <v>8619459.43248</v>
      </c>
      <c r="U61" s="298">
        <f>O61/V61</f>
        <v>1298111.3603132528</v>
      </c>
      <c r="V61" s="298">
        <v>8.3000000000000007</v>
      </c>
      <c r="W61" s="298"/>
      <c r="X61" s="304">
        <v>110</v>
      </c>
      <c r="Y61" s="305">
        <f>1185175.671966</f>
        <v>1185175.671966</v>
      </c>
      <c r="Z61" s="305">
        <f t="shared" si="75"/>
        <v>110</v>
      </c>
      <c r="AA61" s="305"/>
      <c r="AB61" s="306">
        <v>1443000</v>
      </c>
      <c r="AC61" s="307">
        <f>U61/AB61</f>
        <v>0.8995920722891565</v>
      </c>
      <c r="AF61" s="261">
        <v>0.748</v>
      </c>
    </row>
    <row r="62" spans="2:35" ht="18.649999999999999" customHeight="1" x14ac:dyDescent="0.35">
      <c r="B62" s="321" t="s">
        <v>25</v>
      </c>
      <c r="C62" s="293" t="s">
        <v>97</v>
      </c>
      <c r="D62" s="264" t="s">
        <v>561</v>
      </c>
      <c r="E62" s="264" t="s">
        <v>45</v>
      </c>
      <c r="F62" s="263" t="s">
        <v>87</v>
      </c>
      <c r="G62" s="263" t="s">
        <v>98</v>
      </c>
      <c r="H62" s="265" t="s">
        <v>90</v>
      </c>
      <c r="I62" s="265" t="s">
        <v>609</v>
      </c>
      <c r="J62" s="552" t="s">
        <v>96</v>
      </c>
      <c r="K62" s="263" t="s">
        <v>89</v>
      </c>
      <c r="L62" s="266">
        <f t="shared" si="90"/>
        <v>21</v>
      </c>
      <c r="M62" s="267">
        <v>45460</v>
      </c>
      <c r="N62" s="267">
        <v>45480</v>
      </c>
      <c r="O62" s="266">
        <f t="shared" si="91"/>
        <v>2880635.3138062498</v>
      </c>
      <c r="P62" s="268" t="s">
        <v>17</v>
      </c>
      <c r="Q62" s="269">
        <v>1E-3</v>
      </c>
      <c r="R62" s="266">
        <f t="shared" ref="R62" si="94">O62*Q62</f>
        <v>2880.63531380625</v>
      </c>
      <c r="S62" s="270">
        <v>0.7</v>
      </c>
      <c r="T62" s="271">
        <f>O62*S62</f>
        <v>2016444.7196643746</v>
      </c>
      <c r="U62" s="266">
        <f t="shared" ref="U62" si="95">AB62*AC62</f>
        <v>1646077.3221749999</v>
      </c>
      <c r="V62" s="266">
        <v>1.75</v>
      </c>
      <c r="W62" s="266"/>
      <c r="X62" s="272">
        <v>70</v>
      </c>
      <c r="Y62" s="273">
        <f t="shared" si="93"/>
        <v>201644.47196643747</v>
      </c>
      <c r="Z62" s="273">
        <f t="shared" si="75"/>
        <v>69.999999999999986</v>
      </c>
      <c r="AA62" s="273">
        <f t="shared" ref="AA62:AA68" si="96">Y62/R62</f>
        <v>69.999999999999986</v>
      </c>
      <c r="AB62" s="274">
        <f>3174600*85%</f>
        <v>2698410</v>
      </c>
      <c r="AC62" s="275">
        <v>0.61001749999999999</v>
      </c>
      <c r="AE62" s="260"/>
      <c r="AF62" s="261">
        <v>0.66</v>
      </c>
      <c r="AG62" s="260"/>
    </row>
    <row r="63" spans="2:35" ht="18.649999999999999" customHeight="1" x14ac:dyDescent="0.35">
      <c r="B63" s="321" t="s">
        <v>25</v>
      </c>
      <c r="C63" s="293" t="s">
        <v>97</v>
      </c>
      <c r="D63" s="264" t="s">
        <v>86</v>
      </c>
      <c r="E63" s="264" t="s">
        <v>45</v>
      </c>
      <c r="F63" s="263" t="s">
        <v>87</v>
      </c>
      <c r="G63" s="263" t="s">
        <v>98</v>
      </c>
      <c r="H63" s="265" t="s">
        <v>90</v>
      </c>
      <c r="I63" s="265" t="s">
        <v>610</v>
      </c>
      <c r="J63" s="552" t="s">
        <v>96</v>
      </c>
      <c r="K63" s="263" t="s">
        <v>89</v>
      </c>
      <c r="L63" s="266">
        <f t="shared" ref="L63" si="97">N63-(M63-1)</f>
        <v>21</v>
      </c>
      <c r="M63" s="267">
        <v>45460</v>
      </c>
      <c r="N63" s="267">
        <v>45480</v>
      </c>
      <c r="O63" s="266">
        <f>Y63/X63*1000</f>
        <v>4255948.1250000009</v>
      </c>
      <c r="P63" s="268" t="s">
        <v>17</v>
      </c>
      <c r="Q63" s="269">
        <v>1E-3</v>
      </c>
      <c r="R63" s="266">
        <f t="shared" ref="R63" si="98">O63*Q63</f>
        <v>4255.9481250000008</v>
      </c>
      <c r="S63" s="270">
        <v>0.8</v>
      </c>
      <c r="T63" s="271">
        <f>O63*S63</f>
        <v>3404758.5000000009</v>
      </c>
      <c r="U63" s="266">
        <f>O63/V63</f>
        <v>2086249.0808823535</v>
      </c>
      <c r="V63" s="266">
        <f>1.5*136%</f>
        <v>2.04</v>
      </c>
      <c r="W63" s="266"/>
      <c r="X63" s="272">
        <v>80</v>
      </c>
      <c r="Y63" s="273">
        <v>340475.85000000003</v>
      </c>
      <c r="Z63" s="273">
        <f t="shared" si="75"/>
        <v>79.999999999999986</v>
      </c>
      <c r="AA63" s="273">
        <f t="shared" si="96"/>
        <v>80</v>
      </c>
      <c r="AB63" s="274">
        <v>3174600</v>
      </c>
      <c r="AC63" s="275">
        <f>U63/AB63</f>
        <v>0.65716911764705899</v>
      </c>
      <c r="AE63" s="260"/>
      <c r="AF63" s="261">
        <v>0.66</v>
      </c>
      <c r="AG63" s="260"/>
      <c r="AH63" s="569"/>
      <c r="AI63" s="459"/>
    </row>
    <row r="64" spans="2:35" ht="18.649999999999999" customHeight="1" x14ac:dyDescent="0.35">
      <c r="B64" s="321" t="s">
        <v>25</v>
      </c>
      <c r="C64" s="293" t="s">
        <v>97</v>
      </c>
      <c r="D64" s="263" t="s">
        <v>99</v>
      </c>
      <c r="E64" s="263" t="s">
        <v>46</v>
      </c>
      <c r="F64" s="263" t="s">
        <v>100</v>
      </c>
      <c r="G64" s="263" t="s">
        <v>101</v>
      </c>
      <c r="H64" s="265" t="s">
        <v>88</v>
      </c>
      <c r="I64" s="265" t="s">
        <v>102</v>
      </c>
      <c r="J64" s="553" t="s">
        <v>96</v>
      </c>
      <c r="K64" s="263" t="s">
        <v>89</v>
      </c>
      <c r="L64" s="266">
        <f t="shared" si="90"/>
        <v>21</v>
      </c>
      <c r="M64" s="267">
        <v>45460</v>
      </c>
      <c r="N64" s="267">
        <v>45480</v>
      </c>
      <c r="O64" s="266">
        <f t="shared" si="91"/>
        <v>1651344.76960596</v>
      </c>
      <c r="P64" s="268" t="s">
        <v>17</v>
      </c>
      <c r="Q64" s="269">
        <v>1.4999999999999999E-2</v>
      </c>
      <c r="R64" s="266">
        <f>O64*Q64</f>
        <v>24770.1715440894</v>
      </c>
      <c r="S64" s="268" t="s">
        <v>17</v>
      </c>
      <c r="T64" s="271" t="s">
        <v>17</v>
      </c>
      <c r="U64" s="266">
        <f>AB64*AC64</f>
        <v>825672.38480298</v>
      </c>
      <c r="V64" s="266">
        <v>2</v>
      </c>
      <c r="W64" s="266"/>
      <c r="X64" s="272">
        <v>105</v>
      </c>
      <c r="Y64" s="273">
        <f t="shared" si="93"/>
        <v>173391.20080862578</v>
      </c>
      <c r="Z64" s="273">
        <f t="shared" si="75"/>
        <v>105</v>
      </c>
      <c r="AA64" s="273">
        <f t="shared" si="96"/>
        <v>6.9999999999999991</v>
      </c>
      <c r="AB64" s="274">
        <f>AB62*95%</f>
        <v>2563489.5</v>
      </c>
      <c r="AC64" s="275">
        <v>0.32208924</v>
      </c>
      <c r="AE64" s="260"/>
      <c r="AF64" s="261">
        <v>0.26400000000000001</v>
      </c>
      <c r="AG64" s="260"/>
      <c r="AI64" s="459"/>
    </row>
    <row r="65" spans="2:35" ht="18.649999999999999" customHeight="1" x14ac:dyDescent="0.35">
      <c r="B65" s="321" t="str">
        <f>B64</f>
        <v>Chennai</v>
      </c>
      <c r="C65" s="293" t="s">
        <v>97</v>
      </c>
      <c r="D65" s="310" t="s">
        <v>103</v>
      </c>
      <c r="E65" s="263" t="s">
        <v>46</v>
      </c>
      <c r="F65" s="310" t="s">
        <v>100</v>
      </c>
      <c r="G65" s="263" t="s">
        <v>98</v>
      </c>
      <c r="H65" s="265" t="s">
        <v>88</v>
      </c>
      <c r="I65" s="265" t="s">
        <v>104</v>
      </c>
      <c r="J65" s="553" t="s">
        <v>96</v>
      </c>
      <c r="K65" s="263" t="s">
        <v>105</v>
      </c>
      <c r="L65" s="266">
        <f t="shared" si="90"/>
        <v>21</v>
      </c>
      <c r="M65" s="267">
        <v>45460</v>
      </c>
      <c r="N65" s="267">
        <v>45480</v>
      </c>
      <c r="O65" s="266">
        <f t="shared" si="91"/>
        <v>1804924.7567427999</v>
      </c>
      <c r="P65" s="268" t="s">
        <v>17</v>
      </c>
      <c r="Q65" s="269">
        <v>1.4999999999999999E-2</v>
      </c>
      <c r="R65" s="266">
        <f>O65*Q65</f>
        <v>27073.871351141996</v>
      </c>
      <c r="S65" s="268" t="s">
        <v>17</v>
      </c>
      <c r="T65" s="271" t="s">
        <v>17</v>
      </c>
      <c r="U65" s="266">
        <f>AB65*AC65</f>
        <v>902462.37837139994</v>
      </c>
      <c r="V65" s="266">
        <v>2</v>
      </c>
      <c r="W65" s="266"/>
      <c r="X65" s="272">
        <v>120</v>
      </c>
      <c r="Y65" s="273">
        <f t="shared" si="93"/>
        <v>216590.97080913599</v>
      </c>
      <c r="Z65" s="273">
        <f t="shared" si="75"/>
        <v>120.00000000000001</v>
      </c>
      <c r="AA65" s="273">
        <f t="shared" si="96"/>
        <v>8.0000000000000018</v>
      </c>
      <c r="AB65" s="274">
        <v>1681141</v>
      </c>
      <c r="AC65" s="275">
        <v>0.53681539999999994</v>
      </c>
      <c r="AE65" s="260"/>
      <c r="AF65" s="261">
        <v>0.44</v>
      </c>
      <c r="AG65" s="260"/>
      <c r="AH65" s="320"/>
    </row>
    <row r="66" spans="2:35" ht="16.5" customHeight="1" x14ac:dyDescent="0.35">
      <c r="B66" s="321" t="str">
        <f>B65</f>
        <v>Chennai</v>
      </c>
      <c r="C66" s="293" t="s">
        <v>97</v>
      </c>
      <c r="D66" s="310" t="s">
        <v>106</v>
      </c>
      <c r="E66" s="311" t="s">
        <v>46</v>
      </c>
      <c r="F66" s="311" t="s">
        <v>91</v>
      </c>
      <c r="G66" s="263" t="s">
        <v>98</v>
      </c>
      <c r="H66" s="310" t="s">
        <v>88</v>
      </c>
      <c r="I66" s="263" t="s">
        <v>107</v>
      </c>
      <c r="J66" s="553" t="s">
        <v>96</v>
      </c>
      <c r="K66" s="263" t="s">
        <v>89</v>
      </c>
      <c r="L66" s="266">
        <f t="shared" si="90"/>
        <v>21</v>
      </c>
      <c r="M66" s="267">
        <v>45460</v>
      </c>
      <c r="N66" s="267">
        <v>45480</v>
      </c>
      <c r="O66" s="266">
        <f t="shared" si="91"/>
        <v>650280.26739825611</v>
      </c>
      <c r="P66" s="268" t="s">
        <v>17</v>
      </c>
      <c r="Q66" s="312">
        <v>0.01</v>
      </c>
      <c r="R66" s="266">
        <f t="shared" ref="R66:R67" si="99">O66*Q66</f>
        <v>6502.8026739825609</v>
      </c>
      <c r="S66" s="268" t="s">
        <v>17</v>
      </c>
      <c r="T66" s="271" t="s">
        <v>17</v>
      </c>
      <c r="U66" s="266">
        <f t="shared" ref="U66" si="100">AB66*AC66</f>
        <v>325140.13369912806</v>
      </c>
      <c r="V66" s="266">
        <v>2</v>
      </c>
      <c r="W66" s="266"/>
      <c r="X66" s="272">
        <v>200</v>
      </c>
      <c r="Y66" s="273">
        <f>O66*X66/1000</f>
        <v>130056.05347965122</v>
      </c>
      <c r="Z66" s="273">
        <f t="shared" si="75"/>
        <v>200</v>
      </c>
      <c r="AA66" s="273">
        <f t="shared" si="96"/>
        <v>20</v>
      </c>
      <c r="AB66" s="274">
        <v>1376553</v>
      </c>
      <c r="AC66" s="275">
        <v>0.23619877600000003</v>
      </c>
      <c r="AE66" s="260"/>
      <c r="AF66" s="261">
        <v>0.17600000000000002</v>
      </c>
      <c r="AG66" s="260"/>
      <c r="AH66" s="562"/>
    </row>
    <row r="67" spans="2:35" ht="18.649999999999999" customHeight="1" x14ac:dyDescent="0.35">
      <c r="B67" s="321" t="str">
        <f>B66</f>
        <v>Chennai</v>
      </c>
      <c r="C67" s="293" t="s">
        <v>97</v>
      </c>
      <c r="D67" s="310" t="s">
        <v>588</v>
      </c>
      <c r="E67" s="263" t="s">
        <v>46</v>
      </c>
      <c r="F67" s="310" t="s">
        <v>589</v>
      </c>
      <c r="G67" s="263" t="s">
        <v>98</v>
      </c>
      <c r="H67" s="265" t="s">
        <v>88</v>
      </c>
      <c r="I67" s="265" t="s">
        <v>590</v>
      </c>
      <c r="J67" s="553" t="s">
        <v>591</v>
      </c>
      <c r="K67" s="263" t="s">
        <v>592</v>
      </c>
      <c r="L67" s="266">
        <f t="shared" si="90"/>
        <v>21</v>
      </c>
      <c r="M67" s="267">
        <v>45460</v>
      </c>
      <c r="N67" s="267">
        <v>45480</v>
      </c>
      <c r="O67" s="266">
        <f>P67*3</f>
        <v>287794.36000000004</v>
      </c>
      <c r="P67" s="266">
        <f>Y67/X67</f>
        <v>95931.453333333353</v>
      </c>
      <c r="Q67" s="269">
        <v>1.4999999999999999E-2</v>
      </c>
      <c r="R67" s="266">
        <f t="shared" si="99"/>
        <v>4316.9154000000008</v>
      </c>
      <c r="S67" s="268" t="s">
        <v>17</v>
      </c>
      <c r="T67" s="271" t="s">
        <v>17</v>
      </c>
      <c r="U67" s="266">
        <f>O67/V67</f>
        <v>95931.453333333353</v>
      </c>
      <c r="V67" s="266">
        <v>3</v>
      </c>
      <c r="W67" s="266"/>
      <c r="X67" s="272">
        <v>1.5</v>
      </c>
      <c r="Y67" s="273">
        <v>143897.18000000002</v>
      </c>
      <c r="Z67" s="273">
        <f t="shared" si="75"/>
        <v>500</v>
      </c>
      <c r="AA67" s="273">
        <f t="shared" si="96"/>
        <v>33.333333333333336</v>
      </c>
      <c r="AB67" s="274">
        <v>1027837</v>
      </c>
      <c r="AC67" s="275">
        <f>U67/AB67</f>
        <v>9.3333333333333351E-2</v>
      </c>
      <c r="AE67" s="260"/>
      <c r="AF67" s="261">
        <v>0.26400000000000001</v>
      </c>
      <c r="AG67" s="260"/>
      <c r="AH67" s="320"/>
    </row>
    <row r="68" spans="2:35" ht="18.649999999999999" customHeight="1" x14ac:dyDescent="0.35">
      <c r="B68" s="321" t="str">
        <f>B67</f>
        <v>Chennai</v>
      </c>
      <c r="C68" s="293" t="s">
        <v>97</v>
      </c>
      <c r="D68" s="310" t="s">
        <v>109</v>
      </c>
      <c r="E68" s="263" t="s">
        <v>46</v>
      </c>
      <c r="F68" s="310" t="s">
        <v>100</v>
      </c>
      <c r="G68" s="263" t="s">
        <v>98</v>
      </c>
      <c r="H68" s="265" t="s">
        <v>88</v>
      </c>
      <c r="I68" s="265" t="s">
        <v>110</v>
      </c>
      <c r="J68" s="553" t="s">
        <v>96</v>
      </c>
      <c r="K68" s="263" t="s">
        <v>111</v>
      </c>
      <c r="L68" s="266">
        <f t="shared" si="90"/>
        <v>21</v>
      </c>
      <c r="M68" s="267">
        <v>45460</v>
      </c>
      <c r="N68" s="267">
        <v>45480</v>
      </c>
      <c r="O68" s="266">
        <f t="shared" si="91"/>
        <v>578407.85719199991</v>
      </c>
      <c r="P68" s="268" t="s">
        <v>17</v>
      </c>
      <c r="Q68" s="269">
        <v>0.02</v>
      </c>
      <c r="R68" s="266">
        <f>O68*Q68</f>
        <v>11568.157143839999</v>
      </c>
      <c r="S68" s="268" t="s">
        <v>17</v>
      </c>
      <c r="T68" s="271" t="s">
        <v>17</v>
      </c>
      <c r="U68" s="266">
        <f>AB68*AC68</f>
        <v>578407.85719199991</v>
      </c>
      <c r="V68" s="266">
        <v>1</v>
      </c>
      <c r="W68" s="266"/>
      <c r="X68" s="272">
        <v>4.5</v>
      </c>
      <c r="Y68" s="273">
        <f>R68*X68</f>
        <v>52056.707147279994</v>
      </c>
      <c r="Z68" s="273">
        <f t="shared" si="75"/>
        <v>90.000000000000014</v>
      </c>
      <c r="AA68" s="273">
        <f t="shared" si="96"/>
        <v>4.5</v>
      </c>
      <c r="AB68" s="274">
        <v>897899.99999999988</v>
      </c>
      <c r="AC68" s="275">
        <v>0.64417848</v>
      </c>
      <c r="AE68" s="260"/>
      <c r="AF68" s="261">
        <v>0.52800000000000002</v>
      </c>
      <c r="AG68" s="260"/>
    </row>
    <row r="69" spans="2:35" ht="18.649999999999999" customHeight="1" x14ac:dyDescent="0.35">
      <c r="B69" s="321" t="s">
        <v>25</v>
      </c>
      <c r="C69" s="293" t="s">
        <v>97</v>
      </c>
      <c r="D69" s="310" t="s">
        <v>600</v>
      </c>
      <c r="E69" s="314" t="s">
        <v>46</v>
      </c>
      <c r="F69" s="311" t="s">
        <v>565</v>
      </c>
      <c r="G69" s="263" t="s">
        <v>101</v>
      </c>
      <c r="H69" s="265" t="s">
        <v>88</v>
      </c>
      <c r="I69" s="265" t="s">
        <v>527</v>
      </c>
      <c r="J69" s="552" t="s">
        <v>566</v>
      </c>
      <c r="K69" s="263" t="s">
        <v>89</v>
      </c>
      <c r="L69" s="266">
        <f t="shared" ref="L69" si="101">N69-M69+1</f>
        <v>13</v>
      </c>
      <c r="M69" s="267">
        <v>45460</v>
      </c>
      <c r="N69" s="267">
        <v>45472</v>
      </c>
      <c r="O69" s="266">
        <f t="shared" si="91"/>
        <v>478691.04000000004</v>
      </c>
      <c r="P69" s="268" t="s">
        <v>17</v>
      </c>
      <c r="Q69" s="315">
        <v>5.0000000000000001E-3</v>
      </c>
      <c r="R69" s="266">
        <f t="shared" ref="R69" si="102">O69*Q69</f>
        <v>2393.4552000000003</v>
      </c>
      <c r="S69" s="268" t="s">
        <v>17</v>
      </c>
      <c r="T69" s="271" t="s">
        <v>17</v>
      </c>
      <c r="U69" s="266">
        <f t="shared" ref="U69" si="103">AB69*AC69</f>
        <v>239345.52000000002</v>
      </c>
      <c r="V69" s="266">
        <v>2</v>
      </c>
      <c r="W69" s="266"/>
      <c r="X69" s="272">
        <v>105</v>
      </c>
      <c r="Y69" s="273">
        <f t="shared" ref="Y69" si="104">O69/1000*X69</f>
        <v>50262.559200000003</v>
      </c>
      <c r="Z69" s="273">
        <f t="shared" ref="Z69" si="105">Y69/O69*1000</f>
        <v>105</v>
      </c>
      <c r="AA69" s="273">
        <f t="shared" ref="AA69" si="106">Y69/R69</f>
        <v>21</v>
      </c>
      <c r="AB69" s="274">
        <v>598363.80000000005</v>
      </c>
      <c r="AC69" s="275">
        <v>0.4</v>
      </c>
      <c r="AE69" s="260"/>
      <c r="AF69" s="261">
        <v>0.41878320671681585</v>
      </c>
      <c r="AG69" s="260"/>
    </row>
    <row r="70" spans="2:35" ht="18.649999999999999" customHeight="1" x14ac:dyDescent="0.35">
      <c r="B70" s="321" t="s">
        <v>25</v>
      </c>
      <c r="C70" s="293" t="s">
        <v>97</v>
      </c>
      <c r="D70" s="311" t="s">
        <v>116</v>
      </c>
      <c r="E70" s="263" t="s">
        <v>46</v>
      </c>
      <c r="F70" s="311" t="s">
        <v>114</v>
      </c>
      <c r="G70" s="263" t="s">
        <v>98</v>
      </c>
      <c r="H70" s="265" t="s">
        <v>88</v>
      </c>
      <c r="I70" s="265" t="s">
        <v>115</v>
      </c>
      <c r="J70" s="552" t="s">
        <v>96</v>
      </c>
      <c r="K70" s="263" t="s">
        <v>105</v>
      </c>
      <c r="L70" s="266">
        <f>N70-M70+1</f>
        <v>6</v>
      </c>
      <c r="M70" s="267">
        <v>45471</v>
      </c>
      <c r="N70" s="267">
        <v>45476</v>
      </c>
      <c r="O70" s="266">
        <f>361607/14*6</f>
        <v>154974.42857142858</v>
      </c>
      <c r="P70" s="268" t="s">
        <v>17</v>
      </c>
      <c r="Q70" s="315">
        <v>0.01</v>
      </c>
      <c r="R70" s="266">
        <f>O70*Q70</f>
        <v>1549.7442857142858</v>
      </c>
      <c r="S70" s="268" t="s">
        <v>17</v>
      </c>
      <c r="T70" s="271" t="s">
        <v>17</v>
      </c>
      <c r="U70" s="266">
        <f>O70/V70</f>
        <v>61989.771428571432</v>
      </c>
      <c r="V70" s="266">
        <v>2.5</v>
      </c>
      <c r="W70" s="266"/>
      <c r="X70" s="272">
        <v>260</v>
      </c>
      <c r="Y70" s="273">
        <f>(O70/1000)*X70</f>
        <v>40293.351428571426</v>
      </c>
      <c r="Z70" s="273">
        <f t="shared" ref="Z70:Z80" si="107">Y70/O70*1000</f>
        <v>259.99999999999994</v>
      </c>
      <c r="AA70" s="273">
        <f>Y70/R70</f>
        <v>25.999999999999996</v>
      </c>
      <c r="AB70" s="274">
        <v>168750</v>
      </c>
      <c r="AC70" s="275">
        <f>U70/AB70</f>
        <v>0.36734679365079365</v>
      </c>
      <c r="AE70" s="260"/>
      <c r="AF70" s="261">
        <v>0.3771427081481481</v>
      </c>
      <c r="AG70" s="260"/>
    </row>
    <row r="71" spans="2:35" ht="18.649999999999999" customHeight="1" x14ac:dyDescent="0.35">
      <c r="B71" s="277" t="str">
        <f>B70</f>
        <v>Chennai</v>
      </c>
      <c r="C71" s="278"/>
      <c r="D71" s="279" t="s">
        <v>18</v>
      </c>
      <c r="E71" s="280"/>
      <c r="F71" s="279"/>
      <c r="G71" s="280"/>
      <c r="H71" s="280"/>
      <c r="I71" s="281"/>
      <c r="J71" s="546"/>
      <c r="K71" s="283"/>
      <c r="L71" s="284"/>
      <c r="M71" s="284"/>
      <c r="N71" s="284"/>
      <c r="O71" s="284">
        <f>SUM(O60:O70)</f>
        <v>26845884.741159257</v>
      </c>
      <c r="P71" s="284"/>
      <c r="Q71" s="285">
        <f>R71/O71</f>
        <v>3.1778316065991783E-3</v>
      </c>
      <c r="R71" s="284">
        <f>SUM(R60:R70)</f>
        <v>85311.701037574487</v>
      </c>
      <c r="S71" s="286"/>
      <c r="T71" s="316">
        <f>SUM(T60:T70)</f>
        <v>16869938.25455055</v>
      </c>
      <c r="U71" s="284">
        <f>U63+(SUM(U60:U60,U64:U70,U61:U62)*8%)</f>
        <v>2603259.6592963426</v>
      </c>
      <c r="V71" s="284">
        <f>O71/U71</f>
        <v>10.312411458953603</v>
      </c>
      <c r="W71" s="284"/>
      <c r="X71" s="287"/>
      <c r="Y71" s="317">
        <f>SUM(Y60:Y70)</f>
        <v>2949913.9583360222</v>
      </c>
      <c r="Z71" s="288">
        <f t="shared" si="107"/>
        <v>109.88328329568174</v>
      </c>
      <c r="AA71" s="288">
        <f>Y71/R71</f>
        <v>34.578069859804685</v>
      </c>
      <c r="AB71" s="284">
        <f>AB63+(SUM(AB60:AB62,AB64:AB70)*2%)</f>
        <v>3435106.986</v>
      </c>
      <c r="AC71" s="289">
        <f>U71/AB71</f>
        <v>0.75783947047532874</v>
      </c>
      <c r="AD71" s="261"/>
      <c r="AE71" s="290"/>
      <c r="AF71" s="261">
        <v>0.7495176177392302</v>
      </c>
      <c r="AG71" s="290"/>
      <c r="AH71" s="460"/>
      <c r="AI71" s="459"/>
    </row>
    <row r="72" spans="2:35" ht="18.649999999999999" customHeight="1" x14ac:dyDescent="0.35">
      <c r="B72" s="321" t="s">
        <v>121</v>
      </c>
      <c r="C72" s="293" t="s">
        <v>93</v>
      </c>
      <c r="D72" s="294" t="s">
        <v>94</v>
      </c>
      <c r="E72" s="294" t="s">
        <v>45</v>
      </c>
      <c r="F72" s="295" t="s">
        <v>87</v>
      </c>
      <c r="G72" s="295" t="s">
        <v>50</v>
      </c>
      <c r="H72" s="296" t="s">
        <v>95</v>
      </c>
      <c r="I72" s="296" t="s">
        <v>608</v>
      </c>
      <c r="J72" s="551" t="s">
        <v>96</v>
      </c>
      <c r="K72" s="295" t="s">
        <v>89</v>
      </c>
      <c r="L72" s="298">
        <f t="shared" ref="L72:L80" si="108">N72-(M72-1)</f>
        <v>21</v>
      </c>
      <c r="M72" s="299">
        <v>45460</v>
      </c>
      <c r="N72" s="299">
        <v>45480</v>
      </c>
      <c r="O72" s="298">
        <f t="shared" ref="O72:O74" si="109">U72*V72</f>
        <v>5607863.9781683208</v>
      </c>
      <c r="P72" s="300" t="s">
        <v>17</v>
      </c>
      <c r="Q72" s="301"/>
      <c r="R72" s="298"/>
      <c r="S72" s="302">
        <v>0.85</v>
      </c>
      <c r="T72" s="303">
        <f t="shared" ref="T72:T73" si="110">O72*S72</f>
        <v>4766684.381443073</v>
      </c>
      <c r="U72" s="298">
        <f>AB72*AC72</f>
        <v>824685.87914239999</v>
      </c>
      <c r="V72" s="298">
        <f>5*136%</f>
        <v>6.8000000000000007</v>
      </c>
      <c r="W72" s="298"/>
      <c r="X72" s="304">
        <v>125</v>
      </c>
      <c r="Y72" s="305">
        <f t="shared" ref="Y72:Y77" si="111">(O72/1000)*X72</f>
        <v>700982.99727104011</v>
      </c>
      <c r="Z72" s="305">
        <f t="shared" si="107"/>
        <v>125</v>
      </c>
      <c r="AA72" s="305"/>
      <c r="AB72" s="306">
        <v>960160</v>
      </c>
      <c r="AC72" s="307">
        <v>0.85890464</v>
      </c>
      <c r="AD72" s="261"/>
      <c r="AE72" s="260"/>
      <c r="AF72" s="261">
        <v>0.70400000000000007</v>
      </c>
      <c r="AG72" s="260"/>
    </row>
    <row r="73" spans="2:35" ht="18.649999999999999" customHeight="1" x14ac:dyDescent="0.35">
      <c r="B73" s="321" t="s">
        <v>121</v>
      </c>
      <c r="C73" s="293" t="s">
        <v>93</v>
      </c>
      <c r="D73" s="295" t="s">
        <v>86</v>
      </c>
      <c r="E73" s="295" t="s">
        <v>45</v>
      </c>
      <c r="F73" s="295" t="s">
        <v>87</v>
      </c>
      <c r="G73" s="296" t="s">
        <v>50</v>
      </c>
      <c r="H73" s="296" t="s">
        <v>95</v>
      </c>
      <c r="I73" s="296" t="s">
        <v>610</v>
      </c>
      <c r="J73" s="551" t="s">
        <v>96</v>
      </c>
      <c r="K73" s="295" t="s">
        <v>89</v>
      </c>
      <c r="L73" s="298">
        <f t="shared" si="108"/>
        <v>21</v>
      </c>
      <c r="M73" s="299">
        <v>45460</v>
      </c>
      <c r="N73" s="299">
        <v>45480</v>
      </c>
      <c r="O73" s="298">
        <f>Y73/X73*1000</f>
        <v>87064992.475322455</v>
      </c>
      <c r="P73" s="300" t="s">
        <v>17</v>
      </c>
      <c r="Q73" s="301"/>
      <c r="R73" s="298"/>
      <c r="S73" s="302">
        <v>0.8</v>
      </c>
      <c r="T73" s="303">
        <f t="shared" si="110"/>
        <v>69651993.980257973</v>
      </c>
      <c r="U73" s="298">
        <f>O73/V73</f>
        <v>10489758.129556922</v>
      </c>
      <c r="V73" s="298">
        <v>8.3000000000000007</v>
      </c>
      <c r="W73" s="298"/>
      <c r="X73" s="304">
        <v>110</v>
      </c>
      <c r="Y73" s="305">
        <f>9577149.17228547</f>
        <v>9577149.1722854692</v>
      </c>
      <c r="Z73" s="305">
        <f t="shared" si="107"/>
        <v>109.99999999999999</v>
      </c>
      <c r="AA73" s="305"/>
      <c r="AB73" s="306">
        <v>11660572</v>
      </c>
      <c r="AC73" s="307">
        <f>U73/AB73</f>
        <v>0.89959207228915716</v>
      </c>
      <c r="AF73" s="261">
        <v>0.748</v>
      </c>
    </row>
    <row r="74" spans="2:35" ht="18.649999999999999" customHeight="1" x14ac:dyDescent="0.35">
      <c r="B74" s="321" t="s">
        <v>121</v>
      </c>
      <c r="C74" s="293" t="s">
        <v>97</v>
      </c>
      <c r="D74" s="264" t="s">
        <v>561</v>
      </c>
      <c r="E74" s="264" t="s">
        <v>45</v>
      </c>
      <c r="F74" s="263" t="s">
        <v>87</v>
      </c>
      <c r="G74" s="263" t="s">
        <v>98</v>
      </c>
      <c r="H74" s="265" t="s">
        <v>90</v>
      </c>
      <c r="I74" s="265" t="s">
        <v>609</v>
      </c>
      <c r="J74" s="552" t="s">
        <v>96</v>
      </c>
      <c r="K74" s="263" t="s">
        <v>89</v>
      </c>
      <c r="L74" s="266">
        <f t="shared" si="108"/>
        <v>21</v>
      </c>
      <c r="M74" s="267">
        <v>45460</v>
      </c>
      <c r="N74" s="267">
        <v>45480</v>
      </c>
      <c r="O74" s="266">
        <f t="shared" si="109"/>
        <v>17193824.015167404</v>
      </c>
      <c r="P74" s="268" t="s">
        <v>17</v>
      </c>
      <c r="Q74" s="269">
        <v>1E-3</v>
      </c>
      <c r="R74" s="266">
        <f t="shared" ref="R74:R75" si="112">O74*Q74</f>
        <v>17193.824015167404</v>
      </c>
      <c r="S74" s="270">
        <v>0.7</v>
      </c>
      <c r="T74" s="271">
        <f>O74*S74</f>
        <v>12035676.810617182</v>
      </c>
      <c r="U74" s="266">
        <f t="shared" ref="U74" si="113">AB74*AC74</f>
        <v>9825042.2943813745</v>
      </c>
      <c r="V74" s="266">
        <v>1.75</v>
      </c>
      <c r="W74" s="266"/>
      <c r="X74" s="272">
        <v>70</v>
      </c>
      <c r="Y74" s="273">
        <f t="shared" si="111"/>
        <v>1203567.6810617181</v>
      </c>
      <c r="Z74" s="273">
        <f t="shared" si="107"/>
        <v>69.999999999999986</v>
      </c>
      <c r="AA74" s="273">
        <f t="shared" ref="AA74:AA80" si="114">Y74/R74</f>
        <v>70</v>
      </c>
      <c r="AB74" s="274">
        <f>18948429*85%</f>
        <v>16106164.65</v>
      </c>
      <c r="AC74" s="275">
        <v>0.61001749999999999</v>
      </c>
      <c r="AE74" s="260"/>
      <c r="AF74" s="261">
        <v>0.61599999999999999</v>
      </c>
      <c r="AG74" s="260"/>
    </row>
    <row r="75" spans="2:35" ht="18.649999999999999" customHeight="1" x14ac:dyDescent="0.35">
      <c r="B75" s="321" t="s">
        <v>121</v>
      </c>
      <c r="C75" s="293" t="s">
        <v>97</v>
      </c>
      <c r="D75" s="264" t="s">
        <v>86</v>
      </c>
      <c r="E75" s="264" t="s">
        <v>45</v>
      </c>
      <c r="F75" s="263" t="s">
        <v>87</v>
      </c>
      <c r="G75" s="263" t="s">
        <v>98</v>
      </c>
      <c r="H75" s="265" t="s">
        <v>90</v>
      </c>
      <c r="I75" s="265" t="s">
        <v>610</v>
      </c>
      <c r="J75" s="552" t="s">
        <v>96</v>
      </c>
      <c r="K75" s="263" t="s">
        <v>89</v>
      </c>
      <c r="L75" s="266">
        <f t="shared" si="108"/>
        <v>21</v>
      </c>
      <c r="M75" s="267">
        <v>45460</v>
      </c>
      <c r="N75" s="267">
        <v>45480</v>
      </c>
      <c r="O75" s="266">
        <f>Y75/X75*1000</f>
        <v>25402737.628124997</v>
      </c>
      <c r="P75" s="268" t="s">
        <v>17</v>
      </c>
      <c r="Q75" s="269">
        <v>1E-3</v>
      </c>
      <c r="R75" s="266">
        <f t="shared" si="112"/>
        <v>25402.737628124996</v>
      </c>
      <c r="S75" s="270">
        <v>0.8</v>
      </c>
      <c r="T75" s="271">
        <f>O75*S75</f>
        <v>20322190.102499999</v>
      </c>
      <c r="U75" s="266">
        <f>O75/V75</f>
        <v>12452322.366727939</v>
      </c>
      <c r="V75" s="266">
        <f>1.5*136%</f>
        <v>2.04</v>
      </c>
      <c r="W75" s="266"/>
      <c r="X75" s="272">
        <v>80</v>
      </c>
      <c r="Y75" s="273">
        <v>2032219.0102499998</v>
      </c>
      <c r="Z75" s="273">
        <f t="shared" si="107"/>
        <v>80</v>
      </c>
      <c r="AA75" s="273">
        <f t="shared" si="114"/>
        <v>80</v>
      </c>
      <c r="AB75" s="274">
        <v>18948429</v>
      </c>
      <c r="AC75" s="275">
        <f>U75/AB75</f>
        <v>0.65716911764705865</v>
      </c>
      <c r="AE75" s="260"/>
      <c r="AF75" s="261">
        <v>0.61599999999999999</v>
      </c>
      <c r="AG75" s="260"/>
    </row>
    <row r="76" spans="2:35" ht="18.649999999999999" customHeight="1" x14ac:dyDescent="0.35">
      <c r="B76" s="321" t="s">
        <v>121</v>
      </c>
      <c r="C76" s="293" t="s">
        <v>97</v>
      </c>
      <c r="D76" s="263" t="s">
        <v>99</v>
      </c>
      <c r="E76" s="263" t="s">
        <v>46</v>
      </c>
      <c r="F76" s="263" t="s">
        <v>100</v>
      </c>
      <c r="G76" s="263" t="s">
        <v>101</v>
      </c>
      <c r="H76" s="265" t="s">
        <v>88</v>
      </c>
      <c r="I76" s="265" t="s">
        <v>102</v>
      </c>
      <c r="J76" s="553" t="s">
        <v>96</v>
      </c>
      <c r="K76" s="263" t="s">
        <v>89</v>
      </c>
      <c r="L76" s="266">
        <f t="shared" si="108"/>
        <v>21</v>
      </c>
      <c r="M76" s="267">
        <v>45460</v>
      </c>
      <c r="N76" s="267">
        <v>45480</v>
      </c>
      <c r="O76" s="266">
        <f>U76*V76</f>
        <v>9856482.429723395</v>
      </c>
      <c r="P76" s="268" t="s">
        <v>17</v>
      </c>
      <c r="Q76" s="269">
        <v>1.4999999999999999E-2</v>
      </c>
      <c r="R76" s="266">
        <f>O76*Q76</f>
        <v>147847.23644585093</v>
      </c>
      <c r="S76" s="268" t="s">
        <v>17</v>
      </c>
      <c r="T76" s="271" t="s">
        <v>17</v>
      </c>
      <c r="U76" s="266">
        <f>AB76*AC76</f>
        <v>4928241.2148616975</v>
      </c>
      <c r="V76" s="266">
        <v>2</v>
      </c>
      <c r="W76" s="266"/>
      <c r="X76" s="272">
        <v>105</v>
      </c>
      <c r="Y76" s="273">
        <f t="shared" si="111"/>
        <v>1034930.6551209565</v>
      </c>
      <c r="Z76" s="273">
        <f t="shared" si="107"/>
        <v>105</v>
      </c>
      <c r="AA76" s="273">
        <f t="shared" si="114"/>
        <v>7</v>
      </c>
      <c r="AB76" s="274">
        <f>AB74*95%</f>
        <v>15300856.4175</v>
      </c>
      <c r="AC76" s="275">
        <v>0.32208924</v>
      </c>
      <c r="AE76" s="260"/>
      <c r="AF76" s="261">
        <v>0.26400000000000001</v>
      </c>
      <c r="AG76" s="260"/>
    </row>
    <row r="77" spans="2:35" ht="18.649999999999999" customHeight="1" x14ac:dyDescent="0.35">
      <c r="B77" s="321" t="str">
        <f>B76</f>
        <v>Delhi + NCR</v>
      </c>
      <c r="C77" s="293" t="s">
        <v>97</v>
      </c>
      <c r="D77" s="310" t="s">
        <v>103</v>
      </c>
      <c r="E77" s="263" t="s">
        <v>46</v>
      </c>
      <c r="F77" s="310" t="s">
        <v>100</v>
      </c>
      <c r="G77" s="263" t="s">
        <v>98</v>
      </c>
      <c r="H77" s="265" t="s">
        <v>88</v>
      </c>
      <c r="I77" s="265" t="s">
        <v>104</v>
      </c>
      <c r="J77" s="553" t="s">
        <v>96</v>
      </c>
      <c r="K77" s="263" t="s">
        <v>105</v>
      </c>
      <c r="L77" s="266">
        <f t="shared" si="108"/>
        <v>21</v>
      </c>
      <c r="M77" s="267">
        <v>45460</v>
      </c>
      <c r="N77" s="267">
        <v>45480</v>
      </c>
      <c r="O77" s="266">
        <f>U77*V77</f>
        <v>3187356.4683311996</v>
      </c>
      <c r="P77" s="268" t="s">
        <v>17</v>
      </c>
      <c r="Q77" s="269">
        <v>1.4999999999999999E-2</v>
      </c>
      <c r="R77" s="266">
        <f>O77*Q77</f>
        <v>47810.347024967996</v>
      </c>
      <c r="S77" s="268" t="s">
        <v>17</v>
      </c>
      <c r="T77" s="271" t="s">
        <v>17</v>
      </c>
      <c r="U77" s="266">
        <f>AB77*AC77</f>
        <v>1593678.2341655998</v>
      </c>
      <c r="V77" s="266">
        <v>2</v>
      </c>
      <c r="W77" s="266"/>
      <c r="X77" s="272">
        <v>120</v>
      </c>
      <c r="Y77" s="273">
        <f t="shared" si="111"/>
        <v>382482.77619974397</v>
      </c>
      <c r="Z77" s="273">
        <f t="shared" si="107"/>
        <v>120.00000000000001</v>
      </c>
      <c r="AA77" s="273">
        <f t="shared" si="114"/>
        <v>8</v>
      </c>
      <c r="AB77" s="274">
        <v>2968764</v>
      </c>
      <c r="AC77" s="275">
        <v>0.53681539999999994</v>
      </c>
      <c r="AE77" s="260"/>
      <c r="AF77" s="261">
        <v>0.44</v>
      </c>
      <c r="AG77" s="260"/>
      <c r="AH77" s="320"/>
    </row>
    <row r="78" spans="2:35" ht="18.649999999999999" customHeight="1" x14ac:dyDescent="0.35">
      <c r="B78" s="321" t="str">
        <f>B77</f>
        <v>Delhi + NCR</v>
      </c>
      <c r="C78" s="293" t="s">
        <v>97</v>
      </c>
      <c r="D78" s="310" t="s">
        <v>106</v>
      </c>
      <c r="E78" s="311" t="s">
        <v>46</v>
      </c>
      <c r="F78" s="311" t="s">
        <v>91</v>
      </c>
      <c r="G78" s="263" t="s">
        <v>98</v>
      </c>
      <c r="H78" s="310" t="s">
        <v>88</v>
      </c>
      <c r="I78" s="263" t="s">
        <v>107</v>
      </c>
      <c r="J78" s="553" t="s">
        <v>96</v>
      </c>
      <c r="K78" s="263" t="s">
        <v>89</v>
      </c>
      <c r="L78" s="266">
        <f t="shared" si="108"/>
        <v>21</v>
      </c>
      <c r="M78" s="267">
        <v>45460</v>
      </c>
      <c r="N78" s="267">
        <v>45480</v>
      </c>
      <c r="O78" s="266">
        <f>U78*V78</f>
        <v>4844861.581159248</v>
      </c>
      <c r="P78" s="268" t="s">
        <v>17</v>
      </c>
      <c r="Q78" s="312">
        <v>0.01</v>
      </c>
      <c r="R78" s="266">
        <f t="shared" ref="R78:R79" si="115">O78*Q78</f>
        <v>48448.615811592485</v>
      </c>
      <c r="S78" s="268" t="s">
        <v>17</v>
      </c>
      <c r="T78" s="271" t="s">
        <v>17</v>
      </c>
      <c r="U78" s="266">
        <f t="shared" ref="U78" si="116">AB78*AC78</f>
        <v>2422430.790579624</v>
      </c>
      <c r="V78" s="266">
        <v>2</v>
      </c>
      <c r="W78" s="266"/>
      <c r="X78" s="272">
        <v>200</v>
      </c>
      <c r="Y78" s="273">
        <f>O78*X78/1000</f>
        <v>968972.3162318496</v>
      </c>
      <c r="Z78" s="273">
        <f t="shared" si="107"/>
        <v>200</v>
      </c>
      <c r="AA78" s="273">
        <f t="shared" si="114"/>
        <v>19.999999999999996</v>
      </c>
      <c r="AB78" s="274">
        <v>6837266</v>
      </c>
      <c r="AC78" s="275">
        <v>0.35429816400000003</v>
      </c>
      <c r="AE78" s="260"/>
      <c r="AF78" s="261">
        <v>0.26400000000000001</v>
      </c>
      <c r="AG78" s="260"/>
      <c r="AH78" s="562"/>
    </row>
    <row r="79" spans="2:35" ht="18.649999999999999" customHeight="1" x14ac:dyDescent="0.35">
      <c r="B79" s="321" t="str">
        <f>B78</f>
        <v>Delhi + NCR</v>
      </c>
      <c r="C79" s="293" t="s">
        <v>97</v>
      </c>
      <c r="D79" s="310" t="s">
        <v>588</v>
      </c>
      <c r="E79" s="263" t="s">
        <v>46</v>
      </c>
      <c r="F79" s="310" t="s">
        <v>589</v>
      </c>
      <c r="G79" s="263" t="s">
        <v>98</v>
      </c>
      <c r="H79" s="265" t="s">
        <v>88</v>
      </c>
      <c r="I79" s="265" t="s">
        <v>590</v>
      </c>
      <c r="J79" s="553" t="s">
        <v>591</v>
      </c>
      <c r="K79" s="263" t="s">
        <v>592</v>
      </c>
      <c r="L79" s="266">
        <f t="shared" si="108"/>
        <v>21</v>
      </c>
      <c r="M79" s="267">
        <v>45460</v>
      </c>
      <c r="N79" s="267">
        <v>45480</v>
      </c>
      <c r="O79" s="266">
        <f>P79*3</f>
        <v>1079229.2000000002</v>
      </c>
      <c r="P79" s="266">
        <f>Y79/X79</f>
        <v>359743.06666666671</v>
      </c>
      <c r="Q79" s="269">
        <v>1.4999999999999999E-2</v>
      </c>
      <c r="R79" s="266">
        <f t="shared" si="115"/>
        <v>16188.438000000002</v>
      </c>
      <c r="S79" s="268" t="s">
        <v>17</v>
      </c>
      <c r="T79" s="271" t="s">
        <v>17</v>
      </c>
      <c r="U79" s="266">
        <f>O79/V79</f>
        <v>359743.06666666671</v>
      </c>
      <c r="V79" s="266">
        <v>3</v>
      </c>
      <c r="W79" s="266"/>
      <c r="X79" s="272">
        <v>1.5</v>
      </c>
      <c r="Y79" s="273">
        <v>539614.60000000009</v>
      </c>
      <c r="Z79" s="273">
        <f t="shared" si="107"/>
        <v>500</v>
      </c>
      <c r="AA79" s="273">
        <f t="shared" si="114"/>
        <v>33.333333333333336</v>
      </c>
      <c r="AB79" s="274">
        <v>3854390</v>
      </c>
      <c r="AC79" s="275">
        <f>U79/AB79</f>
        <v>9.3333333333333338E-2</v>
      </c>
      <c r="AE79" s="260"/>
      <c r="AF79" s="261">
        <v>0.26400000000000001</v>
      </c>
      <c r="AG79" s="260"/>
      <c r="AH79" s="320"/>
    </row>
    <row r="80" spans="2:35" ht="18.649999999999999" customHeight="1" x14ac:dyDescent="0.35">
      <c r="B80" s="321" t="str">
        <f>B79</f>
        <v>Delhi + NCR</v>
      </c>
      <c r="C80" s="293" t="s">
        <v>97</v>
      </c>
      <c r="D80" s="310" t="s">
        <v>109</v>
      </c>
      <c r="E80" s="263" t="s">
        <v>46</v>
      </c>
      <c r="F80" s="310" t="s">
        <v>100</v>
      </c>
      <c r="G80" s="263" t="s">
        <v>98</v>
      </c>
      <c r="H80" s="265" t="s">
        <v>88</v>
      </c>
      <c r="I80" s="265" t="s">
        <v>110</v>
      </c>
      <c r="J80" s="553" t="s">
        <v>96</v>
      </c>
      <c r="K80" s="263" t="s">
        <v>111</v>
      </c>
      <c r="L80" s="266">
        <f t="shared" si="108"/>
        <v>21</v>
      </c>
      <c r="M80" s="267">
        <v>45460</v>
      </c>
      <c r="N80" s="267">
        <v>45480</v>
      </c>
      <c r="O80" s="266">
        <f>U80*V80</f>
        <v>5266803.2524800003</v>
      </c>
      <c r="P80" s="268" t="s">
        <v>17</v>
      </c>
      <c r="Q80" s="269">
        <v>0.02</v>
      </c>
      <c r="R80" s="266">
        <f>O80*Q80</f>
        <v>105336.0650496</v>
      </c>
      <c r="S80" s="268" t="s">
        <v>17</v>
      </c>
      <c r="T80" s="271" t="s">
        <v>17</v>
      </c>
      <c r="U80" s="266">
        <f>AB80*AC80</f>
        <v>5266803.2524800003</v>
      </c>
      <c r="V80" s="266">
        <v>1</v>
      </c>
      <c r="W80" s="266"/>
      <c r="X80" s="272">
        <v>4.5</v>
      </c>
      <c r="Y80" s="273">
        <f>R80*X80</f>
        <v>474012.29272319999</v>
      </c>
      <c r="Z80" s="273">
        <f t="shared" si="107"/>
        <v>90</v>
      </c>
      <c r="AA80" s="273">
        <f t="shared" si="114"/>
        <v>4.5</v>
      </c>
      <c r="AB80" s="274">
        <v>8176000</v>
      </c>
      <c r="AC80" s="275">
        <v>0.64417848</v>
      </c>
      <c r="AE80" s="260"/>
      <c r="AF80" s="261">
        <v>0.52800000000000002</v>
      </c>
      <c r="AG80" s="260"/>
    </row>
    <row r="81" spans="2:35" ht="18.649999999999999" customHeight="1" x14ac:dyDescent="0.35">
      <c r="B81" s="321" t="s">
        <v>567</v>
      </c>
      <c r="C81" s="293" t="s">
        <v>97</v>
      </c>
      <c r="D81" s="310" t="s">
        <v>600</v>
      </c>
      <c r="E81" s="314" t="s">
        <v>46</v>
      </c>
      <c r="F81" s="311" t="s">
        <v>565</v>
      </c>
      <c r="G81" s="263" t="s">
        <v>101</v>
      </c>
      <c r="H81" s="265" t="s">
        <v>88</v>
      </c>
      <c r="I81" s="265" t="s">
        <v>527</v>
      </c>
      <c r="J81" s="552" t="s">
        <v>566</v>
      </c>
      <c r="K81" s="263" t="s">
        <v>89</v>
      </c>
      <c r="L81" s="266">
        <f t="shared" ref="L81" si="117">N81-M81+1</f>
        <v>13</v>
      </c>
      <c r="M81" s="267">
        <v>45460</v>
      </c>
      <c r="N81" s="267">
        <v>45472</v>
      </c>
      <c r="O81" s="266">
        <f t="shared" ref="O81" si="118">U81*V81</f>
        <v>1195356.06</v>
      </c>
      <c r="P81" s="268" t="s">
        <v>17</v>
      </c>
      <c r="Q81" s="315">
        <v>5.0000000000000001E-3</v>
      </c>
      <c r="R81" s="266">
        <f t="shared" ref="R81" si="119">O81*Q81</f>
        <v>5976.7803000000004</v>
      </c>
      <c r="S81" s="268" t="s">
        <v>17</v>
      </c>
      <c r="T81" s="271" t="s">
        <v>17</v>
      </c>
      <c r="U81" s="266">
        <f t="shared" ref="U81" si="120">AB81*AC81</f>
        <v>597678.03</v>
      </c>
      <c r="V81" s="266">
        <v>2</v>
      </c>
      <c r="W81" s="266"/>
      <c r="X81" s="272">
        <v>105</v>
      </c>
      <c r="Y81" s="273">
        <f t="shared" ref="Y81" si="121">O81/1000*X81</f>
        <v>125512.38630000001</v>
      </c>
      <c r="Z81" s="273">
        <f t="shared" ref="Z81" si="122">Y81/O81*1000</f>
        <v>105.00000000000001</v>
      </c>
      <c r="AA81" s="273">
        <f t="shared" ref="AA81" si="123">Y81/R81</f>
        <v>21</v>
      </c>
      <c r="AB81" s="274">
        <v>1328173.4000000001</v>
      </c>
      <c r="AC81" s="275">
        <v>0.45</v>
      </c>
      <c r="AE81" s="260"/>
      <c r="AF81" s="261">
        <v>0.61122534753372715</v>
      </c>
      <c r="AG81" s="260"/>
    </row>
    <row r="82" spans="2:35" ht="18.649999999999999" customHeight="1" x14ac:dyDescent="0.35">
      <c r="B82" s="321" t="s">
        <v>121</v>
      </c>
      <c r="C82" s="293" t="s">
        <v>97</v>
      </c>
      <c r="D82" s="311" t="s">
        <v>116</v>
      </c>
      <c r="E82" s="263" t="s">
        <v>46</v>
      </c>
      <c r="F82" s="311" t="s">
        <v>114</v>
      </c>
      <c r="G82" s="263" t="s">
        <v>98</v>
      </c>
      <c r="H82" s="265" t="s">
        <v>88</v>
      </c>
      <c r="I82" s="265" t="s">
        <v>115</v>
      </c>
      <c r="J82" s="552" t="s">
        <v>96</v>
      </c>
      <c r="K82" s="263" t="s">
        <v>105</v>
      </c>
      <c r="L82" s="266">
        <f>N82-M82+1</f>
        <v>6</v>
      </c>
      <c r="M82" s="267">
        <v>45471</v>
      </c>
      <c r="N82" s="267">
        <v>45476</v>
      </c>
      <c r="O82" s="266">
        <f>1714285/14*6</f>
        <v>734693.57142857136</v>
      </c>
      <c r="P82" s="268" t="s">
        <v>17</v>
      </c>
      <c r="Q82" s="315">
        <v>0.01</v>
      </c>
      <c r="R82" s="266">
        <f>O82*Q82</f>
        <v>7346.9357142857134</v>
      </c>
      <c r="S82" s="268" t="s">
        <v>17</v>
      </c>
      <c r="T82" s="271" t="s">
        <v>17</v>
      </c>
      <c r="U82" s="266">
        <f>O82/V82</f>
        <v>146938.71428571426</v>
      </c>
      <c r="V82" s="266">
        <v>5</v>
      </c>
      <c r="W82" s="266"/>
      <c r="X82" s="272">
        <v>260</v>
      </c>
      <c r="Y82" s="273">
        <f>(O82/1000)*X82</f>
        <v>191020.32857142854</v>
      </c>
      <c r="Z82" s="273">
        <f t="shared" ref="Z82:Z92" si="124">Y82/O82*1000</f>
        <v>260</v>
      </c>
      <c r="AA82" s="273">
        <f>Y82/R82</f>
        <v>26</v>
      </c>
      <c r="AB82" s="274">
        <v>400000</v>
      </c>
      <c r="AC82" s="275">
        <f>U82/AB82</f>
        <v>0.36734678571428564</v>
      </c>
      <c r="AE82" s="260"/>
      <c r="AF82" s="261">
        <v>0.3771427</v>
      </c>
      <c r="AG82" s="260"/>
    </row>
    <row r="83" spans="2:35" ht="18.649999999999999" customHeight="1" x14ac:dyDescent="0.35">
      <c r="B83" s="277" t="str">
        <f>B82</f>
        <v>Delhi + NCR</v>
      </c>
      <c r="C83" s="278"/>
      <c r="D83" s="279" t="s">
        <v>18</v>
      </c>
      <c r="E83" s="280"/>
      <c r="F83" s="279"/>
      <c r="G83" s="280"/>
      <c r="H83" s="280"/>
      <c r="I83" s="281"/>
      <c r="J83" s="546"/>
      <c r="K83" s="283"/>
      <c r="L83" s="284"/>
      <c r="M83" s="284"/>
      <c r="N83" s="284"/>
      <c r="O83" s="284">
        <f>SUM(O72:O82)</f>
        <v>161434200.65990552</v>
      </c>
      <c r="P83" s="284"/>
      <c r="Q83" s="285">
        <f>R83/O83</f>
        <v>2.6112866930699135E-3</v>
      </c>
      <c r="R83" s="284">
        <f>SUM(R72:R82)</f>
        <v>421550.97998958954</v>
      </c>
      <c r="S83" s="286"/>
      <c r="T83" s="316">
        <f>SUM(T72:T82)</f>
        <v>106776545.27481821</v>
      </c>
      <c r="U83" s="284">
        <f>U75+(SUM(U72:U72,U76:U82,U73:U74)*8%)</f>
        <v>15368722.335217539</v>
      </c>
      <c r="V83" s="284">
        <f>O83/U83</f>
        <v>10.504074258012839</v>
      </c>
      <c r="W83" s="284"/>
      <c r="X83" s="287"/>
      <c r="Y83" s="317">
        <f>SUM(Y72:Y82)</f>
        <v>17230464.216015406</v>
      </c>
      <c r="Z83" s="288">
        <f t="shared" si="124"/>
        <v>106.73366700229114</v>
      </c>
      <c r="AA83" s="288">
        <f>Y83/R83</f>
        <v>40.873974996905289</v>
      </c>
      <c r="AB83" s="284">
        <f>AB75+(SUM(AB72:AB74,AB76:AB82)*2%)</f>
        <v>20300275.92935</v>
      </c>
      <c r="AC83" s="289">
        <f>U83/AB83</f>
        <v>0.75706962746243001</v>
      </c>
      <c r="AD83" s="261"/>
      <c r="AE83" s="290"/>
      <c r="AF83" s="261">
        <v>0.72852745208800074</v>
      </c>
      <c r="AG83" s="290"/>
      <c r="AH83" s="460"/>
      <c r="AI83" s="459"/>
    </row>
    <row r="84" spans="2:35" ht="18.649999999999999" customHeight="1" x14ac:dyDescent="0.35">
      <c r="B84" s="321" t="s">
        <v>122</v>
      </c>
      <c r="C84" s="293" t="s">
        <v>93</v>
      </c>
      <c r="D84" s="294" t="s">
        <v>94</v>
      </c>
      <c r="E84" s="294" t="s">
        <v>45</v>
      </c>
      <c r="F84" s="295" t="s">
        <v>87</v>
      </c>
      <c r="G84" s="295" t="s">
        <v>50</v>
      </c>
      <c r="H84" s="296" t="s">
        <v>95</v>
      </c>
      <c r="I84" s="296" t="s">
        <v>608</v>
      </c>
      <c r="J84" s="551" t="s">
        <v>96</v>
      </c>
      <c r="K84" s="295" t="s">
        <v>89</v>
      </c>
      <c r="L84" s="298">
        <f t="shared" ref="L84:L92" si="125">N84-(M84-1)</f>
        <v>21</v>
      </c>
      <c r="M84" s="299">
        <v>45460</v>
      </c>
      <c r="N84" s="299">
        <v>45480</v>
      </c>
      <c r="O84" s="298">
        <f t="shared" ref="O84:O93" si="126">U84*V84</f>
        <v>1632901.4029081601</v>
      </c>
      <c r="P84" s="300" t="s">
        <v>17</v>
      </c>
      <c r="Q84" s="301"/>
      <c r="R84" s="298"/>
      <c r="S84" s="302">
        <v>0.85</v>
      </c>
      <c r="T84" s="303">
        <f t="shared" ref="T84:T85" si="127">O84*S84</f>
        <v>1387966.1924719361</v>
      </c>
      <c r="U84" s="298">
        <f>AB84*AC84</f>
        <v>240132.5592512</v>
      </c>
      <c r="V84" s="298">
        <f>5*136%</f>
        <v>6.8000000000000007</v>
      </c>
      <c r="W84" s="298"/>
      <c r="X84" s="304">
        <v>125</v>
      </c>
      <c r="Y84" s="305">
        <f t="shared" ref="Y84:Y89" si="128">(O84/1000)*X84</f>
        <v>204112.67536352001</v>
      </c>
      <c r="Z84" s="305">
        <f t="shared" si="124"/>
        <v>125</v>
      </c>
      <c r="AA84" s="305"/>
      <c r="AB84" s="306">
        <v>279580</v>
      </c>
      <c r="AC84" s="307">
        <v>0.85890464</v>
      </c>
      <c r="AD84" s="261"/>
      <c r="AE84" s="260"/>
      <c r="AF84" s="261">
        <v>0.70400000000000007</v>
      </c>
      <c r="AG84" s="260"/>
      <c r="AH84" s="568"/>
    </row>
    <row r="85" spans="2:35" ht="18.649999999999999" customHeight="1" x14ac:dyDescent="0.35">
      <c r="B85" s="321" t="s">
        <v>122</v>
      </c>
      <c r="C85" s="293" t="s">
        <v>93</v>
      </c>
      <c r="D85" s="295" t="s">
        <v>86</v>
      </c>
      <c r="E85" s="295" t="s">
        <v>45</v>
      </c>
      <c r="F85" s="295" t="s">
        <v>87</v>
      </c>
      <c r="G85" s="296" t="s">
        <v>50</v>
      </c>
      <c r="H85" s="296" t="s">
        <v>95</v>
      </c>
      <c r="I85" s="296" t="s">
        <v>610</v>
      </c>
      <c r="J85" s="551" t="s">
        <v>96</v>
      </c>
      <c r="K85" s="295" t="s">
        <v>89</v>
      </c>
      <c r="L85" s="298">
        <f t="shared" si="125"/>
        <v>21</v>
      </c>
      <c r="M85" s="299">
        <v>45460</v>
      </c>
      <c r="N85" s="299">
        <v>45480</v>
      </c>
      <c r="O85" s="298">
        <f>Y85/X85*1000</f>
        <v>21667890.409973998</v>
      </c>
      <c r="P85" s="300" t="s">
        <v>17</v>
      </c>
      <c r="Q85" s="301"/>
      <c r="R85" s="298"/>
      <c r="S85" s="302">
        <v>0.8</v>
      </c>
      <c r="T85" s="303">
        <f t="shared" si="127"/>
        <v>17334312.3279792</v>
      </c>
      <c r="U85" s="298">
        <f>O85/V85</f>
        <v>2610589.2060209634</v>
      </c>
      <c r="V85" s="298">
        <v>8.3000000000000007</v>
      </c>
      <c r="W85" s="298"/>
      <c r="X85" s="304">
        <v>110</v>
      </c>
      <c r="Y85" s="305">
        <f>2383467.94509714</f>
        <v>2383467.94509714</v>
      </c>
      <c r="Z85" s="305">
        <f t="shared" si="124"/>
        <v>110.00000000000001</v>
      </c>
      <c r="AA85" s="305"/>
      <c r="AB85" s="306">
        <v>2901970</v>
      </c>
      <c r="AC85" s="307">
        <f>U85/AB85</f>
        <v>0.8995920722891565</v>
      </c>
      <c r="AF85" s="261">
        <v>0.748</v>
      </c>
    </row>
    <row r="86" spans="2:35" ht="18.649999999999999" customHeight="1" x14ac:dyDescent="0.35">
      <c r="B86" s="321" t="s">
        <v>122</v>
      </c>
      <c r="C86" s="293" t="s">
        <v>97</v>
      </c>
      <c r="D86" s="264" t="s">
        <v>561</v>
      </c>
      <c r="E86" s="264" t="s">
        <v>45</v>
      </c>
      <c r="F86" s="263" t="s">
        <v>87</v>
      </c>
      <c r="G86" s="263" t="s">
        <v>98</v>
      </c>
      <c r="H86" s="265" t="s">
        <v>90</v>
      </c>
      <c r="I86" s="265" t="s">
        <v>609</v>
      </c>
      <c r="J86" s="552" t="s">
        <v>96</v>
      </c>
      <c r="K86" s="263" t="s">
        <v>89</v>
      </c>
      <c r="L86" s="266">
        <f t="shared" si="125"/>
        <v>21</v>
      </c>
      <c r="M86" s="267">
        <v>45460</v>
      </c>
      <c r="N86" s="267">
        <v>45480</v>
      </c>
      <c r="O86" s="266">
        <f t="shared" si="126"/>
        <v>4388751.2535612807</v>
      </c>
      <c r="P86" s="268" t="s">
        <v>17</v>
      </c>
      <c r="Q86" s="269">
        <v>1E-3</v>
      </c>
      <c r="R86" s="266">
        <f t="shared" ref="R86:R87" si="129">O86*Q86</f>
        <v>4388.7512535612805</v>
      </c>
      <c r="S86" s="270">
        <v>0.7</v>
      </c>
      <c r="T86" s="271">
        <f>O86*S86</f>
        <v>3072125.8774928963</v>
      </c>
      <c r="U86" s="266">
        <f t="shared" ref="U86" si="130">AB86*AC86</f>
        <v>2507857.8591778749</v>
      </c>
      <c r="V86" s="266">
        <v>1.75</v>
      </c>
      <c r="W86" s="266"/>
      <c r="X86" s="272">
        <v>70</v>
      </c>
      <c r="Y86" s="273">
        <f t="shared" si="128"/>
        <v>307212.58774928964</v>
      </c>
      <c r="Z86" s="273">
        <f t="shared" si="124"/>
        <v>69.999999999999986</v>
      </c>
      <c r="AA86" s="273">
        <f t="shared" ref="AA86:AA92" si="131">Y86/R86</f>
        <v>70</v>
      </c>
      <c r="AB86" s="274">
        <f>4836617*85%</f>
        <v>4111124.4499999997</v>
      </c>
      <c r="AC86" s="275">
        <v>0.61001749999999999</v>
      </c>
      <c r="AE86" s="260"/>
      <c r="AF86" s="261">
        <v>0.61599999999999999</v>
      </c>
      <c r="AG86" s="260"/>
    </row>
    <row r="87" spans="2:35" ht="18.649999999999999" customHeight="1" x14ac:dyDescent="0.35">
      <c r="B87" s="321" t="s">
        <v>122</v>
      </c>
      <c r="C87" s="293" t="s">
        <v>97</v>
      </c>
      <c r="D87" s="264" t="s">
        <v>86</v>
      </c>
      <c r="E87" s="264" t="s">
        <v>45</v>
      </c>
      <c r="F87" s="263" t="s">
        <v>87</v>
      </c>
      <c r="G87" s="263" t="s">
        <v>98</v>
      </c>
      <c r="H87" s="265" t="s">
        <v>90</v>
      </c>
      <c r="I87" s="265" t="s">
        <v>610</v>
      </c>
      <c r="J87" s="552" t="s">
        <v>96</v>
      </c>
      <c r="K87" s="263" t="s">
        <v>89</v>
      </c>
      <c r="L87" s="266">
        <f t="shared" si="125"/>
        <v>21</v>
      </c>
      <c r="M87" s="267">
        <v>45460</v>
      </c>
      <c r="N87" s="267">
        <v>45480</v>
      </c>
      <c r="O87" s="266">
        <f>Y87/X87*1000</f>
        <v>6484089.6656249994</v>
      </c>
      <c r="P87" s="268" t="s">
        <v>17</v>
      </c>
      <c r="Q87" s="269">
        <v>1E-3</v>
      </c>
      <c r="R87" s="266">
        <f t="shared" si="129"/>
        <v>6484.0896656249997</v>
      </c>
      <c r="S87" s="270">
        <v>0.8</v>
      </c>
      <c r="T87" s="271">
        <f>O87*S87</f>
        <v>5187271.7324999999</v>
      </c>
      <c r="U87" s="266">
        <f>O87/V87</f>
        <v>3178475.3262867643</v>
      </c>
      <c r="V87" s="266">
        <f>1.5*136%</f>
        <v>2.04</v>
      </c>
      <c r="W87" s="266"/>
      <c r="X87" s="272">
        <v>80</v>
      </c>
      <c r="Y87" s="273">
        <v>518727.17324999999</v>
      </c>
      <c r="Z87" s="273">
        <f t="shared" si="124"/>
        <v>80</v>
      </c>
      <c r="AA87" s="273">
        <f t="shared" si="131"/>
        <v>80</v>
      </c>
      <c r="AB87" s="274">
        <v>4836617</v>
      </c>
      <c r="AC87" s="275">
        <f>U87/AB87</f>
        <v>0.65716911764705876</v>
      </c>
      <c r="AE87" s="260"/>
      <c r="AF87" s="261">
        <v>0.61599999999999999</v>
      </c>
      <c r="AG87" s="260"/>
    </row>
    <row r="88" spans="2:35" ht="18.649999999999999" customHeight="1" x14ac:dyDescent="0.35">
      <c r="B88" s="321" t="s">
        <v>122</v>
      </c>
      <c r="C88" s="293" t="s">
        <v>97</v>
      </c>
      <c r="D88" s="263" t="s">
        <v>99</v>
      </c>
      <c r="E88" s="263" t="s">
        <v>46</v>
      </c>
      <c r="F88" s="263" t="s">
        <v>100</v>
      </c>
      <c r="G88" s="263" t="s">
        <v>101</v>
      </c>
      <c r="H88" s="265" t="s">
        <v>88</v>
      </c>
      <c r="I88" s="265" t="s">
        <v>102</v>
      </c>
      <c r="J88" s="553" t="s">
        <v>96</v>
      </c>
      <c r="K88" s="263" t="s">
        <v>89</v>
      </c>
      <c r="L88" s="266">
        <f t="shared" si="125"/>
        <v>21</v>
      </c>
      <c r="M88" s="267">
        <v>45460</v>
      </c>
      <c r="N88" s="267">
        <v>45480</v>
      </c>
      <c r="O88" s="266">
        <f t="shared" si="126"/>
        <v>2515883.0043272441</v>
      </c>
      <c r="P88" s="268" t="s">
        <v>17</v>
      </c>
      <c r="Q88" s="269">
        <v>1.4999999999999999E-2</v>
      </c>
      <c r="R88" s="266">
        <f>O88*Q88</f>
        <v>37738.24506490866</v>
      </c>
      <c r="S88" s="268" t="s">
        <v>17</v>
      </c>
      <c r="T88" s="271" t="s">
        <v>17</v>
      </c>
      <c r="U88" s="266">
        <f>AB88*AC88</f>
        <v>1257941.5021636221</v>
      </c>
      <c r="V88" s="266">
        <v>2</v>
      </c>
      <c r="W88" s="266"/>
      <c r="X88" s="272">
        <v>105</v>
      </c>
      <c r="Y88" s="273">
        <f t="shared" si="128"/>
        <v>264167.71545436064</v>
      </c>
      <c r="Z88" s="273">
        <f t="shared" si="124"/>
        <v>105.00000000000001</v>
      </c>
      <c r="AA88" s="273">
        <f t="shared" si="131"/>
        <v>7.0000000000000009</v>
      </c>
      <c r="AB88" s="274">
        <f>AB86*95%</f>
        <v>3905568.2274999996</v>
      </c>
      <c r="AC88" s="275">
        <v>0.32208924</v>
      </c>
      <c r="AE88" s="260"/>
      <c r="AF88" s="261">
        <v>0.26400000000000001</v>
      </c>
      <c r="AG88" s="260"/>
    </row>
    <row r="89" spans="2:35" ht="18.649999999999999" customHeight="1" x14ac:dyDescent="0.35">
      <c r="B89" s="321" t="str">
        <f>B88</f>
        <v>Kolkata + Howrah</v>
      </c>
      <c r="C89" s="293" t="s">
        <v>97</v>
      </c>
      <c r="D89" s="310" t="s">
        <v>103</v>
      </c>
      <c r="E89" s="263" t="s">
        <v>46</v>
      </c>
      <c r="F89" s="310" t="s">
        <v>100</v>
      </c>
      <c r="G89" s="263" t="s">
        <v>98</v>
      </c>
      <c r="H89" s="265" t="s">
        <v>88</v>
      </c>
      <c r="I89" s="265" t="s">
        <v>104</v>
      </c>
      <c r="J89" s="553" t="s">
        <v>96</v>
      </c>
      <c r="K89" s="263" t="s">
        <v>105</v>
      </c>
      <c r="L89" s="266">
        <f t="shared" si="125"/>
        <v>21</v>
      </c>
      <c r="M89" s="267">
        <v>45460</v>
      </c>
      <c r="N89" s="267">
        <v>45480</v>
      </c>
      <c r="O89" s="266">
        <f t="shared" si="126"/>
        <v>1675103.4676683999</v>
      </c>
      <c r="P89" s="268" t="s">
        <v>17</v>
      </c>
      <c r="Q89" s="269">
        <v>1.4999999999999999E-2</v>
      </c>
      <c r="R89" s="266">
        <f>O89*Q89</f>
        <v>25126.552015025998</v>
      </c>
      <c r="S89" s="268" t="s">
        <v>17</v>
      </c>
      <c r="T89" s="271" t="s">
        <v>17</v>
      </c>
      <c r="U89" s="266">
        <f>AB89*AC89</f>
        <v>837551.73383419996</v>
      </c>
      <c r="V89" s="266">
        <v>2</v>
      </c>
      <c r="W89" s="266"/>
      <c r="X89" s="272">
        <v>120</v>
      </c>
      <c r="Y89" s="273">
        <f t="shared" si="128"/>
        <v>201012.41612020798</v>
      </c>
      <c r="Z89" s="273">
        <f t="shared" si="124"/>
        <v>120</v>
      </c>
      <c r="AA89" s="273">
        <f t="shared" si="131"/>
        <v>8</v>
      </c>
      <c r="AB89" s="274">
        <v>1560223</v>
      </c>
      <c r="AC89" s="275">
        <v>0.53681539999999994</v>
      </c>
      <c r="AE89" s="260"/>
      <c r="AF89" s="261">
        <v>0.44</v>
      </c>
      <c r="AG89" s="260"/>
      <c r="AH89" s="320"/>
    </row>
    <row r="90" spans="2:35" ht="18.649999999999999" customHeight="1" x14ac:dyDescent="0.35">
      <c r="B90" s="321" t="str">
        <f>B89</f>
        <v>Kolkata + Howrah</v>
      </c>
      <c r="C90" s="293" t="s">
        <v>97</v>
      </c>
      <c r="D90" s="310" t="s">
        <v>106</v>
      </c>
      <c r="E90" s="311" t="s">
        <v>46</v>
      </c>
      <c r="F90" s="311" t="s">
        <v>91</v>
      </c>
      <c r="G90" s="263" t="s">
        <v>98</v>
      </c>
      <c r="H90" s="310" t="s">
        <v>88</v>
      </c>
      <c r="I90" s="263" t="s">
        <v>107</v>
      </c>
      <c r="J90" s="553" t="s">
        <v>96</v>
      </c>
      <c r="K90" s="263" t="s">
        <v>89</v>
      </c>
      <c r="L90" s="266">
        <f t="shared" si="125"/>
        <v>21</v>
      </c>
      <c r="M90" s="267">
        <v>45460</v>
      </c>
      <c r="N90" s="267">
        <v>45480</v>
      </c>
      <c r="O90" s="266">
        <f t="shared" si="126"/>
        <v>1321712.8437836401</v>
      </c>
      <c r="P90" s="268" t="s">
        <v>17</v>
      </c>
      <c r="Q90" s="312">
        <v>0.01</v>
      </c>
      <c r="R90" s="266">
        <f t="shared" ref="R90:R91" si="132">O90*Q90</f>
        <v>13217.128437836402</v>
      </c>
      <c r="S90" s="268" t="s">
        <v>17</v>
      </c>
      <c r="T90" s="271" t="s">
        <v>17</v>
      </c>
      <c r="U90" s="266">
        <f t="shared" ref="U90" si="133">AB90*AC90</f>
        <v>660856.42189182003</v>
      </c>
      <c r="V90" s="266">
        <v>2</v>
      </c>
      <c r="W90" s="266"/>
      <c r="X90" s="272">
        <v>200</v>
      </c>
      <c r="Y90" s="273">
        <f>O90*X90/1000</f>
        <v>264342.56875672803</v>
      </c>
      <c r="Z90" s="273">
        <f t="shared" si="124"/>
        <v>200</v>
      </c>
      <c r="AA90" s="273">
        <f t="shared" si="131"/>
        <v>20</v>
      </c>
      <c r="AB90" s="274">
        <v>1865255</v>
      </c>
      <c r="AC90" s="275">
        <v>0.35429816400000003</v>
      </c>
      <c r="AE90" s="260"/>
      <c r="AF90" s="261">
        <v>0.26400000000000001</v>
      </c>
      <c r="AG90" s="260"/>
      <c r="AH90" s="562"/>
    </row>
    <row r="91" spans="2:35" ht="18.649999999999999" customHeight="1" x14ac:dyDescent="0.35">
      <c r="B91" s="321" t="str">
        <f>B90</f>
        <v>Kolkata + Howrah</v>
      </c>
      <c r="C91" s="293" t="s">
        <v>97</v>
      </c>
      <c r="D91" s="310" t="s">
        <v>588</v>
      </c>
      <c r="E91" s="263" t="s">
        <v>46</v>
      </c>
      <c r="F91" s="310" t="s">
        <v>589</v>
      </c>
      <c r="G91" s="263" t="s">
        <v>98</v>
      </c>
      <c r="H91" s="265" t="s">
        <v>88</v>
      </c>
      <c r="I91" s="265" t="s">
        <v>590</v>
      </c>
      <c r="J91" s="553" t="s">
        <v>591</v>
      </c>
      <c r="K91" s="263" t="s">
        <v>592</v>
      </c>
      <c r="L91" s="266">
        <f t="shared" si="125"/>
        <v>21</v>
      </c>
      <c r="M91" s="267">
        <v>45460</v>
      </c>
      <c r="N91" s="267">
        <v>45480</v>
      </c>
      <c r="O91" s="266">
        <f>P91*3</f>
        <v>269807.16000000003</v>
      </c>
      <c r="P91" s="266">
        <f>Y91/X91</f>
        <v>89935.720000000016</v>
      </c>
      <c r="Q91" s="269">
        <v>1.4999999999999999E-2</v>
      </c>
      <c r="R91" s="266">
        <f t="shared" si="132"/>
        <v>4047.1074000000003</v>
      </c>
      <c r="S91" s="268" t="s">
        <v>17</v>
      </c>
      <c r="T91" s="271" t="s">
        <v>17</v>
      </c>
      <c r="U91" s="266">
        <f>O91/V91</f>
        <v>89935.720000000016</v>
      </c>
      <c r="V91" s="266">
        <v>3</v>
      </c>
      <c r="W91" s="266"/>
      <c r="X91" s="272">
        <v>1.5</v>
      </c>
      <c r="Y91" s="273">
        <v>134903.58000000002</v>
      </c>
      <c r="Z91" s="273">
        <f t="shared" si="124"/>
        <v>500</v>
      </c>
      <c r="AA91" s="273">
        <f t="shared" si="131"/>
        <v>33.333333333333336</v>
      </c>
      <c r="AB91" s="274">
        <v>963597</v>
      </c>
      <c r="AC91" s="275">
        <f>U91/AB91</f>
        <v>9.3333333333333351E-2</v>
      </c>
      <c r="AE91" s="260"/>
      <c r="AF91" s="261">
        <v>0.26400000000000001</v>
      </c>
      <c r="AG91" s="260"/>
      <c r="AH91" s="320"/>
    </row>
    <row r="92" spans="2:35" ht="18.649999999999999" customHeight="1" x14ac:dyDescent="0.35">
      <c r="B92" s="321" t="str">
        <f>B91</f>
        <v>Kolkata + Howrah</v>
      </c>
      <c r="C92" s="293" t="s">
        <v>97</v>
      </c>
      <c r="D92" s="310" t="s">
        <v>109</v>
      </c>
      <c r="E92" s="263" t="s">
        <v>46</v>
      </c>
      <c r="F92" s="310" t="s">
        <v>100</v>
      </c>
      <c r="G92" s="263" t="s">
        <v>98</v>
      </c>
      <c r="H92" s="265" t="s">
        <v>88</v>
      </c>
      <c r="I92" s="265" t="s">
        <v>110</v>
      </c>
      <c r="J92" s="553" t="s">
        <v>96</v>
      </c>
      <c r="K92" s="263" t="s">
        <v>111</v>
      </c>
      <c r="L92" s="266">
        <f t="shared" si="125"/>
        <v>21</v>
      </c>
      <c r="M92" s="267">
        <v>45460</v>
      </c>
      <c r="N92" s="267">
        <v>45480</v>
      </c>
      <c r="O92" s="266">
        <f t="shared" si="126"/>
        <v>1843381.1383679996</v>
      </c>
      <c r="P92" s="268" t="s">
        <v>17</v>
      </c>
      <c r="Q92" s="269">
        <v>0.02</v>
      </c>
      <c r="R92" s="266">
        <f>O92*Q92</f>
        <v>36867.622767359993</v>
      </c>
      <c r="S92" s="268" t="s">
        <v>17</v>
      </c>
      <c r="T92" s="271" t="s">
        <v>17</v>
      </c>
      <c r="U92" s="266">
        <f>AB92*AC92</f>
        <v>1843381.1383679996</v>
      </c>
      <c r="V92" s="266">
        <v>1</v>
      </c>
      <c r="W92" s="266"/>
      <c r="X92" s="272">
        <v>4.5</v>
      </c>
      <c r="Y92" s="273">
        <f>R92*X92</f>
        <v>165904.30245311998</v>
      </c>
      <c r="Z92" s="273">
        <f t="shared" si="124"/>
        <v>90.000000000000014</v>
      </c>
      <c r="AA92" s="273">
        <f t="shared" si="131"/>
        <v>4.5</v>
      </c>
      <c r="AB92" s="274">
        <v>2861599.9999999995</v>
      </c>
      <c r="AC92" s="275">
        <v>0.64417848</v>
      </c>
      <c r="AE92" s="260"/>
      <c r="AF92" s="261">
        <v>0.52800000000000002</v>
      </c>
      <c r="AG92" s="260"/>
    </row>
    <row r="93" spans="2:35" ht="18.649999999999999" customHeight="1" x14ac:dyDescent="0.35">
      <c r="B93" s="321" t="str">
        <f>B91</f>
        <v>Kolkata + Howrah</v>
      </c>
      <c r="C93" s="293" t="s">
        <v>97</v>
      </c>
      <c r="D93" s="310" t="s">
        <v>600</v>
      </c>
      <c r="E93" s="314" t="s">
        <v>46</v>
      </c>
      <c r="F93" s="311" t="s">
        <v>565</v>
      </c>
      <c r="G93" s="263" t="s">
        <v>101</v>
      </c>
      <c r="H93" s="265" t="s">
        <v>88</v>
      </c>
      <c r="I93" s="265" t="s">
        <v>527</v>
      </c>
      <c r="J93" s="552" t="s">
        <v>566</v>
      </c>
      <c r="K93" s="263" t="s">
        <v>89</v>
      </c>
      <c r="L93" s="266">
        <f t="shared" ref="L93" si="134">N93-M93+1</f>
        <v>13</v>
      </c>
      <c r="M93" s="267">
        <v>45460</v>
      </c>
      <c r="N93" s="267">
        <v>45472</v>
      </c>
      <c r="O93" s="266">
        <f t="shared" si="126"/>
        <v>327081.92000000004</v>
      </c>
      <c r="P93" s="268" t="s">
        <v>17</v>
      </c>
      <c r="Q93" s="315">
        <v>5.0000000000000001E-3</v>
      </c>
      <c r="R93" s="266">
        <f t="shared" ref="R93" si="135">O93*Q93</f>
        <v>1635.4096000000002</v>
      </c>
      <c r="S93" s="268" t="s">
        <v>17</v>
      </c>
      <c r="T93" s="271" t="s">
        <v>17</v>
      </c>
      <c r="U93" s="266">
        <f t="shared" ref="U93" si="136">AB93*AC93</f>
        <v>163540.96000000002</v>
      </c>
      <c r="V93" s="266">
        <v>2</v>
      </c>
      <c r="W93" s="266"/>
      <c r="X93" s="272">
        <v>105</v>
      </c>
      <c r="Y93" s="273">
        <f t="shared" ref="Y93" si="137">O93/1000*X93</f>
        <v>34343.601600000002</v>
      </c>
      <c r="Z93" s="273">
        <f t="shared" ref="Z93" si="138">Y93/O93*1000</f>
        <v>105</v>
      </c>
      <c r="AA93" s="273">
        <f t="shared" ref="AA93" si="139">Y93/R93</f>
        <v>21</v>
      </c>
      <c r="AB93" s="274">
        <v>408852.4</v>
      </c>
      <c r="AC93" s="275">
        <v>0.4</v>
      </c>
      <c r="AE93" s="260"/>
      <c r="AF93" s="261">
        <v>0.74917341863057396</v>
      </c>
      <c r="AG93" s="260"/>
    </row>
    <row r="94" spans="2:35" ht="18.649999999999999" customHeight="1" x14ac:dyDescent="0.35">
      <c r="B94" s="321" t="s">
        <v>122</v>
      </c>
      <c r="C94" s="293" t="s">
        <v>97</v>
      </c>
      <c r="D94" s="311" t="s">
        <v>116</v>
      </c>
      <c r="E94" s="263" t="s">
        <v>46</v>
      </c>
      <c r="F94" s="311" t="s">
        <v>114</v>
      </c>
      <c r="G94" s="263" t="s">
        <v>98</v>
      </c>
      <c r="H94" s="265" t="s">
        <v>88</v>
      </c>
      <c r="I94" s="265" t="s">
        <v>115</v>
      </c>
      <c r="J94" s="552" t="s">
        <v>96</v>
      </c>
      <c r="K94" s="263" t="s">
        <v>105</v>
      </c>
      <c r="L94" s="266">
        <f>N94-M94+1</f>
        <v>6</v>
      </c>
      <c r="M94" s="267">
        <v>45471</v>
      </c>
      <c r="N94" s="267">
        <v>45476</v>
      </c>
      <c r="O94" s="266">
        <f>220115/14*6</f>
        <v>94335</v>
      </c>
      <c r="P94" s="268" t="s">
        <v>17</v>
      </c>
      <c r="Q94" s="315">
        <v>0.01</v>
      </c>
      <c r="R94" s="266">
        <f>O94*Q94</f>
        <v>943.35</v>
      </c>
      <c r="S94" s="268" t="s">
        <v>17</v>
      </c>
      <c r="T94" s="271" t="s">
        <v>17</v>
      </c>
      <c r="U94" s="266">
        <f>O94/V94</f>
        <v>37734</v>
      </c>
      <c r="V94" s="266">
        <v>2.5</v>
      </c>
      <c r="W94" s="266"/>
      <c r="X94" s="272">
        <v>260</v>
      </c>
      <c r="Y94" s="273">
        <f>(O94/1000)*X94</f>
        <v>24527.1</v>
      </c>
      <c r="Z94" s="273">
        <f t="shared" ref="Z94:Z104" si="140">Y94/O94*1000</f>
        <v>260</v>
      </c>
      <c r="AA94" s="273">
        <f>Y94/R94</f>
        <v>25.999999999999996</v>
      </c>
      <c r="AB94" s="274">
        <v>102720</v>
      </c>
      <c r="AC94" s="275">
        <f>U94/AB94</f>
        <v>0.3673481308411215</v>
      </c>
      <c r="AE94" s="260"/>
      <c r="AF94" s="261">
        <v>0.37714408099688473</v>
      </c>
      <c r="AG94" s="260"/>
    </row>
    <row r="95" spans="2:35" ht="18.649999999999999" customHeight="1" x14ac:dyDescent="0.35">
      <c r="B95" s="277" t="str">
        <f>B94</f>
        <v>Kolkata + Howrah</v>
      </c>
      <c r="C95" s="278"/>
      <c r="D95" s="279" t="s">
        <v>18</v>
      </c>
      <c r="E95" s="280"/>
      <c r="F95" s="279"/>
      <c r="G95" s="280"/>
      <c r="H95" s="280"/>
      <c r="I95" s="281"/>
      <c r="J95" s="546"/>
      <c r="K95" s="283"/>
      <c r="L95" s="284"/>
      <c r="M95" s="284"/>
      <c r="N95" s="284"/>
      <c r="O95" s="284">
        <f>SUM(O84:O94)</f>
        <v>42220937.266215727</v>
      </c>
      <c r="P95" s="284"/>
      <c r="Q95" s="285">
        <f>R95/O95</f>
        <v>3.0896579908163049E-3</v>
      </c>
      <c r="R95" s="284">
        <f>SUM(R84:R94)</f>
        <v>130448.25620431734</v>
      </c>
      <c r="S95" s="286"/>
      <c r="T95" s="316">
        <f>SUM(T84:T94)</f>
        <v>26981676.130444035</v>
      </c>
      <c r="U95" s="284">
        <f>U87+(SUM(U84:U84,U88:U94,U85:U86)*18%)</f>
        <v>5023389.1244141469</v>
      </c>
      <c r="V95" s="284">
        <f>O95/U95</f>
        <v>8.4048709388285232</v>
      </c>
      <c r="W95" s="284"/>
      <c r="X95" s="287"/>
      <c r="Y95" s="317">
        <f>SUM(Y84:Y94)</f>
        <v>4502721.665844366</v>
      </c>
      <c r="Z95" s="288">
        <f t="shared" si="140"/>
        <v>106.64665347084433</v>
      </c>
      <c r="AA95" s="288">
        <f>Y95/R95</f>
        <v>34.517300551659986</v>
      </c>
      <c r="AB95" s="284">
        <f>AB87+(SUM(AB84:AB84,AB88:AB94,AB85:AB86)*9%)</f>
        <v>6543061.1069750004</v>
      </c>
      <c r="AC95" s="289">
        <f>U95/AB95</f>
        <v>0.76774296346692217</v>
      </c>
      <c r="AD95" s="261"/>
      <c r="AE95" s="290"/>
      <c r="AF95" s="261">
        <v>0.75380651153512179</v>
      </c>
      <c r="AG95" s="290"/>
      <c r="AH95" s="460"/>
      <c r="AI95" s="459"/>
    </row>
    <row r="96" spans="2:35" ht="18.649999999999999" customHeight="1" x14ac:dyDescent="0.35">
      <c r="B96" s="321" t="s">
        <v>22</v>
      </c>
      <c r="C96" s="293" t="s">
        <v>93</v>
      </c>
      <c r="D96" s="294" t="s">
        <v>94</v>
      </c>
      <c r="E96" s="294" t="s">
        <v>45</v>
      </c>
      <c r="F96" s="295" t="s">
        <v>87</v>
      </c>
      <c r="G96" s="295" t="s">
        <v>50</v>
      </c>
      <c r="H96" s="296" t="s">
        <v>95</v>
      </c>
      <c r="I96" s="296" t="s">
        <v>608</v>
      </c>
      <c r="J96" s="551" t="s">
        <v>96</v>
      </c>
      <c r="K96" s="295" t="s">
        <v>89</v>
      </c>
      <c r="L96" s="298">
        <f t="shared" ref="L96:L104" si="141">N96-(M96-1)</f>
        <v>21</v>
      </c>
      <c r="M96" s="299">
        <v>45460</v>
      </c>
      <c r="N96" s="299">
        <v>45480</v>
      </c>
      <c r="O96" s="298">
        <f t="shared" ref="O96:O98" si="142">U96*V96</f>
        <v>4021132.1352787204</v>
      </c>
      <c r="P96" s="300" t="s">
        <v>17</v>
      </c>
      <c r="Q96" s="301"/>
      <c r="R96" s="298"/>
      <c r="S96" s="302">
        <v>0.85</v>
      </c>
      <c r="T96" s="303">
        <f t="shared" ref="T96:T97" si="143">O96*S96</f>
        <v>3417962.3149869121</v>
      </c>
      <c r="U96" s="298">
        <f>AB96*AC96</f>
        <v>591342.96107039996</v>
      </c>
      <c r="V96" s="298">
        <f>5*136%</f>
        <v>6.8000000000000007</v>
      </c>
      <c r="W96" s="298"/>
      <c r="X96" s="304">
        <v>125</v>
      </c>
      <c r="Y96" s="305">
        <f t="shared" ref="Y96:Y101" si="144">(O96/1000)*X96</f>
        <v>502641.51690984005</v>
      </c>
      <c r="Z96" s="305">
        <f t="shared" si="140"/>
        <v>125</v>
      </c>
      <c r="AA96" s="305"/>
      <c r="AB96" s="306">
        <v>688485</v>
      </c>
      <c r="AC96" s="307">
        <v>0.85890464</v>
      </c>
      <c r="AD96" s="261"/>
      <c r="AE96" s="260"/>
      <c r="AF96" s="261">
        <v>0.70400000000000007</v>
      </c>
      <c r="AG96" s="260"/>
    </row>
    <row r="97" spans="2:35" ht="18.649999999999999" customHeight="1" x14ac:dyDescent="0.35">
      <c r="B97" s="321" t="s">
        <v>22</v>
      </c>
      <c r="C97" s="293" t="s">
        <v>93</v>
      </c>
      <c r="D97" s="295" t="s">
        <v>86</v>
      </c>
      <c r="E97" s="295" t="s">
        <v>45</v>
      </c>
      <c r="F97" s="295" t="s">
        <v>87</v>
      </c>
      <c r="G97" s="296" t="s">
        <v>50</v>
      </c>
      <c r="H97" s="296" t="s">
        <v>95</v>
      </c>
      <c r="I97" s="296" t="s">
        <v>610</v>
      </c>
      <c r="J97" s="551" t="s">
        <v>96</v>
      </c>
      <c r="K97" s="295" t="s">
        <v>89</v>
      </c>
      <c r="L97" s="298">
        <f t="shared" si="141"/>
        <v>21</v>
      </c>
      <c r="M97" s="299">
        <v>45460</v>
      </c>
      <c r="N97" s="299">
        <v>45480</v>
      </c>
      <c r="O97" s="298">
        <f>Y97/X97*1000</f>
        <v>23246638.783036184</v>
      </c>
      <c r="P97" s="300" t="s">
        <v>17</v>
      </c>
      <c r="Q97" s="301"/>
      <c r="R97" s="298"/>
      <c r="S97" s="302">
        <v>0.8</v>
      </c>
      <c r="T97" s="303">
        <f t="shared" si="143"/>
        <v>18597311.026428949</v>
      </c>
      <c r="U97" s="298">
        <f>O97/V97</f>
        <v>2800799.8533778531</v>
      </c>
      <c r="V97" s="298">
        <v>8.3000000000000007</v>
      </c>
      <c r="W97" s="298"/>
      <c r="X97" s="304">
        <v>110</v>
      </c>
      <c r="Y97" s="305">
        <f>2557130.26613398</f>
        <v>2557130.2661339799</v>
      </c>
      <c r="Z97" s="305">
        <f t="shared" si="140"/>
        <v>109.99999999999999</v>
      </c>
      <c r="AA97" s="305"/>
      <c r="AB97" s="306">
        <v>3113411</v>
      </c>
      <c r="AC97" s="307">
        <f>U97/AB97</f>
        <v>0.89959207228915583</v>
      </c>
      <c r="AF97" s="261">
        <v>0.748</v>
      </c>
      <c r="AH97" s="568"/>
    </row>
    <row r="98" spans="2:35" ht="18.649999999999999" customHeight="1" x14ac:dyDescent="0.35">
      <c r="B98" s="321" t="s">
        <v>22</v>
      </c>
      <c r="C98" s="293" t="s">
        <v>97</v>
      </c>
      <c r="D98" s="264" t="s">
        <v>561</v>
      </c>
      <c r="E98" s="264" t="s">
        <v>45</v>
      </c>
      <c r="F98" s="263" t="s">
        <v>87</v>
      </c>
      <c r="G98" s="263" t="s">
        <v>98</v>
      </c>
      <c r="H98" s="265" t="s">
        <v>90</v>
      </c>
      <c r="I98" s="265" t="s">
        <v>609</v>
      </c>
      <c r="J98" s="552" t="s">
        <v>96</v>
      </c>
      <c r="K98" s="263" t="s">
        <v>89</v>
      </c>
      <c r="L98" s="266">
        <f t="shared" si="141"/>
        <v>21</v>
      </c>
      <c r="M98" s="267">
        <v>45460</v>
      </c>
      <c r="N98" s="267">
        <v>45480</v>
      </c>
      <c r="O98" s="266">
        <f t="shared" si="142"/>
        <v>5541567.9677231563</v>
      </c>
      <c r="P98" s="268" t="s">
        <v>17</v>
      </c>
      <c r="Q98" s="269">
        <v>1E-3</v>
      </c>
      <c r="R98" s="266">
        <f t="shared" ref="R98:R99" si="145">O98*Q98</f>
        <v>5541.5679677231565</v>
      </c>
      <c r="S98" s="270">
        <v>0.7</v>
      </c>
      <c r="T98" s="271">
        <f>O98*S98</f>
        <v>3879097.577406209</v>
      </c>
      <c r="U98" s="266">
        <f t="shared" ref="U98" si="146">AB98*AC98</f>
        <v>3166610.267270375</v>
      </c>
      <c r="V98" s="266">
        <v>1.75</v>
      </c>
      <c r="W98" s="266"/>
      <c r="X98" s="272">
        <v>70</v>
      </c>
      <c r="Y98" s="273">
        <f t="shared" si="144"/>
        <v>387909.75774062093</v>
      </c>
      <c r="Z98" s="273">
        <f t="shared" si="140"/>
        <v>69.999999999999986</v>
      </c>
      <c r="AA98" s="273">
        <f t="shared" ref="AA98:AA104" si="147">Y98/R98</f>
        <v>70</v>
      </c>
      <c r="AB98" s="274">
        <f>6107077*85%</f>
        <v>5191015.45</v>
      </c>
      <c r="AC98" s="275">
        <v>0.61001749999999999</v>
      </c>
      <c r="AE98" s="260"/>
      <c r="AF98" s="261">
        <v>0.61599999999999999</v>
      </c>
      <c r="AG98" s="260"/>
    </row>
    <row r="99" spans="2:35" ht="18.649999999999999" customHeight="1" x14ac:dyDescent="0.35">
      <c r="B99" s="321" t="s">
        <v>22</v>
      </c>
      <c r="C99" s="293" t="s">
        <v>97</v>
      </c>
      <c r="D99" s="264" t="s">
        <v>86</v>
      </c>
      <c r="E99" s="264" t="s">
        <v>45</v>
      </c>
      <c r="F99" s="263" t="s">
        <v>87</v>
      </c>
      <c r="G99" s="263" t="s">
        <v>98</v>
      </c>
      <c r="H99" s="265" t="s">
        <v>90</v>
      </c>
      <c r="I99" s="265" t="s">
        <v>610</v>
      </c>
      <c r="J99" s="552" t="s">
        <v>96</v>
      </c>
      <c r="K99" s="263" t="s">
        <v>89</v>
      </c>
      <c r="L99" s="266">
        <f t="shared" si="141"/>
        <v>21</v>
      </c>
      <c r="M99" s="267">
        <v>45460</v>
      </c>
      <c r="N99" s="267">
        <v>45480</v>
      </c>
      <c r="O99" s="266">
        <f>Y99/X99*1000</f>
        <v>8187300.1031250004</v>
      </c>
      <c r="P99" s="268" t="s">
        <v>17</v>
      </c>
      <c r="Q99" s="269">
        <v>1E-3</v>
      </c>
      <c r="R99" s="266">
        <f t="shared" si="145"/>
        <v>8187.3001031250005</v>
      </c>
      <c r="S99" s="270">
        <v>0.8</v>
      </c>
      <c r="T99" s="271">
        <f>O99*S99</f>
        <v>6549840.0825000005</v>
      </c>
      <c r="U99" s="266">
        <f>O99/V99</f>
        <v>4013382.4034926472</v>
      </c>
      <c r="V99" s="266">
        <f>1.5*136%</f>
        <v>2.04</v>
      </c>
      <c r="W99" s="266"/>
      <c r="X99" s="272">
        <v>80</v>
      </c>
      <c r="Y99" s="273">
        <v>654984.00825000007</v>
      </c>
      <c r="Z99" s="273">
        <f t="shared" si="140"/>
        <v>80</v>
      </c>
      <c r="AA99" s="273">
        <f t="shared" si="147"/>
        <v>80</v>
      </c>
      <c r="AB99" s="274">
        <v>6107077</v>
      </c>
      <c r="AC99" s="275">
        <f>U99/AB99</f>
        <v>0.65716911764705888</v>
      </c>
      <c r="AE99" s="260"/>
      <c r="AF99" s="261">
        <v>0.61599999999999999</v>
      </c>
      <c r="AG99" s="260"/>
    </row>
    <row r="100" spans="2:35" ht="18.649999999999999" customHeight="1" x14ac:dyDescent="0.35">
      <c r="B100" s="321" t="s">
        <v>22</v>
      </c>
      <c r="C100" s="293" t="s">
        <v>97</v>
      </c>
      <c r="D100" s="263" t="s">
        <v>99</v>
      </c>
      <c r="E100" s="263" t="s">
        <v>46</v>
      </c>
      <c r="F100" s="263" t="s">
        <v>100</v>
      </c>
      <c r="G100" s="263" t="s">
        <v>101</v>
      </c>
      <c r="H100" s="265" t="s">
        <v>88</v>
      </c>
      <c r="I100" s="265" t="s">
        <v>102</v>
      </c>
      <c r="J100" s="553" t="s">
        <v>96</v>
      </c>
      <c r="K100" s="263" t="s">
        <v>89</v>
      </c>
      <c r="L100" s="266">
        <f t="shared" si="141"/>
        <v>21</v>
      </c>
      <c r="M100" s="267">
        <v>45460</v>
      </c>
      <c r="N100" s="267">
        <v>45480</v>
      </c>
      <c r="O100" s="266">
        <f>U100*V100</f>
        <v>3176743.4201256405</v>
      </c>
      <c r="P100" s="268" t="s">
        <v>17</v>
      </c>
      <c r="Q100" s="269">
        <v>1.4999999999999999E-2</v>
      </c>
      <c r="R100" s="266">
        <f>O100*Q100</f>
        <v>47651.151301884602</v>
      </c>
      <c r="S100" s="268" t="s">
        <v>17</v>
      </c>
      <c r="T100" s="271" t="s">
        <v>17</v>
      </c>
      <c r="U100" s="266">
        <f>AB100*AC100</f>
        <v>1588371.7100628202</v>
      </c>
      <c r="V100" s="266">
        <v>2</v>
      </c>
      <c r="W100" s="266"/>
      <c r="X100" s="272">
        <v>105</v>
      </c>
      <c r="Y100" s="273">
        <f t="shared" si="144"/>
        <v>333558.05911319226</v>
      </c>
      <c r="Z100" s="273">
        <f t="shared" si="140"/>
        <v>105</v>
      </c>
      <c r="AA100" s="273">
        <f t="shared" si="147"/>
        <v>7.0000000000000009</v>
      </c>
      <c r="AB100" s="274">
        <f>AB98*95%</f>
        <v>4931464.6775000002</v>
      </c>
      <c r="AC100" s="275">
        <v>0.32208924</v>
      </c>
      <c r="AE100" s="260"/>
      <c r="AF100" s="261">
        <v>0.26400000000000001</v>
      </c>
      <c r="AG100" s="260"/>
    </row>
    <row r="101" spans="2:35" ht="18.649999999999999" customHeight="1" x14ac:dyDescent="0.35">
      <c r="B101" s="321" t="str">
        <f>B100</f>
        <v>Mumbai</v>
      </c>
      <c r="C101" s="293" t="s">
        <v>97</v>
      </c>
      <c r="D101" s="310" t="s">
        <v>103</v>
      </c>
      <c r="E101" s="263" t="s">
        <v>46</v>
      </c>
      <c r="F101" s="310" t="s">
        <v>100</v>
      </c>
      <c r="G101" s="263" t="s">
        <v>98</v>
      </c>
      <c r="H101" s="265" t="s">
        <v>88</v>
      </c>
      <c r="I101" s="265" t="s">
        <v>104</v>
      </c>
      <c r="J101" s="553" t="s">
        <v>96</v>
      </c>
      <c r="K101" s="263" t="s">
        <v>105</v>
      </c>
      <c r="L101" s="266">
        <f t="shared" si="141"/>
        <v>21</v>
      </c>
      <c r="M101" s="267">
        <v>45460</v>
      </c>
      <c r="N101" s="267">
        <v>45480</v>
      </c>
      <c r="O101" s="266">
        <f>U101*V101</f>
        <v>2142707.2581463996</v>
      </c>
      <c r="P101" s="268" t="s">
        <v>17</v>
      </c>
      <c r="Q101" s="269">
        <v>1.4999999999999999E-2</v>
      </c>
      <c r="R101" s="266">
        <f>O101*Q101</f>
        <v>32140.608872195993</v>
      </c>
      <c r="S101" s="268" t="s">
        <v>17</v>
      </c>
      <c r="T101" s="271" t="s">
        <v>17</v>
      </c>
      <c r="U101" s="266">
        <f>AB101*AC101</f>
        <v>1071353.6290731998</v>
      </c>
      <c r="V101" s="266">
        <v>2</v>
      </c>
      <c r="W101" s="266"/>
      <c r="X101" s="272">
        <v>120</v>
      </c>
      <c r="Y101" s="273">
        <f t="shared" si="144"/>
        <v>257124.87097756795</v>
      </c>
      <c r="Z101" s="273">
        <f t="shared" si="140"/>
        <v>120</v>
      </c>
      <c r="AA101" s="273">
        <f t="shared" si="147"/>
        <v>8</v>
      </c>
      <c r="AB101" s="274">
        <v>1995758</v>
      </c>
      <c r="AC101" s="275">
        <v>0.53681539999999994</v>
      </c>
      <c r="AE101" s="260"/>
      <c r="AF101" s="261">
        <v>0.44</v>
      </c>
      <c r="AG101" s="260"/>
      <c r="AH101" s="320"/>
    </row>
    <row r="102" spans="2:35" ht="18" customHeight="1" x14ac:dyDescent="0.35">
      <c r="B102" s="321" t="str">
        <f>B101</f>
        <v>Mumbai</v>
      </c>
      <c r="C102" s="293" t="s">
        <v>97</v>
      </c>
      <c r="D102" s="310" t="s">
        <v>106</v>
      </c>
      <c r="E102" s="311" t="s">
        <v>46</v>
      </c>
      <c r="F102" s="311" t="s">
        <v>91</v>
      </c>
      <c r="G102" s="263" t="s">
        <v>98</v>
      </c>
      <c r="H102" s="310" t="s">
        <v>88</v>
      </c>
      <c r="I102" s="263" t="s">
        <v>107</v>
      </c>
      <c r="J102" s="553" t="s">
        <v>96</v>
      </c>
      <c r="K102" s="263" t="s">
        <v>89</v>
      </c>
      <c r="L102" s="266">
        <f t="shared" si="141"/>
        <v>21</v>
      </c>
      <c r="M102" s="267">
        <v>45460</v>
      </c>
      <c r="N102" s="267">
        <v>45480</v>
      </c>
      <c r="O102" s="266">
        <f>U102*V102</f>
        <v>1311501.2621008321</v>
      </c>
      <c r="P102" s="268" t="s">
        <v>17</v>
      </c>
      <c r="Q102" s="312">
        <v>0.01</v>
      </c>
      <c r="R102" s="266">
        <f t="shared" ref="R102:R103" si="148">O102*Q102</f>
        <v>13115.012621008322</v>
      </c>
      <c r="S102" s="268" t="s">
        <v>17</v>
      </c>
      <c r="T102" s="271" t="s">
        <v>17</v>
      </c>
      <c r="U102" s="266">
        <f t="shared" ref="U102" si="149">AB102*AC102</f>
        <v>655750.63105041604</v>
      </c>
      <c r="V102" s="266">
        <v>2</v>
      </c>
      <c r="W102" s="266"/>
      <c r="X102" s="272">
        <v>200</v>
      </c>
      <c r="Y102" s="273">
        <f>O102*X102/1000</f>
        <v>262300.25242016639</v>
      </c>
      <c r="Z102" s="273">
        <f t="shared" si="140"/>
        <v>199.99999999999997</v>
      </c>
      <c r="AA102" s="273">
        <f t="shared" si="147"/>
        <v>19.999999999999996</v>
      </c>
      <c r="AB102" s="274">
        <v>2776266</v>
      </c>
      <c r="AC102" s="275">
        <v>0.23619877600000003</v>
      </c>
      <c r="AE102" s="260"/>
      <c r="AF102" s="261">
        <v>0.17600000000000002</v>
      </c>
      <c r="AG102" s="260"/>
      <c r="AH102" s="562"/>
    </row>
    <row r="103" spans="2:35" ht="18.649999999999999" customHeight="1" x14ac:dyDescent="0.35">
      <c r="B103" s="321" t="str">
        <f>B102</f>
        <v>Mumbai</v>
      </c>
      <c r="C103" s="293" t="s">
        <v>97</v>
      </c>
      <c r="D103" s="310" t="s">
        <v>588</v>
      </c>
      <c r="E103" s="263" t="s">
        <v>46</v>
      </c>
      <c r="F103" s="310" t="s">
        <v>589</v>
      </c>
      <c r="G103" s="263" t="s">
        <v>98</v>
      </c>
      <c r="H103" s="265" t="s">
        <v>88</v>
      </c>
      <c r="I103" s="265" t="s">
        <v>590</v>
      </c>
      <c r="J103" s="553" t="s">
        <v>591</v>
      </c>
      <c r="K103" s="263" t="s">
        <v>592</v>
      </c>
      <c r="L103" s="266">
        <f t="shared" si="141"/>
        <v>21</v>
      </c>
      <c r="M103" s="267">
        <v>45460</v>
      </c>
      <c r="N103" s="267">
        <v>45480</v>
      </c>
      <c r="O103" s="266">
        <f>P103*3</f>
        <v>719486.04</v>
      </c>
      <c r="P103" s="266">
        <f>Y103/X103</f>
        <v>239828.68000000002</v>
      </c>
      <c r="Q103" s="269">
        <v>1.4999999999999999E-2</v>
      </c>
      <c r="R103" s="266">
        <f t="shared" si="148"/>
        <v>10792.2906</v>
      </c>
      <c r="S103" s="268" t="s">
        <v>17</v>
      </c>
      <c r="T103" s="271" t="s">
        <v>17</v>
      </c>
      <c r="U103" s="266">
        <f>O103/V103</f>
        <v>239828.68000000002</v>
      </c>
      <c r="V103" s="266">
        <v>3</v>
      </c>
      <c r="W103" s="266"/>
      <c r="X103" s="272">
        <v>1.5</v>
      </c>
      <c r="Y103" s="273">
        <v>359743.02</v>
      </c>
      <c r="Z103" s="273">
        <f t="shared" si="140"/>
        <v>500</v>
      </c>
      <c r="AA103" s="273">
        <f t="shared" si="147"/>
        <v>33.333333333333336</v>
      </c>
      <c r="AB103" s="274">
        <v>2569593</v>
      </c>
      <c r="AC103" s="275">
        <f>U103/AB103</f>
        <v>9.3333333333333338E-2</v>
      </c>
      <c r="AE103" s="260"/>
      <c r="AF103" s="261">
        <v>0.26400000000000001</v>
      </c>
      <c r="AG103" s="260"/>
      <c r="AH103" s="320"/>
    </row>
    <row r="104" spans="2:35" ht="18.649999999999999" customHeight="1" x14ac:dyDescent="0.35">
      <c r="B104" s="321" t="str">
        <f>B103</f>
        <v>Mumbai</v>
      </c>
      <c r="C104" s="293" t="s">
        <v>97</v>
      </c>
      <c r="D104" s="310" t="s">
        <v>109</v>
      </c>
      <c r="E104" s="263" t="s">
        <v>46</v>
      </c>
      <c r="F104" s="310" t="s">
        <v>100</v>
      </c>
      <c r="G104" s="263" t="s">
        <v>98</v>
      </c>
      <c r="H104" s="265" t="s">
        <v>88</v>
      </c>
      <c r="I104" s="265" t="s">
        <v>110</v>
      </c>
      <c r="J104" s="553" t="s">
        <v>96</v>
      </c>
      <c r="K104" s="263" t="s">
        <v>111</v>
      </c>
      <c r="L104" s="266">
        <f t="shared" si="141"/>
        <v>21</v>
      </c>
      <c r="M104" s="267">
        <v>45460</v>
      </c>
      <c r="N104" s="267">
        <v>45480</v>
      </c>
      <c r="O104" s="266">
        <f>U104*V104</f>
        <v>2873229.274344</v>
      </c>
      <c r="P104" s="268" t="s">
        <v>17</v>
      </c>
      <c r="Q104" s="269">
        <v>0.02</v>
      </c>
      <c r="R104" s="266">
        <f>O104*Q104</f>
        <v>57464.585486880002</v>
      </c>
      <c r="S104" s="268" t="s">
        <v>17</v>
      </c>
      <c r="T104" s="271" t="s">
        <v>17</v>
      </c>
      <c r="U104" s="266">
        <f>AB104*AC104</f>
        <v>2873229.274344</v>
      </c>
      <c r="V104" s="266">
        <v>1</v>
      </c>
      <c r="W104" s="266"/>
      <c r="X104" s="272">
        <v>4.5</v>
      </c>
      <c r="Y104" s="273">
        <f>R104*X104</f>
        <v>258590.63469096</v>
      </c>
      <c r="Z104" s="273">
        <f t="shared" si="140"/>
        <v>90</v>
      </c>
      <c r="AA104" s="273">
        <f t="shared" si="147"/>
        <v>4.5</v>
      </c>
      <c r="AB104" s="274">
        <v>4460300</v>
      </c>
      <c r="AC104" s="275">
        <v>0.64417848</v>
      </c>
      <c r="AE104" s="260"/>
      <c r="AF104" s="261">
        <v>0.52800000000000002</v>
      </c>
      <c r="AG104" s="260"/>
    </row>
    <row r="105" spans="2:35" ht="18.649999999999999" customHeight="1" x14ac:dyDescent="0.35">
      <c r="B105" s="321" t="s">
        <v>22</v>
      </c>
      <c r="C105" s="293" t="s">
        <v>97</v>
      </c>
      <c r="D105" s="310" t="s">
        <v>600</v>
      </c>
      <c r="E105" s="314" t="s">
        <v>46</v>
      </c>
      <c r="F105" s="311" t="s">
        <v>565</v>
      </c>
      <c r="G105" s="263" t="s">
        <v>101</v>
      </c>
      <c r="H105" s="265" t="s">
        <v>88</v>
      </c>
      <c r="I105" s="265" t="s">
        <v>527</v>
      </c>
      <c r="J105" s="552" t="s">
        <v>566</v>
      </c>
      <c r="K105" s="263" t="s">
        <v>89</v>
      </c>
      <c r="L105" s="266">
        <f t="shared" ref="L105" si="150">N105-M105+1</f>
        <v>13</v>
      </c>
      <c r="M105" s="267">
        <v>45460</v>
      </c>
      <c r="N105" s="267">
        <v>45472</v>
      </c>
      <c r="O105" s="266">
        <f t="shared" ref="O105" si="151">U105*V105</f>
        <v>718419.96000000008</v>
      </c>
      <c r="P105" s="268" t="s">
        <v>17</v>
      </c>
      <c r="Q105" s="315">
        <v>5.0000000000000001E-3</v>
      </c>
      <c r="R105" s="266">
        <f t="shared" ref="R105" si="152">O105*Q105</f>
        <v>3592.0998000000004</v>
      </c>
      <c r="S105" s="268" t="s">
        <v>17</v>
      </c>
      <c r="T105" s="271" t="s">
        <v>17</v>
      </c>
      <c r="U105" s="266">
        <f t="shared" ref="U105" si="153">AB105*AC105</f>
        <v>359209.98000000004</v>
      </c>
      <c r="V105" s="266">
        <v>2</v>
      </c>
      <c r="W105" s="266"/>
      <c r="X105" s="272">
        <v>105</v>
      </c>
      <c r="Y105" s="273">
        <f t="shared" ref="Y105" si="154">O105/1000*X105</f>
        <v>75434.09580000001</v>
      </c>
      <c r="Z105" s="273">
        <f t="shared" ref="Z105" si="155">Y105/O105*1000</f>
        <v>105</v>
      </c>
      <c r="AA105" s="273">
        <f t="shared" ref="AA105" si="156">Y105/R105</f>
        <v>21</v>
      </c>
      <c r="AB105" s="274">
        <v>798244.4</v>
      </c>
      <c r="AC105" s="275">
        <v>0.45</v>
      </c>
      <c r="AE105" s="260"/>
      <c r="AF105" s="261">
        <v>0.29264880126797788</v>
      </c>
      <c r="AG105" s="260"/>
    </row>
    <row r="106" spans="2:35" ht="18.649999999999999" customHeight="1" x14ac:dyDescent="0.35">
      <c r="B106" s="321" t="s">
        <v>22</v>
      </c>
      <c r="C106" s="293" t="s">
        <v>97</v>
      </c>
      <c r="D106" s="311" t="s">
        <v>116</v>
      </c>
      <c r="E106" s="263" t="s">
        <v>46</v>
      </c>
      <c r="F106" s="311" t="s">
        <v>114</v>
      </c>
      <c r="G106" s="263" t="s">
        <v>98</v>
      </c>
      <c r="H106" s="265" t="s">
        <v>88</v>
      </c>
      <c r="I106" s="265" t="s">
        <v>115</v>
      </c>
      <c r="J106" s="552" t="s">
        <v>96</v>
      </c>
      <c r="K106" s="263" t="s">
        <v>105</v>
      </c>
      <c r="L106" s="266">
        <f>N106-M106+1</f>
        <v>6</v>
      </c>
      <c r="M106" s="267">
        <v>45471</v>
      </c>
      <c r="N106" s="267">
        <v>45476</v>
      </c>
      <c r="O106" s="266">
        <f>1980000/14*6</f>
        <v>848571.42857142852</v>
      </c>
      <c r="P106" s="268" t="s">
        <v>17</v>
      </c>
      <c r="Q106" s="315">
        <v>0.01</v>
      </c>
      <c r="R106" s="266">
        <f>O106*Q106</f>
        <v>8485.7142857142862</v>
      </c>
      <c r="S106" s="268" t="s">
        <v>17</v>
      </c>
      <c r="T106" s="271" t="s">
        <v>17</v>
      </c>
      <c r="U106" s="266">
        <f>O106/V106</f>
        <v>169714.28571428571</v>
      </c>
      <c r="V106" s="266">
        <v>5</v>
      </c>
      <c r="W106" s="266"/>
      <c r="X106" s="272">
        <v>260</v>
      </c>
      <c r="Y106" s="273">
        <f>(O106/1000)*X106</f>
        <v>220628.57142857142</v>
      </c>
      <c r="Z106" s="273">
        <f t="shared" ref="Z106:Z116" si="157">Y106/O106*1000</f>
        <v>260</v>
      </c>
      <c r="AA106" s="273">
        <f>Y106/R106</f>
        <v>25.999999999999996</v>
      </c>
      <c r="AB106" s="274">
        <v>462000</v>
      </c>
      <c r="AC106" s="275">
        <f>U106/AB106</f>
        <v>0.36734693877551017</v>
      </c>
      <c r="AE106" s="260"/>
      <c r="AF106" s="261">
        <v>0.37714285714285711</v>
      </c>
      <c r="AG106" s="260"/>
    </row>
    <row r="107" spans="2:35" ht="18.649999999999999" customHeight="1" x14ac:dyDescent="0.35">
      <c r="B107" s="277" t="str">
        <f>B106</f>
        <v>Mumbai</v>
      </c>
      <c r="C107" s="278"/>
      <c r="D107" s="279" t="s">
        <v>18</v>
      </c>
      <c r="E107" s="280"/>
      <c r="F107" s="279"/>
      <c r="G107" s="280"/>
      <c r="H107" s="280"/>
      <c r="I107" s="281"/>
      <c r="J107" s="546"/>
      <c r="K107" s="283"/>
      <c r="L107" s="284"/>
      <c r="M107" s="284"/>
      <c r="N107" s="284"/>
      <c r="O107" s="284">
        <f>SUM(O96:O106)</f>
        <v>52787297.632451355</v>
      </c>
      <c r="P107" s="284"/>
      <c r="Q107" s="285">
        <f>R107/O107</f>
        <v>3.541956861295928E-3</v>
      </c>
      <c r="R107" s="284">
        <f>SUM(R96:R106)</f>
        <v>186970.33103853138</v>
      </c>
      <c r="S107" s="286"/>
      <c r="T107" s="316">
        <f>SUM(T96:T106)</f>
        <v>32444211.001322068</v>
      </c>
      <c r="U107" s="284">
        <f>U99+(SUM(U96:U96,U100:U106,U97:U98)*7%)</f>
        <v>4959517.1925300816</v>
      </c>
      <c r="V107" s="284">
        <f>O107/U107</f>
        <v>10.64363638298471</v>
      </c>
      <c r="W107" s="284"/>
      <c r="X107" s="287"/>
      <c r="Y107" s="317">
        <f>SUM(Y96:Y106)</f>
        <v>5870045.0534648998</v>
      </c>
      <c r="Z107" s="288">
        <f t="shared" si="157"/>
        <v>111.20184811006973</v>
      </c>
      <c r="AA107" s="288">
        <f>Y107/R107</f>
        <v>31.395596407513363</v>
      </c>
      <c r="AB107" s="284">
        <f>AB99+(SUM(AB96:AB98,AB100:AB106)*2%)</f>
        <v>6646807.75055</v>
      </c>
      <c r="AC107" s="289">
        <f>U107/AB107</f>
        <v>0.74615023913091194</v>
      </c>
      <c r="AD107" s="261"/>
      <c r="AE107" s="290"/>
      <c r="AF107" s="261">
        <v>0.75269897524226992</v>
      </c>
      <c r="AG107" s="290"/>
      <c r="AH107" s="460"/>
      <c r="AI107" s="459"/>
    </row>
    <row r="108" spans="2:35" ht="18.649999999999999" customHeight="1" x14ac:dyDescent="0.35">
      <c r="B108" s="321" t="s">
        <v>123</v>
      </c>
      <c r="C108" s="293" t="s">
        <v>93</v>
      </c>
      <c r="D108" s="294" t="s">
        <v>94</v>
      </c>
      <c r="E108" s="294" t="s">
        <v>45</v>
      </c>
      <c r="F108" s="295" t="s">
        <v>87</v>
      </c>
      <c r="G108" s="295" t="s">
        <v>50</v>
      </c>
      <c r="H108" s="296" t="s">
        <v>95</v>
      </c>
      <c r="I108" s="296" t="s">
        <v>608</v>
      </c>
      <c r="J108" s="551" t="s">
        <v>96</v>
      </c>
      <c r="K108" s="295" t="s">
        <v>89</v>
      </c>
      <c r="L108" s="298">
        <f t="shared" ref="L108:L116" si="158">N108-(M108-1)</f>
        <v>21</v>
      </c>
      <c r="M108" s="299">
        <v>45460</v>
      </c>
      <c r="N108" s="299">
        <v>45480</v>
      </c>
      <c r="O108" s="298">
        <f t="shared" ref="O108:O110" si="159">U108*V108</f>
        <v>1659067.07386112</v>
      </c>
      <c r="P108" s="300" t="s">
        <v>17</v>
      </c>
      <c r="Q108" s="301"/>
      <c r="R108" s="298"/>
      <c r="S108" s="302">
        <v>0.85</v>
      </c>
      <c r="T108" s="303">
        <f t="shared" ref="T108:T109" si="160">O108*S108</f>
        <v>1410207.012781952</v>
      </c>
      <c r="U108" s="298">
        <f>AB108*AC108</f>
        <v>243980.45203839999</v>
      </c>
      <c r="V108" s="298">
        <f>5*136%</f>
        <v>6.8000000000000007</v>
      </c>
      <c r="W108" s="298"/>
      <c r="X108" s="304">
        <v>125</v>
      </c>
      <c r="Y108" s="305">
        <f t="shared" ref="Y108:Y113" si="161">(O108/1000)*X108</f>
        <v>207383.38423264</v>
      </c>
      <c r="Z108" s="305">
        <f t="shared" si="157"/>
        <v>125</v>
      </c>
      <c r="AA108" s="305"/>
      <c r="AB108" s="306">
        <v>284060</v>
      </c>
      <c r="AC108" s="307">
        <v>0.85890464</v>
      </c>
      <c r="AD108" s="261"/>
      <c r="AE108" s="260"/>
      <c r="AF108" s="261">
        <v>0.70400000000000007</v>
      </c>
      <c r="AG108" s="260"/>
      <c r="AH108" s="568"/>
    </row>
    <row r="109" spans="2:35" ht="18.649999999999999" customHeight="1" x14ac:dyDescent="0.35">
      <c r="B109" s="321" t="s">
        <v>123</v>
      </c>
      <c r="C109" s="293" t="s">
        <v>93</v>
      </c>
      <c r="D109" s="295" t="s">
        <v>86</v>
      </c>
      <c r="E109" s="295" t="s">
        <v>45</v>
      </c>
      <c r="F109" s="295" t="s">
        <v>87</v>
      </c>
      <c r="G109" s="296" t="s">
        <v>50</v>
      </c>
      <c r="H109" s="296" t="s">
        <v>95</v>
      </c>
      <c r="I109" s="296" t="s">
        <v>610</v>
      </c>
      <c r="J109" s="551" t="s">
        <v>96</v>
      </c>
      <c r="K109" s="295" t="s">
        <v>89</v>
      </c>
      <c r="L109" s="298">
        <f t="shared" si="158"/>
        <v>21</v>
      </c>
      <c r="M109" s="299">
        <v>45460</v>
      </c>
      <c r="N109" s="299">
        <v>45480</v>
      </c>
      <c r="O109" s="298">
        <f>Y109/X109*1000</f>
        <v>7470198.1748159993</v>
      </c>
      <c r="P109" s="300" t="s">
        <v>17</v>
      </c>
      <c r="Q109" s="301"/>
      <c r="R109" s="298"/>
      <c r="S109" s="302">
        <v>0.8</v>
      </c>
      <c r="T109" s="303">
        <f t="shared" si="160"/>
        <v>5976158.5398527998</v>
      </c>
      <c r="U109" s="298">
        <f>O109/V109</f>
        <v>900023.8764838553</v>
      </c>
      <c r="V109" s="298">
        <v>8.3000000000000007</v>
      </c>
      <c r="W109" s="298"/>
      <c r="X109" s="304">
        <v>110</v>
      </c>
      <c r="Y109" s="305">
        <f>821721.79922976</f>
        <v>821721.79922975996</v>
      </c>
      <c r="Z109" s="305">
        <f t="shared" si="157"/>
        <v>110</v>
      </c>
      <c r="AA109" s="305"/>
      <c r="AB109" s="306">
        <v>1000480</v>
      </c>
      <c r="AC109" s="307">
        <f>U109/AB109</f>
        <v>0.8995920722891565</v>
      </c>
      <c r="AF109" s="261">
        <v>0.748</v>
      </c>
    </row>
    <row r="110" spans="2:35" ht="18.649999999999999" customHeight="1" x14ac:dyDescent="0.35">
      <c r="B110" s="321" t="s">
        <v>123</v>
      </c>
      <c r="C110" s="293" t="s">
        <v>97</v>
      </c>
      <c r="D110" s="264" t="s">
        <v>561</v>
      </c>
      <c r="E110" s="264" t="s">
        <v>45</v>
      </c>
      <c r="F110" s="263" t="s">
        <v>87</v>
      </c>
      <c r="G110" s="263" t="s">
        <v>98</v>
      </c>
      <c r="H110" s="265" t="s">
        <v>90</v>
      </c>
      <c r="I110" s="265" t="s">
        <v>609</v>
      </c>
      <c r="J110" s="552" t="s">
        <v>96</v>
      </c>
      <c r="K110" s="263" t="s">
        <v>89</v>
      </c>
      <c r="L110" s="266">
        <f t="shared" si="158"/>
        <v>21</v>
      </c>
      <c r="M110" s="267">
        <v>45460</v>
      </c>
      <c r="N110" s="267">
        <v>45480</v>
      </c>
      <c r="O110" s="266">
        <f t="shared" si="159"/>
        <v>2643699.9416749999</v>
      </c>
      <c r="P110" s="268" t="s">
        <v>17</v>
      </c>
      <c r="Q110" s="269">
        <v>1E-3</v>
      </c>
      <c r="R110" s="266">
        <f t="shared" ref="R110:R111" si="162">O110*Q110</f>
        <v>2643.699941675</v>
      </c>
      <c r="S110" s="270">
        <v>0.7</v>
      </c>
      <c r="T110" s="271">
        <f>O110*S110</f>
        <v>1850589.9591724998</v>
      </c>
      <c r="U110" s="266">
        <f t="shared" ref="U110" si="163">AB110*AC110</f>
        <v>1057479.97667</v>
      </c>
      <c r="V110" s="266">
        <v>2.5</v>
      </c>
      <c r="W110" s="266"/>
      <c r="X110" s="272">
        <v>70</v>
      </c>
      <c r="Y110" s="273">
        <f t="shared" si="161"/>
        <v>185058.99591724999</v>
      </c>
      <c r="Z110" s="273">
        <f t="shared" si="157"/>
        <v>70</v>
      </c>
      <c r="AA110" s="273">
        <f t="shared" ref="AA110:AA116" si="164">Y110/R110</f>
        <v>70</v>
      </c>
      <c r="AB110" s="274">
        <f>2039440*85%</f>
        <v>1733524</v>
      </c>
      <c r="AC110" s="275">
        <v>0.61001749999999999</v>
      </c>
      <c r="AE110" s="260"/>
      <c r="AF110" s="261">
        <v>0.748</v>
      </c>
      <c r="AG110" s="260"/>
    </row>
    <row r="111" spans="2:35" ht="18.649999999999999" customHeight="1" x14ac:dyDescent="0.35">
      <c r="B111" s="321" t="s">
        <v>123</v>
      </c>
      <c r="C111" s="293" t="s">
        <v>97</v>
      </c>
      <c r="D111" s="264" t="s">
        <v>86</v>
      </c>
      <c r="E111" s="264" t="s">
        <v>45</v>
      </c>
      <c r="F111" s="263" t="s">
        <v>87</v>
      </c>
      <c r="G111" s="263" t="s">
        <v>98</v>
      </c>
      <c r="H111" s="265" t="s">
        <v>90</v>
      </c>
      <c r="I111" s="265" t="s">
        <v>610</v>
      </c>
      <c r="J111" s="552" t="s">
        <v>96</v>
      </c>
      <c r="K111" s="263" t="s">
        <v>89</v>
      </c>
      <c r="L111" s="266">
        <f t="shared" si="158"/>
        <v>21</v>
      </c>
      <c r="M111" s="267">
        <v>45460</v>
      </c>
      <c r="N111" s="267">
        <v>45480</v>
      </c>
      <c r="O111" s="266">
        <f>Y111/X111*1000</f>
        <v>3421258.7480499996</v>
      </c>
      <c r="P111" s="268" t="s">
        <v>17</v>
      </c>
      <c r="Q111" s="269">
        <v>1E-3</v>
      </c>
      <c r="R111" s="266">
        <f t="shared" si="162"/>
        <v>3421.2587480499997</v>
      </c>
      <c r="S111" s="270">
        <v>0.8</v>
      </c>
      <c r="T111" s="271">
        <f>O111*S111</f>
        <v>2737006.9984399998</v>
      </c>
      <c r="U111" s="266">
        <f>O111/V111</f>
        <v>1257815.7161948527</v>
      </c>
      <c r="V111" s="266">
        <f>2*136%</f>
        <v>2.72</v>
      </c>
      <c r="W111" s="266"/>
      <c r="X111" s="272">
        <v>80</v>
      </c>
      <c r="Y111" s="273">
        <v>273700.69984399999</v>
      </c>
      <c r="Z111" s="273">
        <f t="shared" si="157"/>
        <v>80</v>
      </c>
      <c r="AA111" s="273">
        <f t="shared" si="164"/>
        <v>80</v>
      </c>
      <c r="AB111" s="274">
        <v>2039440</v>
      </c>
      <c r="AC111" s="275">
        <f>U111/AB111</f>
        <v>0.61674563419117634</v>
      </c>
      <c r="AE111" s="260"/>
      <c r="AF111" s="261">
        <v>0.748</v>
      </c>
      <c r="AG111" s="260"/>
    </row>
    <row r="112" spans="2:35" ht="18.649999999999999" customHeight="1" x14ac:dyDescent="0.35">
      <c r="B112" s="321" t="s">
        <v>123</v>
      </c>
      <c r="C112" s="293" t="s">
        <v>97</v>
      </c>
      <c r="D112" s="263" t="s">
        <v>99</v>
      </c>
      <c r="E112" s="263" t="s">
        <v>46</v>
      </c>
      <c r="F112" s="263" t="s">
        <v>100</v>
      </c>
      <c r="G112" s="263" t="s">
        <v>101</v>
      </c>
      <c r="H112" s="265" t="s">
        <v>88</v>
      </c>
      <c r="I112" s="265" t="s">
        <v>102</v>
      </c>
      <c r="J112" s="553" t="s">
        <v>96</v>
      </c>
      <c r="K112" s="263" t="s">
        <v>89</v>
      </c>
      <c r="L112" s="266">
        <f t="shared" si="158"/>
        <v>21</v>
      </c>
      <c r="M112" s="267">
        <v>45460</v>
      </c>
      <c r="N112" s="267">
        <v>45480</v>
      </c>
      <c r="O112" s="266">
        <f>U112*V112</f>
        <v>795647.93444650783</v>
      </c>
      <c r="P112" s="268" t="s">
        <v>17</v>
      </c>
      <c r="Q112" s="269">
        <v>1.4999999999999999E-2</v>
      </c>
      <c r="R112" s="266">
        <f>O112*Q112</f>
        <v>11934.719016697618</v>
      </c>
      <c r="S112" s="268" t="s">
        <v>17</v>
      </c>
      <c r="T112" s="271" t="s">
        <v>17</v>
      </c>
      <c r="U112" s="266">
        <f>AB112*AC112</f>
        <v>530431.95629767189</v>
      </c>
      <c r="V112" s="266">
        <v>1.5</v>
      </c>
      <c r="W112" s="266"/>
      <c r="X112" s="272">
        <v>105</v>
      </c>
      <c r="Y112" s="273">
        <f t="shared" si="161"/>
        <v>83543.033116883322</v>
      </c>
      <c r="Z112" s="273">
        <f t="shared" si="157"/>
        <v>105</v>
      </c>
      <c r="AA112" s="273">
        <f t="shared" si="164"/>
        <v>7</v>
      </c>
      <c r="AB112" s="274">
        <f>AB110*95%</f>
        <v>1646847.7999999998</v>
      </c>
      <c r="AC112" s="275">
        <v>0.32208924</v>
      </c>
      <c r="AE112" s="260"/>
      <c r="AF112" s="261">
        <v>0.26400000000000001</v>
      </c>
      <c r="AG112" s="260"/>
    </row>
    <row r="113" spans="2:35" ht="18.649999999999999" customHeight="1" x14ac:dyDescent="0.35">
      <c r="B113" s="321" t="str">
        <f>B112</f>
        <v>Pune</v>
      </c>
      <c r="C113" s="293" t="s">
        <v>97</v>
      </c>
      <c r="D113" s="310" t="s">
        <v>103</v>
      </c>
      <c r="E113" s="263" t="s">
        <v>46</v>
      </c>
      <c r="F113" s="310" t="s">
        <v>100</v>
      </c>
      <c r="G113" s="263" t="s">
        <v>98</v>
      </c>
      <c r="H113" s="265" t="s">
        <v>88</v>
      </c>
      <c r="I113" s="265" t="s">
        <v>104</v>
      </c>
      <c r="J113" s="553" t="s">
        <v>96</v>
      </c>
      <c r="K113" s="263" t="s">
        <v>105</v>
      </c>
      <c r="L113" s="266">
        <f t="shared" si="158"/>
        <v>21</v>
      </c>
      <c r="M113" s="267">
        <v>45460</v>
      </c>
      <c r="N113" s="267">
        <v>45480</v>
      </c>
      <c r="O113" s="266">
        <f>U113*V113</f>
        <v>620587.05361619999</v>
      </c>
      <c r="P113" s="268" t="s">
        <v>17</v>
      </c>
      <c r="Q113" s="269">
        <v>1.4999999999999999E-2</v>
      </c>
      <c r="R113" s="266">
        <f>O113*Q113</f>
        <v>9308.8058042430002</v>
      </c>
      <c r="S113" s="268" t="s">
        <v>17</v>
      </c>
      <c r="T113" s="271" t="s">
        <v>17</v>
      </c>
      <c r="U113" s="266">
        <f>AB113*AC113</f>
        <v>413724.70241079998</v>
      </c>
      <c r="V113" s="266">
        <v>1.5</v>
      </c>
      <c r="W113" s="266"/>
      <c r="X113" s="272">
        <v>120</v>
      </c>
      <c r="Y113" s="273">
        <f t="shared" si="161"/>
        <v>74470.446433944002</v>
      </c>
      <c r="Z113" s="273">
        <f t="shared" si="157"/>
        <v>120.00000000000001</v>
      </c>
      <c r="AA113" s="273">
        <f t="shared" si="164"/>
        <v>8</v>
      </c>
      <c r="AB113" s="274">
        <v>770702</v>
      </c>
      <c r="AC113" s="275">
        <v>0.53681539999999994</v>
      </c>
      <c r="AE113" s="260"/>
      <c r="AF113" s="261">
        <v>0.44</v>
      </c>
      <c r="AG113" s="260"/>
      <c r="AH113" s="320"/>
    </row>
    <row r="114" spans="2:35" ht="18.649999999999999" customHeight="1" x14ac:dyDescent="0.35">
      <c r="B114" s="321" t="str">
        <f>B113</f>
        <v>Pune</v>
      </c>
      <c r="C114" s="293" t="s">
        <v>97</v>
      </c>
      <c r="D114" s="310" t="s">
        <v>106</v>
      </c>
      <c r="E114" s="311" t="s">
        <v>46</v>
      </c>
      <c r="F114" s="311" t="s">
        <v>91</v>
      </c>
      <c r="G114" s="263" t="s">
        <v>98</v>
      </c>
      <c r="H114" s="310" t="s">
        <v>88</v>
      </c>
      <c r="I114" s="263" t="s">
        <v>107</v>
      </c>
      <c r="J114" s="553" t="s">
        <v>96</v>
      </c>
      <c r="K114" s="263" t="s">
        <v>89</v>
      </c>
      <c r="L114" s="266">
        <f t="shared" si="158"/>
        <v>21</v>
      </c>
      <c r="M114" s="267">
        <v>45460</v>
      </c>
      <c r="N114" s="267">
        <v>45480</v>
      </c>
      <c r="O114" s="266">
        <f>U114*V114</f>
        <v>598557.34133038798</v>
      </c>
      <c r="P114" s="268" t="s">
        <v>17</v>
      </c>
      <c r="Q114" s="312">
        <v>0.01</v>
      </c>
      <c r="R114" s="266">
        <f t="shared" ref="R114:R115" si="165">O114*Q114</f>
        <v>5985.5734133038795</v>
      </c>
      <c r="S114" s="268" t="s">
        <v>17</v>
      </c>
      <c r="T114" s="271" t="s">
        <v>17</v>
      </c>
      <c r="U114" s="266">
        <f t="shared" ref="U114" si="166">AB114*AC114</f>
        <v>399038.22755359201</v>
      </c>
      <c r="V114" s="266">
        <v>1.5</v>
      </c>
      <c r="W114" s="266"/>
      <c r="X114" s="272">
        <v>200</v>
      </c>
      <c r="Y114" s="273">
        <f>O114*X114/1000</f>
        <v>119711.46826607759</v>
      </c>
      <c r="Z114" s="273">
        <f t="shared" si="157"/>
        <v>199.99999999999997</v>
      </c>
      <c r="AA114" s="273">
        <f t="shared" si="164"/>
        <v>20</v>
      </c>
      <c r="AB114" s="274">
        <v>1126278</v>
      </c>
      <c r="AC114" s="275">
        <v>0.35429816400000003</v>
      </c>
      <c r="AE114" s="260"/>
      <c r="AF114" s="261">
        <v>0.26400000000000001</v>
      </c>
      <c r="AG114" s="260"/>
      <c r="AH114" s="562"/>
    </row>
    <row r="115" spans="2:35" ht="18.649999999999999" customHeight="1" x14ac:dyDescent="0.35">
      <c r="B115" s="321" t="str">
        <f>B114</f>
        <v>Pune</v>
      </c>
      <c r="C115" s="293" t="s">
        <v>97</v>
      </c>
      <c r="D115" s="310" t="s">
        <v>588</v>
      </c>
      <c r="E115" s="263" t="s">
        <v>46</v>
      </c>
      <c r="F115" s="310" t="s">
        <v>589</v>
      </c>
      <c r="G115" s="263" t="s">
        <v>98</v>
      </c>
      <c r="H115" s="265" t="s">
        <v>88</v>
      </c>
      <c r="I115" s="265" t="s">
        <v>590</v>
      </c>
      <c r="J115" s="553" t="s">
        <v>591</v>
      </c>
      <c r="K115" s="263" t="s">
        <v>592</v>
      </c>
      <c r="L115" s="266">
        <f t="shared" si="158"/>
        <v>21</v>
      </c>
      <c r="M115" s="267">
        <v>45460</v>
      </c>
      <c r="N115" s="267">
        <v>45480</v>
      </c>
      <c r="O115" s="266">
        <f>P115*3</f>
        <v>359743.16</v>
      </c>
      <c r="P115" s="266">
        <f>Y115/X115</f>
        <v>119914.38666666666</v>
      </c>
      <c r="Q115" s="269">
        <v>1.4999999999999999E-2</v>
      </c>
      <c r="R115" s="266">
        <f t="shared" si="165"/>
        <v>5396.1473999999998</v>
      </c>
      <c r="S115" s="268" t="s">
        <v>17</v>
      </c>
      <c r="T115" s="271" t="s">
        <v>17</v>
      </c>
      <c r="U115" s="266">
        <f>O115/V115</f>
        <v>119914.38666666666</v>
      </c>
      <c r="V115" s="266">
        <v>3</v>
      </c>
      <c r="W115" s="266"/>
      <c r="X115" s="272">
        <v>1.5</v>
      </c>
      <c r="Y115" s="273">
        <v>179871.58</v>
      </c>
      <c r="Z115" s="273">
        <f t="shared" si="157"/>
        <v>500</v>
      </c>
      <c r="AA115" s="273">
        <f t="shared" si="164"/>
        <v>33.333333333333329</v>
      </c>
      <c r="AB115" s="274">
        <v>1284797</v>
      </c>
      <c r="AC115" s="275">
        <f>U115/AB115</f>
        <v>9.3333333333333324E-2</v>
      </c>
      <c r="AE115" s="260"/>
      <c r="AF115" s="261">
        <v>0.26400000000000001</v>
      </c>
      <c r="AG115" s="260"/>
      <c r="AH115" s="320"/>
    </row>
    <row r="116" spans="2:35" ht="18.649999999999999" customHeight="1" x14ac:dyDescent="0.35">
      <c r="B116" s="321" t="str">
        <f>B115</f>
        <v>Pune</v>
      </c>
      <c r="C116" s="293" t="s">
        <v>97</v>
      </c>
      <c r="D116" s="310" t="s">
        <v>109</v>
      </c>
      <c r="E116" s="263" t="s">
        <v>46</v>
      </c>
      <c r="F116" s="310" t="s">
        <v>100</v>
      </c>
      <c r="G116" s="263" t="s">
        <v>98</v>
      </c>
      <c r="H116" s="265" t="s">
        <v>88</v>
      </c>
      <c r="I116" s="265" t="s">
        <v>110</v>
      </c>
      <c r="J116" s="553" t="s">
        <v>96</v>
      </c>
      <c r="K116" s="263" t="s">
        <v>111</v>
      </c>
      <c r="L116" s="266">
        <f t="shared" si="158"/>
        <v>21</v>
      </c>
      <c r="M116" s="267">
        <v>45460</v>
      </c>
      <c r="N116" s="267">
        <v>45480</v>
      </c>
      <c r="O116" s="266">
        <f>U116*V116</f>
        <v>5990988.6996959997</v>
      </c>
      <c r="P116" s="268" t="s">
        <v>17</v>
      </c>
      <c r="Q116" s="269">
        <v>0.02</v>
      </c>
      <c r="R116" s="266">
        <f>O116*Q116</f>
        <v>119819.77399392</v>
      </c>
      <c r="S116" s="268" t="s">
        <v>17</v>
      </c>
      <c r="T116" s="271" t="s">
        <v>17</v>
      </c>
      <c r="U116" s="266">
        <f>AB116*AC116</f>
        <v>2995494.3498479999</v>
      </c>
      <c r="V116" s="266">
        <v>2</v>
      </c>
      <c r="W116" s="266"/>
      <c r="X116" s="272">
        <v>4.5</v>
      </c>
      <c r="Y116" s="273">
        <f>R116*X116</f>
        <v>539188.98297263996</v>
      </c>
      <c r="Z116" s="273">
        <f t="shared" si="157"/>
        <v>90</v>
      </c>
      <c r="AA116" s="273">
        <f t="shared" si="164"/>
        <v>4.5</v>
      </c>
      <c r="AB116" s="274">
        <v>3985800</v>
      </c>
      <c r="AC116" s="275">
        <v>0.75154155999999994</v>
      </c>
      <c r="AE116" s="260"/>
      <c r="AF116" s="261">
        <v>0.61599999999999999</v>
      </c>
      <c r="AG116" s="260"/>
    </row>
    <row r="117" spans="2:35" ht="18.649999999999999" customHeight="1" x14ac:dyDescent="0.35">
      <c r="B117" s="321" t="s">
        <v>123</v>
      </c>
      <c r="C117" s="293" t="s">
        <v>97</v>
      </c>
      <c r="D117" s="310" t="s">
        <v>600</v>
      </c>
      <c r="E117" s="314" t="s">
        <v>46</v>
      </c>
      <c r="F117" s="311" t="s">
        <v>565</v>
      </c>
      <c r="G117" s="263" t="s">
        <v>101</v>
      </c>
      <c r="H117" s="265" t="s">
        <v>88</v>
      </c>
      <c r="I117" s="265" t="s">
        <v>527</v>
      </c>
      <c r="J117" s="552" t="s">
        <v>566</v>
      </c>
      <c r="K117" s="263" t="s">
        <v>89</v>
      </c>
      <c r="L117" s="266">
        <f t="shared" ref="L117" si="167">N117-M117+1</f>
        <v>13</v>
      </c>
      <c r="M117" s="267">
        <v>45460</v>
      </c>
      <c r="N117" s="267">
        <v>45472</v>
      </c>
      <c r="O117" s="266">
        <f t="shared" ref="O117" si="168">U117*V117</f>
        <v>611540.16</v>
      </c>
      <c r="P117" s="268" t="s">
        <v>17</v>
      </c>
      <c r="Q117" s="315">
        <v>5.0000000000000001E-3</v>
      </c>
      <c r="R117" s="266">
        <f t="shared" ref="R117" si="169">O117*Q117</f>
        <v>3057.7008000000001</v>
      </c>
      <c r="S117" s="268" t="s">
        <v>17</v>
      </c>
      <c r="T117" s="271" t="s">
        <v>17</v>
      </c>
      <c r="U117" s="266">
        <f t="shared" ref="U117" si="170">AB117*AC117</f>
        <v>305770.08</v>
      </c>
      <c r="V117" s="266">
        <v>2</v>
      </c>
      <c r="W117" s="266"/>
      <c r="X117" s="272">
        <v>105</v>
      </c>
      <c r="Y117" s="273">
        <f t="shared" ref="Y117" si="171">O117/1000*X117</f>
        <v>64211.716800000002</v>
      </c>
      <c r="Z117" s="273">
        <f t="shared" ref="Z117" si="172">Y117/O117*1000</f>
        <v>105</v>
      </c>
      <c r="AA117" s="273">
        <f t="shared" ref="AA117" si="173">Y117/R117</f>
        <v>21</v>
      </c>
      <c r="AB117" s="274">
        <v>764425.20000000007</v>
      </c>
      <c r="AC117" s="275">
        <v>0.4</v>
      </c>
      <c r="AE117" s="260"/>
      <c r="AF117" s="261">
        <v>0.40991114416565549</v>
      </c>
      <c r="AG117" s="260"/>
    </row>
    <row r="118" spans="2:35" ht="18.649999999999999" customHeight="1" x14ac:dyDescent="0.35">
      <c r="B118" s="321" t="s">
        <v>123</v>
      </c>
      <c r="C118" s="293" t="s">
        <v>97</v>
      </c>
      <c r="D118" s="311" t="s">
        <v>116</v>
      </c>
      <c r="E118" s="263" t="s">
        <v>46</v>
      </c>
      <c r="F118" s="311" t="s">
        <v>114</v>
      </c>
      <c r="G118" s="263" t="s">
        <v>98</v>
      </c>
      <c r="H118" s="265" t="s">
        <v>88</v>
      </c>
      <c r="I118" s="265" t="s">
        <v>115</v>
      </c>
      <c r="J118" s="552" t="s">
        <v>96</v>
      </c>
      <c r="K118" s="263" t="s">
        <v>105</v>
      </c>
      <c r="L118" s="266">
        <f>N118-M118+1</f>
        <v>6</v>
      </c>
      <c r="M118" s="267">
        <v>45471</v>
      </c>
      <c r="N118" s="267">
        <v>45476</v>
      </c>
      <c r="O118" s="266">
        <f>1501715/14*6</f>
        <v>643592.14285714284</v>
      </c>
      <c r="P118" s="268" t="s">
        <v>17</v>
      </c>
      <c r="Q118" s="315">
        <v>0.01</v>
      </c>
      <c r="R118" s="266">
        <f>O118*Q118</f>
        <v>6435.9214285714288</v>
      </c>
      <c r="S118" s="268" t="s">
        <v>17</v>
      </c>
      <c r="T118" s="271" t="s">
        <v>17</v>
      </c>
      <c r="U118" s="266">
        <f>O118/V118</f>
        <v>128718.42857142857</v>
      </c>
      <c r="V118" s="266">
        <v>5</v>
      </c>
      <c r="W118" s="266"/>
      <c r="X118" s="272">
        <v>260</v>
      </c>
      <c r="Y118" s="273">
        <f>(O118/1000)*X118</f>
        <v>167333.95714285714</v>
      </c>
      <c r="Z118" s="273">
        <f t="shared" ref="Z118:Z149" si="174">Y118/O118*1000</f>
        <v>260</v>
      </c>
      <c r="AA118" s="273">
        <f>Y118/R118</f>
        <v>25.999999999999996</v>
      </c>
      <c r="AB118" s="274">
        <v>350400</v>
      </c>
      <c r="AC118" s="275">
        <f>U118/AB118</f>
        <v>0.36734711350293542</v>
      </c>
      <c r="AE118" s="260"/>
      <c r="AF118" s="261">
        <v>0.3771430365296804</v>
      </c>
      <c r="AG118" s="260"/>
    </row>
    <row r="119" spans="2:35" ht="18.649999999999999" customHeight="1" x14ac:dyDescent="0.35">
      <c r="B119" s="277" t="str">
        <f>B118</f>
        <v>Pune</v>
      </c>
      <c r="C119" s="278"/>
      <c r="D119" s="279" t="s">
        <v>18</v>
      </c>
      <c r="E119" s="280"/>
      <c r="F119" s="279"/>
      <c r="G119" s="280"/>
      <c r="H119" s="280"/>
      <c r="I119" s="281"/>
      <c r="J119" s="546"/>
      <c r="K119" s="283"/>
      <c r="L119" s="284"/>
      <c r="M119" s="284"/>
      <c r="N119" s="284"/>
      <c r="O119" s="284">
        <f>SUM(O108:O118)</f>
        <v>24814880.430348359</v>
      </c>
      <c r="P119" s="284"/>
      <c r="Q119" s="285">
        <f>R119/O119</f>
        <v>6.7702764483601593E-3</v>
      </c>
      <c r="R119" s="284">
        <f>SUM(R108:R118)</f>
        <v>168003.60054646092</v>
      </c>
      <c r="S119" s="286"/>
      <c r="T119" s="316">
        <f>SUM(T108:T118)</f>
        <v>11973962.510247251</v>
      </c>
      <c r="U119" s="284">
        <f>U116+(SUM(U108:U109,U117:U118,U110,U111:U115)*3%)</f>
        <v>3156201.2839346179</v>
      </c>
      <c r="V119" s="284">
        <f>O119/U119</f>
        <v>7.8622616867493837</v>
      </c>
      <c r="W119" s="284"/>
      <c r="X119" s="287"/>
      <c r="Y119" s="317">
        <f>SUM(Y108:Y118)</f>
        <v>2716196.0639560521</v>
      </c>
      <c r="Z119" s="288">
        <f t="shared" si="174"/>
        <v>109.4583579227797</v>
      </c>
      <c r="AA119" s="288">
        <f>Y119/R119</f>
        <v>16.167487215280815</v>
      </c>
      <c r="AB119" s="284">
        <f>AB116+(SUM(AB108:AB115,AB117:AB118)*2%)</f>
        <v>4205819.08</v>
      </c>
      <c r="AC119" s="289">
        <f>U119/AB119</f>
        <v>0.75043676960413086</v>
      </c>
      <c r="AD119" s="261"/>
      <c r="AE119" s="290"/>
      <c r="AF119" s="261">
        <v>0.74374568017607401</v>
      </c>
      <c r="AG119" s="290"/>
      <c r="AH119" s="460"/>
      <c r="AI119" s="459"/>
    </row>
    <row r="120" spans="2:35" ht="18.649999999999999" customHeight="1" x14ac:dyDescent="0.35">
      <c r="B120" s="322" t="s">
        <v>124</v>
      </c>
      <c r="C120" s="293" t="s">
        <v>93</v>
      </c>
      <c r="D120" s="294" t="s">
        <v>94</v>
      </c>
      <c r="E120" s="294" t="s">
        <v>45</v>
      </c>
      <c r="F120" s="295" t="s">
        <v>87</v>
      </c>
      <c r="G120" s="295" t="s">
        <v>50</v>
      </c>
      <c r="H120" s="296" t="s">
        <v>95</v>
      </c>
      <c r="I120" s="296" t="s">
        <v>608</v>
      </c>
      <c r="J120" s="551" t="s">
        <v>96</v>
      </c>
      <c r="K120" s="295" t="s">
        <v>89</v>
      </c>
      <c r="L120" s="298">
        <f t="shared" ref="L120:L126" si="175">N120-(M120-1)</f>
        <v>21</v>
      </c>
      <c r="M120" s="299">
        <v>45460</v>
      </c>
      <c r="N120" s="299">
        <v>45480</v>
      </c>
      <c r="O120" s="298">
        <f t="shared" ref="O120:O122" si="176">U120*V120</f>
        <v>788852.92726056965</v>
      </c>
      <c r="P120" s="300" t="s">
        <v>17</v>
      </c>
      <c r="Q120" s="301"/>
      <c r="R120" s="298"/>
      <c r="S120" s="302">
        <v>0.85</v>
      </c>
      <c r="T120" s="303">
        <f t="shared" ref="T120:T121" si="177">O120*S120</f>
        <v>670524.9881714842</v>
      </c>
      <c r="U120" s="298">
        <f>AB120*AC120</f>
        <v>193346.30570112</v>
      </c>
      <c r="V120" s="298">
        <f>3*136%</f>
        <v>4.08</v>
      </c>
      <c r="W120" s="298"/>
      <c r="X120" s="304">
        <v>125</v>
      </c>
      <c r="Y120" s="305">
        <f t="shared" ref="Y120:Y125" si="178">(O120/1000)*X120</f>
        <v>98606.615907571206</v>
      </c>
      <c r="Z120" s="305">
        <f t="shared" si="174"/>
        <v>125</v>
      </c>
      <c r="AA120" s="305"/>
      <c r="AB120" s="306">
        <v>225108</v>
      </c>
      <c r="AC120" s="307">
        <v>0.85890464</v>
      </c>
      <c r="AD120" s="261"/>
      <c r="AE120" s="260"/>
      <c r="AF120" s="261">
        <v>0.70400000000000007</v>
      </c>
      <c r="AG120" s="260"/>
    </row>
    <row r="121" spans="2:35" ht="18.649999999999999" customHeight="1" x14ac:dyDescent="0.35">
      <c r="B121" s="322" t="s">
        <v>124</v>
      </c>
      <c r="C121" s="293" t="s">
        <v>93</v>
      </c>
      <c r="D121" s="295" t="s">
        <v>86</v>
      </c>
      <c r="E121" s="295" t="s">
        <v>45</v>
      </c>
      <c r="F121" s="295" t="s">
        <v>87</v>
      </c>
      <c r="G121" s="296" t="s">
        <v>50</v>
      </c>
      <c r="H121" s="296" t="s">
        <v>95</v>
      </c>
      <c r="I121" s="296" t="s">
        <v>610</v>
      </c>
      <c r="J121" s="551" t="s">
        <v>96</v>
      </c>
      <c r="K121" s="295" t="s">
        <v>89</v>
      </c>
      <c r="L121" s="298">
        <f t="shared" si="175"/>
        <v>21</v>
      </c>
      <c r="M121" s="299">
        <v>45460</v>
      </c>
      <c r="N121" s="299">
        <v>45480</v>
      </c>
      <c r="O121" s="298">
        <f>Y121/X121*1000</f>
        <v>1436576.5720800001</v>
      </c>
      <c r="P121" s="300" t="s">
        <v>17</v>
      </c>
      <c r="Q121" s="301"/>
      <c r="R121" s="298"/>
      <c r="S121" s="302">
        <v>0.8</v>
      </c>
      <c r="T121" s="303">
        <f t="shared" si="177"/>
        <v>1149261.2576640001</v>
      </c>
      <c r="U121" s="298">
        <f>O121/V121</f>
        <v>258842.62560000003</v>
      </c>
      <c r="V121" s="298">
        <v>5.55</v>
      </c>
      <c r="W121" s="298"/>
      <c r="X121" s="304">
        <v>110</v>
      </c>
      <c r="Y121" s="305">
        <f>158023.4229288</f>
        <v>158023.42292879999</v>
      </c>
      <c r="Z121" s="305">
        <f t="shared" si="174"/>
        <v>109.99999999999999</v>
      </c>
      <c r="AA121" s="305"/>
      <c r="AB121" s="306">
        <v>288600</v>
      </c>
      <c r="AC121" s="307">
        <f>U121/AB121</f>
        <v>0.89689059459459475</v>
      </c>
      <c r="AF121" s="261">
        <v>0.748</v>
      </c>
    </row>
    <row r="122" spans="2:35" ht="18.649999999999999" customHeight="1" x14ac:dyDescent="0.35">
      <c r="B122" s="322" t="s">
        <v>124</v>
      </c>
      <c r="C122" s="293" t="s">
        <v>97</v>
      </c>
      <c r="D122" s="264" t="s">
        <v>561</v>
      </c>
      <c r="E122" s="264" t="s">
        <v>45</v>
      </c>
      <c r="F122" s="263" t="s">
        <v>87</v>
      </c>
      <c r="G122" s="263" t="s">
        <v>98</v>
      </c>
      <c r="H122" s="265" t="s">
        <v>90</v>
      </c>
      <c r="I122" s="265" t="s">
        <v>609</v>
      </c>
      <c r="J122" s="552" t="s">
        <v>96</v>
      </c>
      <c r="K122" s="263" t="s">
        <v>89</v>
      </c>
      <c r="L122" s="266">
        <f t="shared" si="175"/>
        <v>21</v>
      </c>
      <c r="M122" s="267">
        <v>45460</v>
      </c>
      <c r="N122" s="267">
        <v>45480</v>
      </c>
      <c r="O122" s="266">
        <f t="shared" si="176"/>
        <v>249006.60582719999</v>
      </c>
      <c r="P122" s="268" t="s">
        <v>17</v>
      </c>
      <c r="Q122" s="269">
        <v>1E-3</v>
      </c>
      <c r="R122" s="266">
        <f t="shared" ref="R122:R123" si="179">O122*Q122</f>
        <v>249.00660582719999</v>
      </c>
      <c r="S122" s="270">
        <v>0.7</v>
      </c>
      <c r="T122" s="271">
        <f>O122*S122</f>
        <v>174304.62407903999</v>
      </c>
      <c r="U122" s="266">
        <f t="shared" ref="U122" si="180">AB122*AC122</f>
        <v>249006.60582719999</v>
      </c>
      <c r="V122" s="266">
        <v>1</v>
      </c>
      <c r="W122" s="266"/>
      <c r="X122" s="272">
        <v>70</v>
      </c>
      <c r="Y122" s="273">
        <f t="shared" si="178"/>
        <v>17430.462407904</v>
      </c>
      <c r="Z122" s="273">
        <f t="shared" si="174"/>
        <v>70</v>
      </c>
      <c r="AA122" s="273">
        <f t="shared" ref="AA122:AA127" si="181">Y122/R122</f>
        <v>70</v>
      </c>
      <c r="AB122" s="274">
        <f>600288*85%</f>
        <v>510244.8</v>
      </c>
      <c r="AC122" s="275">
        <v>0.488014</v>
      </c>
      <c r="AE122" s="260"/>
      <c r="AF122" s="261">
        <v>0.44</v>
      </c>
      <c r="AG122" s="260"/>
    </row>
    <row r="123" spans="2:35" ht="18.649999999999999" customHeight="1" x14ac:dyDescent="0.35">
      <c r="B123" s="322" t="s">
        <v>124</v>
      </c>
      <c r="C123" s="293" t="s">
        <v>97</v>
      </c>
      <c r="D123" s="264" t="s">
        <v>86</v>
      </c>
      <c r="E123" s="264" t="s">
        <v>45</v>
      </c>
      <c r="F123" s="263" t="s">
        <v>87</v>
      </c>
      <c r="G123" s="263" t="s">
        <v>98</v>
      </c>
      <c r="H123" s="265" t="s">
        <v>90</v>
      </c>
      <c r="I123" s="265" t="s">
        <v>610</v>
      </c>
      <c r="J123" s="552" t="s">
        <v>96</v>
      </c>
      <c r="K123" s="263" t="s">
        <v>89</v>
      </c>
      <c r="L123" s="266">
        <f t="shared" si="175"/>
        <v>21</v>
      </c>
      <c r="M123" s="267">
        <v>45460</v>
      </c>
      <c r="N123" s="267">
        <v>45480</v>
      </c>
      <c r="O123" s="266">
        <f>Y123/X123*1000</f>
        <v>402804.80354399997</v>
      </c>
      <c r="P123" s="268" t="s">
        <v>17</v>
      </c>
      <c r="Q123" s="269">
        <v>1E-3</v>
      </c>
      <c r="R123" s="266">
        <f t="shared" si="179"/>
        <v>402.80480354399998</v>
      </c>
      <c r="S123" s="270">
        <v>0.8</v>
      </c>
      <c r="T123" s="271">
        <f>O123*S123</f>
        <v>322243.84283520002</v>
      </c>
      <c r="U123" s="266">
        <f>O123/V123</f>
        <v>296180.0026058823</v>
      </c>
      <c r="V123" s="266">
        <f>1*136%</f>
        <v>1.36</v>
      </c>
      <c r="W123" s="266"/>
      <c r="X123" s="272">
        <v>80</v>
      </c>
      <c r="Y123" s="273">
        <v>32224.384283519998</v>
      </c>
      <c r="Z123" s="273">
        <f t="shared" si="174"/>
        <v>80</v>
      </c>
      <c r="AA123" s="273">
        <f t="shared" si="181"/>
        <v>80</v>
      </c>
      <c r="AB123" s="274">
        <v>600288</v>
      </c>
      <c r="AC123" s="275">
        <f>U123/AB123</f>
        <v>0.4933965073529411</v>
      </c>
      <c r="AE123" s="260"/>
      <c r="AF123" s="261">
        <v>0.44</v>
      </c>
      <c r="AG123" s="260"/>
    </row>
    <row r="124" spans="2:35" ht="18.649999999999999" customHeight="1" x14ac:dyDescent="0.35">
      <c r="B124" s="322" t="s">
        <v>124</v>
      </c>
      <c r="C124" s="293" t="s">
        <v>97</v>
      </c>
      <c r="D124" s="263" t="s">
        <v>99</v>
      </c>
      <c r="E124" s="263" t="s">
        <v>46</v>
      </c>
      <c r="F124" s="263" t="s">
        <v>100</v>
      </c>
      <c r="G124" s="263" t="s">
        <v>101</v>
      </c>
      <c r="H124" s="265" t="s">
        <v>88</v>
      </c>
      <c r="I124" s="265" t="s">
        <v>102</v>
      </c>
      <c r="J124" s="553" t="s">
        <v>96</v>
      </c>
      <c r="K124" s="263" t="s">
        <v>89</v>
      </c>
      <c r="L124" s="266">
        <f t="shared" si="175"/>
        <v>21</v>
      </c>
      <c r="M124" s="267">
        <v>45460</v>
      </c>
      <c r="N124" s="267">
        <v>45480</v>
      </c>
      <c r="O124" s="266">
        <f>U124*V124</f>
        <v>110590.05881300516</v>
      </c>
      <c r="P124" s="268" t="s">
        <v>17</v>
      </c>
      <c r="Q124" s="269">
        <v>1.4999999999999999E-2</v>
      </c>
      <c r="R124" s="266">
        <f>O124*Q124</f>
        <v>1658.8508821950775</v>
      </c>
      <c r="S124" s="268" t="s">
        <v>17</v>
      </c>
      <c r="T124" s="271" t="s">
        <v>17</v>
      </c>
      <c r="U124" s="266">
        <f>AB124*AC124</f>
        <v>130105.95154471196</v>
      </c>
      <c r="V124" s="266">
        <v>0.85</v>
      </c>
      <c r="W124" s="266"/>
      <c r="X124" s="272">
        <v>105</v>
      </c>
      <c r="Y124" s="273">
        <f t="shared" si="178"/>
        <v>11611.956175365542</v>
      </c>
      <c r="Z124" s="273">
        <f t="shared" si="174"/>
        <v>105</v>
      </c>
      <c r="AA124" s="273">
        <f t="shared" si="181"/>
        <v>7</v>
      </c>
      <c r="AB124" s="274">
        <f>AB122*95%</f>
        <v>484732.55999999994</v>
      </c>
      <c r="AC124" s="275">
        <v>0.26840769999999997</v>
      </c>
      <c r="AE124" s="260"/>
      <c r="AF124" s="261">
        <v>0.22</v>
      </c>
      <c r="AG124" s="260"/>
    </row>
    <row r="125" spans="2:35" ht="18.649999999999999" customHeight="1" x14ac:dyDescent="0.35">
      <c r="B125" s="322" t="str">
        <f>B124</f>
        <v>Coimbatore</v>
      </c>
      <c r="C125" s="293" t="s">
        <v>97</v>
      </c>
      <c r="D125" s="310" t="s">
        <v>103</v>
      </c>
      <c r="E125" s="263" t="s">
        <v>46</v>
      </c>
      <c r="F125" s="310" t="s">
        <v>100</v>
      </c>
      <c r="G125" s="263" t="s">
        <v>98</v>
      </c>
      <c r="H125" s="265" t="s">
        <v>88</v>
      </c>
      <c r="I125" s="265" t="s">
        <v>104</v>
      </c>
      <c r="J125" s="553" t="s">
        <v>96</v>
      </c>
      <c r="K125" s="263" t="s">
        <v>105</v>
      </c>
      <c r="L125" s="266">
        <f t="shared" si="175"/>
        <v>21</v>
      </c>
      <c r="M125" s="267">
        <v>45460</v>
      </c>
      <c r="N125" s="267">
        <v>45480</v>
      </c>
      <c r="O125" s="266">
        <f>U125*V125</f>
        <v>435229.23208632995</v>
      </c>
      <c r="P125" s="268" t="s">
        <v>17</v>
      </c>
      <c r="Q125" s="269">
        <v>1.4999999999999999E-2</v>
      </c>
      <c r="R125" s="266">
        <f>O125*Q125</f>
        <v>6528.4384812949493</v>
      </c>
      <c r="S125" s="268" t="s">
        <v>17</v>
      </c>
      <c r="T125" s="271" t="s">
        <v>17</v>
      </c>
      <c r="U125" s="266">
        <f>AB125*AC125</f>
        <v>512034.39068979997</v>
      </c>
      <c r="V125" s="266">
        <v>0.85</v>
      </c>
      <c r="W125" s="266"/>
      <c r="X125" s="272">
        <v>120</v>
      </c>
      <c r="Y125" s="273">
        <f t="shared" si="178"/>
        <v>52227.507850359594</v>
      </c>
      <c r="Z125" s="273">
        <f t="shared" si="174"/>
        <v>120</v>
      </c>
      <c r="AA125" s="273">
        <f t="shared" si="181"/>
        <v>8</v>
      </c>
      <c r="AB125" s="274">
        <v>953837</v>
      </c>
      <c r="AC125" s="275">
        <v>0.53681539999999994</v>
      </c>
      <c r="AE125" s="260"/>
      <c r="AF125" s="261">
        <v>0.44</v>
      </c>
      <c r="AG125" s="260"/>
      <c r="AH125" s="320"/>
    </row>
    <row r="126" spans="2:35" ht="18.649999999999999" customHeight="1" x14ac:dyDescent="0.35">
      <c r="B126" s="322" t="str">
        <f>B125</f>
        <v>Coimbatore</v>
      </c>
      <c r="C126" s="293" t="s">
        <v>97</v>
      </c>
      <c r="D126" s="310" t="s">
        <v>106</v>
      </c>
      <c r="E126" s="311" t="s">
        <v>46</v>
      </c>
      <c r="F126" s="311" t="s">
        <v>91</v>
      </c>
      <c r="G126" s="263" t="s">
        <v>98</v>
      </c>
      <c r="H126" s="310" t="s">
        <v>88</v>
      </c>
      <c r="I126" s="263" t="s">
        <v>107</v>
      </c>
      <c r="J126" s="553" t="s">
        <v>96</v>
      </c>
      <c r="K126" s="263" t="s">
        <v>89</v>
      </c>
      <c r="L126" s="266">
        <f t="shared" si="175"/>
        <v>21</v>
      </c>
      <c r="M126" s="267">
        <v>45460</v>
      </c>
      <c r="N126" s="267">
        <v>45480</v>
      </c>
      <c r="O126" s="266">
        <f>U126*V126</f>
        <v>100829.18304551399</v>
      </c>
      <c r="P126" s="268" t="s">
        <v>17</v>
      </c>
      <c r="Q126" s="312">
        <v>0.01</v>
      </c>
      <c r="R126" s="266">
        <f t="shared" ref="R126" si="182">O126*Q126</f>
        <v>1008.2918304551399</v>
      </c>
      <c r="S126" s="268" t="s">
        <v>17</v>
      </c>
      <c r="T126" s="271" t="s">
        <v>17</v>
      </c>
      <c r="U126" s="266">
        <f t="shared" ref="U126" si="183">AB126*AC126</f>
        <v>118622.56828883999</v>
      </c>
      <c r="V126" s="266">
        <v>0.85</v>
      </c>
      <c r="W126" s="266"/>
      <c r="X126" s="272">
        <v>200</v>
      </c>
      <c r="Y126" s="273">
        <f>O126*X126/1000</f>
        <v>20165.836609102797</v>
      </c>
      <c r="Z126" s="273">
        <f t="shared" si="174"/>
        <v>199.99999999999997</v>
      </c>
      <c r="AA126" s="273">
        <f t="shared" si="181"/>
        <v>19.999999999999996</v>
      </c>
      <c r="AB126" s="274">
        <v>401772</v>
      </c>
      <c r="AC126" s="275">
        <v>0.29524846999999999</v>
      </c>
      <c r="AE126" s="260"/>
      <c r="AF126" s="261">
        <v>0.22</v>
      </c>
      <c r="AG126" s="260"/>
      <c r="AH126" s="562"/>
    </row>
    <row r="127" spans="2:35" ht="18.649999999999999" customHeight="1" x14ac:dyDescent="0.35">
      <c r="B127" s="277" t="str">
        <f>B124</f>
        <v>Coimbatore</v>
      </c>
      <c r="C127" s="278"/>
      <c r="D127" s="279" t="s">
        <v>18</v>
      </c>
      <c r="E127" s="280"/>
      <c r="F127" s="279"/>
      <c r="G127" s="280"/>
      <c r="H127" s="280"/>
      <c r="I127" s="281"/>
      <c r="J127" s="546"/>
      <c r="K127" s="283"/>
      <c r="L127" s="284"/>
      <c r="M127" s="284"/>
      <c r="N127" s="284"/>
      <c r="O127" s="284">
        <f>SUM(O120:O126)</f>
        <v>3523889.382656619</v>
      </c>
      <c r="P127" s="284"/>
      <c r="Q127" s="285">
        <f>R127/O127</f>
        <v>2.7944670033576745E-3</v>
      </c>
      <c r="R127" s="284">
        <f>SUM(R120:R126)</f>
        <v>9847.392603316368</v>
      </c>
      <c r="S127" s="286"/>
      <c r="T127" s="316">
        <f>SUM(T120:T126)</f>
        <v>2316334.7127497243</v>
      </c>
      <c r="U127" s="284">
        <f>U125+(SUM(U120:U124,U126)*10%)</f>
        <v>636644.79664657544</v>
      </c>
      <c r="V127" s="284">
        <f>O127/U127</f>
        <v>5.5350949245452759</v>
      </c>
      <c r="W127" s="284"/>
      <c r="X127" s="287"/>
      <c r="Y127" s="317">
        <f>SUM(Y120:Y126)</f>
        <v>390290.18616262311</v>
      </c>
      <c r="Z127" s="288">
        <f t="shared" si="174"/>
        <v>110.75551578988211</v>
      </c>
      <c r="AA127" s="288">
        <f t="shared" si="181"/>
        <v>39.633860645627415</v>
      </c>
      <c r="AB127" s="284">
        <f>AB125+(SUM(AB120:AB124,AB126)*2%)</f>
        <v>1004051.9072</v>
      </c>
      <c r="AC127" s="289">
        <f>U127/AB127</f>
        <v>0.63407558123363073</v>
      </c>
      <c r="AD127" s="261"/>
      <c r="AE127" s="290"/>
      <c r="AF127" s="261">
        <v>0.77104278663391268</v>
      </c>
      <c r="AG127" s="290"/>
      <c r="AH127" s="460"/>
      <c r="AI127" s="459"/>
    </row>
    <row r="128" spans="2:35" ht="18.649999999999999" customHeight="1" x14ac:dyDescent="0.35">
      <c r="B128" s="322" t="s">
        <v>125</v>
      </c>
      <c r="C128" s="293" t="s">
        <v>93</v>
      </c>
      <c r="D128" s="294" t="s">
        <v>94</v>
      </c>
      <c r="E128" s="294" t="s">
        <v>45</v>
      </c>
      <c r="F128" s="295" t="s">
        <v>87</v>
      </c>
      <c r="G128" s="295" t="s">
        <v>50</v>
      </c>
      <c r="H128" s="296" t="s">
        <v>95</v>
      </c>
      <c r="I128" s="296" t="s">
        <v>608</v>
      </c>
      <c r="J128" s="551" t="s">
        <v>96</v>
      </c>
      <c r="K128" s="295" t="s">
        <v>89</v>
      </c>
      <c r="L128" s="298">
        <f t="shared" ref="L128:L134" si="184">N128-(M128-1)</f>
        <v>21</v>
      </c>
      <c r="M128" s="299">
        <v>45460</v>
      </c>
      <c r="N128" s="299">
        <v>45480</v>
      </c>
      <c r="O128" s="298">
        <f t="shared" ref="O128:O130" si="185">U128*V128</f>
        <v>462519.11795443197</v>
      </c>
      <c r="P128" s="300" t="s">
        <v>17</v>
      </c>
      <c r="Q128" s="301"/>
      <c r="R128" s="298"/>
      <c r="S128" s="302">
        <v>0.85</v>
      </c>
      <c r="T128" s="303">
        <f t="shared" ref="T128:T129" si="186">O128*S128</f>
        <v>393141.25026126718</v>
      </c>
      <c r="U128" s="298">
        <f>AB128*AC128</f>
        <v>113362.5289104</v>
      </c>
      <c r="V128" s="298">
        <f>3*136%</f>
        <v>4.08</v>
      </c>
      <c r="W128" s="298"/>
      <c r="X128" s="304">
        <v>125</v>
      </c>
      <c r="Y128" s="305">
        <f t="shared" ref="Y128:Y133" si="187">(O128/1000)*X128</f>
        <v>57814.889744303997</v>
      </c>
      <c r="Z128" s="305">
        <f t="shared" si="174"/>
        <v>125</v>
      </c>
      <c r="AA128" s="305"/>
      <c r="AB128" s="306">
        <v>131985</v>
      </c>
      <c r="AC128" s="307">
        <v>0.85890464</v>
      </c>
      <c r="AD128" s="261"/>
      <c r="AE128" s="260"/>
      <c r="AF128" s="261">
        <v>0.70400000000000007</v>
      </c>
      <c r="AG128" s="260"/>
      <c r="AH128" s="568"/>
    </row>
    <row r="129" spans="2:35" ht="18.649999999999999" customHeight="1" x14ac:dyDescent="0.35">
      <c r="B129" s="322" t="s">
        <v>125</v>
      </c>
      <c r="C129" s="293" t="s">
        <v>93</v>
      </c>
      <c r="D129" s="295" t="s">
        <v>86</v>
      </c>
      <c r="E129" s="295" t="s">
        <v>45</v>
      </c>
      <c r="F129" s="295" t="s">
        <v>87</v>
      </c>
      <c r="G129" s="296" t="s">
        <v>50</v>
      </c>
      <c r="H129" s="296" t="s">
        <v>95</v>
      </c>
      <c r="I129" s="296" t="s">
        <v>610</v>
      </c>
      <c r="J129" s="551" t="s">
        <v>96</v>
      </c>
      <c r="K129" s="295" t="s">
        <v>89</v>
      </c>
      <c r="L129" s="298">
        <f t="shared" si="184"/>
        <v>21</v>
      </c>
      <c r="M129" s="299">
        <v>45460</v>
      </c>
      <c r="N129" s="299">
        <v>45480</v>
      </c>
      <c r="O129" s="298">
        <f>Y129/X129*1000</f>
        <v>3033386.6848920002</v>
      </c>
      <c r="P129" s="300" t="s">
        <v>17</v>
      </c>
      <c r="Q129" s="301"/>
      <c r="R129" s="298"/>
      <c r="S129" s="302">
        <v>0.8</v>
      </c>
      <c r="T129" s="303">
        <f t="shared" si="186"/>
        <v>2426709.3479136</v>
      </c>
      <c r="U129" s="298">
        <f>O129/V129</f>
        <v>546556.15944000008</v>
      </c>
      <c r="V129" s="298">
        <v>5.55</v>
      </c>
      <c r="W129" s="298"/>
      <c r="X129" s="304">
        <v>110</v>
      </c>
      <c r="Y129" s="305">
        <f>333672.53533812</f>
        <v>333672.53533812001</v>
      </c>
      <c r="Z129" s="305">
        <f t="shared" si="174"/>
        <v>110</v>
      </c>
      <c r="AA129" s="305"/>
      <c r="AB129" s="306">
        <v>609390</v>
      </c>
      <c r="AC129" s="307">
        <f>U129/AB129</f>
        <v>0.89689059459459475</v>
      </c>
      <c r="AF129" s="261">
        <v>0.748</v>
      </c>
    </row>
    <row r="130" spans="2:35" ht="18.649999999999999" customHeight="1" x14ac:dyDescent="0.35">
      <c r="B130" s="322" t="s">
        <v>125</v>
      </c>
      <c r="C130" s="293" t="s">
        <v>97</v>
      </c>
      <c r="D130" s="264" t="s">
        <v>561</v>
      </c>
      <c r="E130" s="264" t="s">
        <v>45</v>
      </c>
      <c r="F130" s="263" t="s">
        <v>87</v>
      </c>
      <c r="G130" s="263" t="s">
        <v>98</v>
      </c>
      <c r="H130" s="265" t="s">
        <v>90</v>
      </c>
      <c r="I130" s="265" t="s">
        <v>609</v>
      </c>
      <c r="J130" s="552" t="s">
        <v>96</v>
      </c>
      <c r="K130" s="263" t="s">
        <v>89</v>
      </c>
      <c r="L130" s="266">
        <f t="shared" si="184"/>
        <v>21</v>
      </c>
      <c r="M130" s="267">
        <v>45460</v>
      </c>
      <c r="N130" s="267">
        <v>45480</v>
      </c>
      <c r="O130" s="266">
        <f t="shared" si="185"/>
        <v>505564.44748199999</v>
      </c>
      <c r="P130" s="268" t="s">
        <v>17</v>
      </c>
      <c r="Q130" s="269">
        <v>1E-3</v>
      </c>
      <c r="R130" s="266">
        <f t="shared" ref="R130:R131" si="188">O130*Q130</f>
        <v>505.56444748199999</v>
      </c>
      <c r="S130" s="270">
        <v>0.7</v>
      </c>
      <c r="T130" s="271">
        <f>O130*S130</f>
        <v>353895.11323739996</v>
      </c>
      <c r="U130" s="266">
        <f t="shared" ref="U130" si="189">AB130*AC130</f>
        <v>505564.44748199999</v>
      </c>
      <c r="V130" s="266">
        <v>1</v>
      </c>
      <c r="W130" s="266"/>
      <c r="X130" s="272">
        <v>70</v>
      </c>
      <c r="Y130" s="273">
        <f t="shared" si="187"/>
        <v>35389.51132374</v>
      </c>
      <c r="Z130" s="273">
        <f t="shared" si="174"/>
        <v>70</v>
      </c>
      <c r="AA130" s="273">
        <f t="shared" ref="AA130:AA135" si="190">Y130/R130</f>
        <v>70</v>
      </c>
      <c r="AB130" s="274">
        <f>1218780*85%</f>
        <v>1035963</v>
      </c>
      <c r="AC130" s="275">
        <v>0.488014</v>
      </c>
      <c r="AE130" s="260"/>
      <c r="AF130" s="261">
        <v>0.44</v>
      </c>
      <c r="AG130" s="260"/>
    </row>
    <row r="131" spans="2:35" ht="18.649999999999999" customHeight="1" x14ac:dyDescent="0.35">
      <c r="B131" s="322" t="s">
        <v>125</v>
      </c>
      <c r="C131" s="293" t="s">
        <v>97</v>
      </c>
      <c r="D131" s="264" t="s">
        <v>86</v>
      </c>
      <c r="E131" s="264" t="s">
        <v>45</v>
      </c>
      <c r="F131" s="263" t="s">
        <v>87</v>
      </c>
      <c r="G131" s="263" t="s">
        <v>98</v>
      </c>
      <c r="H131" s="265" t="s">
        <v>90</v>
      </c>
      <c r="I131" s="265" t="s">
        <v>610</v>
      </c>
      <c r="J131" s="552" t="s">
        <v>96</v>
      </c>
      <c r="K131" s="263" t="s">
        <v>89</v>
      </c>
      <c r="L131" s="266">
        <f t="shared" si="184"/>
        <v>21</v>
      </c>
      <c r="M131" s="267">
        <v>45460</v>
      </c>
      <c r="N131" s="267">
        <v>45480</v>
      </c>
      <c r="O131" s="266">
        <f>Y131/X131*1000</f>
        <v>754120.125</v>
      </c>
      <c r="P131" s="268" t="s">
        <v>17</v>
      </c>
      <c r="Q131" s="269">
        <v>1E-3</v>
      </c>
      <c r="R131" s="266">
        <f t="shared" si="188"/>
        <v>754.12012500000003</v>
      </c>
      <c r="S131" s="270">
        <v>0.8</v>
      </c>
      <c r="T131" s="271">
        <f>O131*S131</f>
        <v>603296.1</v>
      </c>
      <c r="U131" s="266">
        <f>O131/V131</f>
        <v>538657.23214285716</v>
      </c>
      <c r="V131" s="266">
        <v>1.4</v>
      </c>
      <c r="W131" s="266"/>
      <c r="X131" s="272">
        <v>80</v>
      </c>
      <c r="Y131" s="273">
        <v>60329.61</v>
      </c>
      <c r="Z131" s="273">
        <f t="shared" si="174"/>
        <v>80</v>
      </c>
      <c r="AA131" s="273">
        <f t="shared" si="190"/>
        <v>80</v>
      </c>
      <c r="AB131" s="274">
        <v>1218780</v>
      </c>
      <c r="AC131" s="275">
        <f>U131/AB131</f>
        <v>0.44196428571428575</v>
      </c>
      <c r="AE131" s="260"/>
      <c r="AF131" s="261">
        <v>0.44</v>
      </c>
      <c r="AG131" s="260"/>
    </row>
    <row r="132" spans="2:35" ht="18.649999999999999" customHeight="1" x14ac:dyDescent="0.35">
      <c r="B132" s="322" t="s">
        <v>125</v>
      </c>
      <c r="C132" s="293" t="s">
        <v>97</v>
      </c>
      <c r="D132" s="263" t="s">
        <v>99</v>
      </c>
      <c r="E132" s="263" t="s">
        <v>46</v>
      </c>
      <c r="F132" s="263" t="s">
        <v>100</v>
      </c>
      <c r="G132" s="263" t="s">
        <v>101</v>
      </c>
      <c r="H132" s="265" t="s">
        <v>88</v>
      </c>
      <c r="I132" s="265" t="s">
        <v>102</v>
      </c>
      <c r="J132" s="553" t="s">
        <v>96</v>
      </c>
      <c r="K132" s="263" t="s">
        <v>89</v>
      </c>
      <c r="L132" s="266">
        <f t="shared" si="184"/>
        <v>21</v>
      </c>
      <c r="M132" s="267">
        <v>45460</v>
      </c>
      <c r="N132" s="267">
        <v>45480</v>
      </c>
      <c r="O132" s="266">
        <f>U132*V132</f>
        <v>224533.81023794319</v>
      </c>
      <c r="P132" s="268" t="s">
        <v>17</v>
      </c>
      <c r="Q132" s="269">
        <v>1.4999999999999999E-2</v>
      </c>
      <c r="R132" s="266">
        <f>O132*Q132</f>
        <v>3368.0071535691477</v>
      </c>
      <c r="S132" s="268" t="s">
        <v>17</v>
      </c>
      <c r="T132" s="271" t="s">
        <v>17</v>
      </c>
      <c r="U132" s="266">
        <f>AB132*AC132</f>
        <v>264157.42380934494</v>
      </c>
      <c r="V132" s="266">
        <v>0.85</v>
      </c>
      <c r="W132" s="266"/>
      <c r="X132" s="272">
        <v>105</v>
      </c>
      <c r="Y132" s="273">
        <f t="shared" si="187"/>
        <v>23576.050074984036</v>
      </c>
      <c r="Z132" s="273">
        <f t="shared" si="174"/>
        <v>105</v>
      </c>
      <c r="AA132" s="273">
        <f t="shared" si="190"/>
        <v>7.0000000000000009</v>
      </c>
      <c r="AB132" s="274">
        <f>AB130*95%</f>
        <v>984164.85</v>
      </c>
      <c r="AC132" s="275">
        <v>0.26840769999999997</v>
      </c>
      <c r="AE132" s="260"/>
      <c r="AF132" s="261">
        <v>0.22</v>
      </c>
      <c r="AG132" s="260"/>
    </row>
    <row r="133" spans="2:35" ht="18.649999999999999" customHeight="1" x14ac:dyDescent="0.35">
      <c r="B133" s="322" t="str">
        <f>B132</f>
        <v>Jaipur</v>
      </c>
      <c r="C133" s="293" t="s">
        <v>97</v>
      </c>
      <c r="D133" s="310" t="s">
        <v>103</v>
      </c>
      <c r="E133" s="263" t="s">
        <v>46</v>
      </c>
      <c r="F133" s="310" t="s">
        <v>100</v>
      </c>
      <c r="G133" s="263" t="s">
        <v>98</v>
      </c>
      <c r="H133" s="265" t="s">
        <v>88</v>
      </c>
      <c r="I133" s="265" t="s">
        <v>104</v>
      </c>
      <c r="J133" s="553" t="s">
        <v>96</v>
      </c>
      <c r="K133" s="263" t="s">
        <v>105</v>
      </c>
      <c r="L133" s="266">
        <f t="shared" si="184"/>
        <v>21</v>
      </c>
      <c r="M133" s="267">
        <v>45460</v>
      </c>
      <c r="N133" s="267">
        <v>45480</v>
      </c>
      <c r="O133" s="266">
        <f>U133*V133</f>
        <v>341770.09503049596</v>
      </c>
      <c r="P133" s="268" t="s">
        <v>17</v>
      </c>
      <c r="Q133" s="269">
        <v>1.4999999999999999E-2</v>
      </c>
      <c r="R133" s="266">
        <f>O133*Q133</f>
        <v>5126.5514254574391</v>
      </c>
      <c r="S133" s="268" t="s">
        <v>17</v>
      </c>
      <c r="T133" s="271" t="s">
        <v>17</v>
      </c>
      <c r="U133" s="266">
        <f>AB133*AC133</f>
        <v>402082.46474175999</v>
      </c>
      <c r="V133" s="266">
        <v>0.85</v>
      </c>
      <c r="W133" s="266"/>
      <c r="X133" s="272">
        <v>120</v>
      </c>
      <c r="Y133" s="273">
        <f t="shared" si="187"/>
        <v>41012.411403659513</v>
      </c>
      <c r="Z133" s="273">
        <f t="shared" si="174"/>
        <v>120</v>
      </c>
      <c r="AA133" s="273">
        <f t="shared" si="190"/>
        <v>8</v>
      </c>
      <c r="AB133" s="274">
        <v>936268</v>
      </c>
      <c r="AC133" s="275">
        <v>0.42945232</v>
      </c>
      <c r="AE133" s="260"/>
      <c r="AF133" s="261">
        <v>0.35200000000000004</v>
      </c>
      <c r="AG133" s="260"/>
      <c r="AH133" s="320"/>
    </row>
    <row r="134" spans="2:35" ht="18.649999999999999" customHeight="1" x14ac:dyDescent="0.35">
      <c r="B134" s="322" t="str">
        <f>B133</f>
        <v>Jaipur</v>
      </c>
      <c r="C134" s="293" t="s">
        <v>97</v>
      </c>
      <c r="D134" s="310" t="s">
        <v>106</v>
      </c>
      <c r="E134" s="311" t="s">
        <v>46</v>
      </c>
      <c r="F134" s="311" t="s">
        <v>91</v>
      </c>
      <c r="G134" s="263" t="s">
        <v>98</v>
      </c>
      <c r="H134" s="310" t="s">
        <v>88</v>
      </c>
      <c r="I134" s="263" t="s">
        <v>107</v>
      </c>
      <c r="J134" s="553" t="s">
        <v>96</v>
      </c>
      <c r="K134" s="263" t="s">
        <v>89</v>
      </c>
      <c r="L134" s="266">
        <f t="shared" si="184"/>
        <v>21</v>
      </c>
      <c r="M134" s="267">
        <v>45460</v>
      </c>
      <c r="N134" s="267">
        <v>45480</v>
      </c>
      <c r="O134" s="266">
        <f>U134*V134</f>
        <v>110394.56916445649</v>
      </c>
      <c r="P134" s="268" t="s">
        <v>17</v>
      </c>
      <c r="Q134" s="312">
        <v>0.01</v>
      </c>
      <c r="R134" s="266">
        <f t="shared" ref="R134" si="191">O134*Q134</f>
        <v>1103.9456916445649</v>
      </c>
      <c r="S134" s="268" t="s">
        <v>17</v>
      </c>
      <c r="T134" s="271" t="s">
        <v>17</v>
      </c>
      <c r="U134" s="266">
        <f t="shared" ref="U134" si="192">AB134*AC134</f>
        <v>129875.96372289</v>
      </c>
      <c r="V134" s="266">
        <v>0.85</v>
      </c>
      <c r="W134" s="266"/>
      <c r="X134" s="272">
        <v>200</v>
      </c>
      <c r="Y134" s="273">
        <f>O134*X134/1000</f>
        <v>22078.9138328913</v>
      </c>
      <c r="Z134" s="273">
        <f t="shared" si="174"/>
        <v>200</v>
      </c>
      <c r="AA134" s="273">
        <f t="shared" si="190"/>
        <v>20</v>
      </c>
      <c r="AB134" s="274">
        <v>439887</v>
      </c>
      <c r="AC134" s="275">
        <v>0.29524846999999999</v>
      </c>
      <c r="AE134" s="260"/>
      <c r="AF134" s="261">
        <v>0.22</v>
      </c>
      <c r="AG134" s="260"/>
      <c r="AH134" s="562"/>
    </row>
    <row r="135" spans="2:35" ht="18.649999999999999" customHeight="1" x14ac:dyDescent="0.35">
      <c r="B135" s="277" t="str">
        <f>B132</f>
        <v>Jaipur</v>
      </c>
      <c r="C135" s="278"/>
      <c r="D135" s="279" t="s">
        <v>18</v>
      </c>
      <c r="E135" s="280"/>
      <c r="F135" s="279"/>
      <c r="G135" s="280"/>
      <c r="H135" s="280"/>
      <c r="I135" s="281"/>
      <c r="J135" s="546"/>
      <c r="K135" s="283"/>
      <c r="L135" s="284"/>
      <c r="M135" s="284"/>
      <c r="N135" s="284"/>
      <c r="O135" s="284">
        <f>SUM(O128:O134)</f>
        <v>5432288.8497613287</v>
      </c>
      <c r="P135" s="284"/>
      <c r="Q135" s="285">
        <f>R135/O135</f>
        <v>1.9988239107775379E-3</v>
      </c>
      <c r="R135" s="284">
        <f>SUM(R128:R134)</f>
        <v>10858.188843153152</v>
      </c>
      <c r="S135" s="286"/>
      <c r="T135" s="284">
        <f>SUM(T128:T134)</f>
        <v>3777041.8114122674</v>
      </c>
      <c r="U135" s="284">
        <f>U131+(SUM(U128:U130,U132:U134)*15%)</f>
        <v>832897.08035881631</v>
      </c>
      <c r="V135" s="284">
        <f>O135/U135</f>
        <v>6.5221609942744321</v>
      </c>
      <c r="W135" s="284"/>
      <c r="X135" s="287"/>
      <c r="Y135" s="317">
        <f>SUM(Y128:Y134)</f>
        <v>573873.9217176988</v>
      </c>
      <c r="Z135" s="288">
        <f t="shared" si="174"/>
        <v>105.64127526887904</v>
      </c>
      <c r="AA135" s="288">
        <f t="shared" si="190"/>
        <v>52.851716801699069</v>
      </c>
      <c r="AB135" s="284">
        <f>AB131+(SUM(AB128:AB130,AB132:AB134)*2%)</f>
        <v>1301533.1570000001</v>
      </c>
      <c r="AC135" s="289">
        <f>U135/AB135</f>
        <v>0.63993535307131344</v>
      </c>
      <c r="AD135" s="261"/>
      <c r="AE135" s="290"/>
      <c r="AF135" s="261">
        <v>0.6428201785972153</v>
      </c>
      <c r="AG135" s="290"/>
      <c r="AH135" s="460"/>
      <c r="AI135" s="459"/>
    </row>
    <row r="136" spans="2:35" ht="18.649999999999999" customHeight="1" x14ac:dyDescent="0.35">
      <c r="B136" s="322" t="s">
        <v>126</v>
      </c>
      <c r="C136" s="293" t="s">
        <v>93</v>
      </c>
      <c r="D136" s="294" t="s">
        <v>94</v>
      </c>
      <c r="E136" s="294" t="s">
        <v>45</v>
      </c>
      <c r="F136" s="295" t="s">
        <v>87</v>
      </c>
      <c r="G136" s="295" t="s">
        <v>50</v>
      </c>
      <c r="H136" s="296" t="s">
        <v>95</v>
      </c>
      <c r="I136" s="296" t="s">
        <v>608</v>
      </c>
      <c r="J136" s="551" t="s">
        <v>96</v>
      </c>
      <c r="K136" s="295" t="s">
        <v>89</v>
      </c>
      <c r="L136" s="298">
        <f t="shared" ref="L136:L142" si="193">N136-(M136-1)</f>
        <v>21</v>
      </c>
      <c r="M136" s="299">
        <v>45460</v>
      </c>
      <c r="N136" s="299">
        <v>45480</v>
      </c>
      <c r="O136" s="298">
        <f t="shared" ref="O136:O138" si="194">U136*V136</f>
        <v>928213.15973253117</v>
      </c>
      <c r="P136" s="300" t="s">
        <v>17</v>
      </c>
      <c r="Q136" s="301"/>
      <c r="R136" s="298"/>
      <c r="S136" s="302">
        <v>0.85</v>
      </c>
      <c r="T136" s="303">
        <f t="shared" ref="T136:T137" si="195">O136*S136</f>
        <v>788981.18577265146</v>
      </c>
      <c r="U136" s="298">
        <f>AB136*AC136</f>
        <v>227503.22542464</v>
      </c>
      <c r="V136" s="298">
        <f>3*136%</f>
        <v>4.08</v>
      </c>
      <c r="W136" s="298"/>
      <c r="X136" s="304">
        <v>125</v>
      </c>
      <c r="Y136" s="305">
        <f t="shared" ref="Y136:Y141" si="196">(O136/1000)*X136</f>
        <v>116026.6449665664</v>
      </c>
      <c r="Z136" s="305">
        <f t="shared" si="174"/>
        <v>125</v>
      </c>
      <c r="AA136" s="305"/>
      <c r="AB136" s="306">
        <v>264876</v>
      </c>
      <c r="AC136" s="307">
        <v>0.85890464</v>
      </c>
      <c r="AD136" s="261"/>
      <c r="AE136" s="260"/>
      <c r="AF136" s="261">
        <v>0.70400000000000007</v>
      </c>
      <c r="AG136" s="260"/>
    </row>
    <row r="137" spans="2:35" ht="18.649999999999999" customHeight="1" x14ac:dyDescent="0.35">
      <c r="B137" s="322" t="s">
        <v>126</v>
      </c>
      <c r="C137" s="293" t="s">
        <v>93</v>
      </c>
      <c r="D137" s="295" t="s">
        <v>86</v>
      </c>
      <c r="E137" s="295" t="s">
        <v>45</v>
      </c>
      <c r="F137" s="295" t="s">
        <v>87</v>
      </c>
      <c r="G137" s="296" t="s">
        <v>50</v>
      </c>
      <c r="H137" s="296" t="s">
        <v>95</v>
      </c>
      <c r="I137" s="296" t="s">
        <v>610</v>
      </c>
      <c r="J137" s="551" t="s">
        <v>96</v>
      </c>
      <c r="K137" s="295" t="s">
        <v>89</v>
      </c>
      <c r="L137" s="298">
        <f t="shared" si="193"/>
        <v>21</v>
      </c>
      <c r="M137" s="299">
        <v>45460</v>
      </c>
      <c r="N137" s="299">
        <v>45480</v>
      </c>
      <c r="O137" s="298">
        <f>Y137/X137*1000</f>
        <v>1690366.788738</v>
      </c>
      <c r="P137" s="300" t="s">
        <v>17</v>
      </c>
      <c r="Q137" s="301"/>
      <c r="R137" s="298"/>
      <c r="S137" s="302">
        <v>0.8</v>
      </c>
      <c r="T137" s="303">
        <f t="shared" si="195"/>
        <v>1352293.4309904</v>
      </c>
      <c r="U137" s="298">
        <f>O137/V137</f>
        <v>304570.59256540542</v>
      </c>
      <c r="V137" s="298">
        <v>5.55</v>
      </c>
      <c r="W137" s="298"/>
      <c r="X137" s="304">
        <v>110</v>
      </c>
      <c r="Y137" s="305">
        <v>185940.34676118</v>
      </c>
      <c r="Z137" s="305">
        <f t="shared" si="174"/>
        <v>110</v>
      </c>
      <c r="AA137" s="305"/>
      <c r="AB137" s="306">
        <v>339585</v>
      </c>
      <c r="AC137" s="307">
        <f>U137/AB137</f>
        <v>0.89689059459459464</v>
      </c>
      <c r="AF137" s="261">
        <v>0.748</v>
      </c>
    </row>
    <row r="138" spans="2:35" ht="18.649999999999999" customHeight="1" x14ac:dyDescent="0.35">
      <c r="B138" s="322" t="s">
        <v>126</v>
      </c>
      <c r="C138" s="293" t="s">
        <v>97</v>
      </c>
      <c r="D138" s="264" t="s">
        <v>561</v>
      </c>
      <c r="E138" s="264" t="s">
        <v>45</v>
      </c>
      <c r="F138" s="263" t="s">
        <v>87</v>
      </c>
      <c r="G138" s="263" t="s">
        <v>98</v>
      </c>
      <c r="H138" s="265" t="s">
        <v>90</v>
      </c>
      <c r="I138" s="265" t="s">
        <v>609</v>
      </c>
      <c r="J138" s="552" t="s">
        <v>96</v>
      </c>
      <c r="K138" s="263" t="s">
        <v>89</v>
      </c>
      <c r="L138" s="266">
        <f t="shared" si="193"/>
        <v>21</v>
      </c>
      <c r="M138" s="267">
        <v>45460</v>
      </c>
      <c r="N138" s="267">
        <v>45480</v>
      </c>
      <c r="O138" s="266">
        <f t="shared" si="194"/>
        <v>287362.18816069997</v>
      </c>
      <c r="P138" s="268" t="s">
        <v>17</v>
      </c>
      <c r="Q138" s="269">
        <v>1E-3</v>
      </c>
      <c r="R138" s="266">
        <f t="shared" ref="R138:R139" si="197">O138*Q138</f>
        <v>287.36218816069999</v>
      </c>
      <c r="S138" s="270">
        <v>0.7</v>
      </c>
      <c r="T138" s="271">
        <f>O138*S138</f>
        <v>201153.53171248996</v>
      </c>
      <c r="U138" s="266">
        <f t="shared" ref="U138" si="198">AB138*AC138</f>
        <v>287362.18816069997</v>
      </c>
      <c r="V138" s="266">
        <v>1</v>
      </c>
      <c r="W138" s="266"/>
      <c r="X138" s="272">
        <v>70</v>
      </c>
      <c r="Y138" s="273">
        <f t="shared" si="196"/>
        <v>20115.353171249</v>
      </c>
      <c r="Z138" s="273">
        <f t="shared" si="174"/>
        <v>70</v>
      </c>
      <c r="AA138" s="273">
        <f t="shared" ref="AA138:AA143" si="199">Y138/R138</f>
        <v>70</v>
      </c>
      <c r="AB138" s="274">
        <f>692753*85%</f>
        <v>588840.04999999993</v>
      </c>
      <c r="AC138" s="275">
        <v>0.488014</v>
      </c>
      <c r="AE138" s="260"/>
      <c r="AF138" s="261">
        <v>0.39600000000000002</v>
      </c>
      <c r="AG138" s="260"/>
    </row>
    <row r="139" spans="2:35" ht="18.649999999999999" customHeight="1" x14ac:dyDescent="0.35">
      <c r="B139" s="322" t="s">
        <v>126</v>
      </c>
      <c r="C139" s="293" t="s">
        <v>97</v>
      </c>
      <c r="D139" s="264" t="s">
        <v>86</v>
      </c>
      <c r="E139" s="264" t="s">
        <v>45</v>
      </c>
      <c r="F139" s="263" t="s">
        <v>87</v>
      </c>
      <c r="G139" s="263" t="s">
        <v>98</v>
      </c>
      <c r="H139" s="265" t="s">
        <v>90</v>
      </c>
      <c r="I139" s="265" t="s">
        <v>610</v>
      </c>
      <c r="J139" s="552" t="s">
        <v>96</v>
      </c>
      <c r="K139" s="263" t="s">
        <v>89</v>
      </c>
      <c r="L139" s="266">
        <f t="shared" si="193"/>
        <v>21</v>
      </c>
      <c r="M139" s="267">
        <v>45460</v>
      </c>
      <c r="N139" s="267">
        <v>45480</v>
      </c>
      <c r="O139" s="266">
        <f>Y139/X139*1000</f>
        <v>428640.91875000001</v>
      </c>
      <c r="P139" s="268" t="s">
        <v>17</v>
      </c>
      <c r="Q139" s="269">
        <v>1E-3</v>
      </c>
      <c r="R139" s="266">
        <f t="shared" si="197"/>
        <v>428.64091875000003</v>
      </c>
      <c r="S139" s="270">
        <v>0.8</v>
      </c>
      <c r="T139" s="271">
        <f>O139*S139</f>
        <v>342912.73500000004</v>
      </c>
      <c r="U139" s="266">
        <f>O139/V139</f>
        <v>306172.08482142858</v>
      </c>
      <c r="V139" s="266">
        <v>1.4</v>
      </c>
      <c r="W139" s="266"/>
      <c r="X139" s="272">
        <v>80</v>
      </c>
      <c r="Y139" s="273">
        <v>34291.273500000003</v>
      </c>
      <c r="Z139" s="273">
        <f t="shared" si="174"/>
        <v>80</v>
      </c>
      <c r="AA139" s="273">
        <f t="shared" si="199"/>
        <v>80</v>
      </c>
      <c r="AB139" s="274">
        <v>692753</v>
      </c>
      <c r="AC139" s="275">
        <f>U139/AB139</f>
        <v>0.44196428571428575</v>
      </c>
      <c r="AE139" s="260"/>
      <c r="AF139" s="261">
        <v>0.39600000000000002</v>
      </c>
      <c r="AG139" s="260"/>
    </row>
    <row r="140" spans="2:35" ht="18.649999999999999" customHeight="1" x14ac:dyDescent="0.35">
      <c r="B140" s="322" t="s">
        <v>126</v>
      </c>
      <c r="C140" s="293" t="s">
        <v>97</v>
      </c>
      <c r="D140" s="263" t="s">
        <v>99</v>
      </c>
      <c r="E140" s="263" t="s">
        <v>46</v>
      </c>
      <c r="F140" s="263" t="s">
        <v>100</v>
      </c>
      <c r="G140" s="263" t="s">
        <v>101</v>
      </c>
      <c r="H140" s="265" t="s">
        <v>88</v>
      </c>
      <c r="I140" s="265" t="s">
        <v>102</v>
      </c>
      <c r="J140" s="553" t="s">
        <v>96</v>
      </c>
      <c r="K140" s="263" t="s">
        <v>89</v>
      </c>
      <c r="L140" s="266">
        <f t="shared" si="193"/>
        <v>21</v>
      </c>
      <c r="M140" s="267">
        <v>45460</v>
      </c>
      <c r="N140" s="267">
        <v>45480</v>
      </c>
      <c r="O140" s="266">
        <f>U140*V140</f>
        <v>127624.73181687084</v>
      </c>
      <c r="P140" s="268" t="s">
        <v>17</v>
      </c>
      <c r="Q140" s="269">
        <v>1.4999999999999999E-2</v>
      </c>
      <c r="R140" s="266">
        <f>O140*Q140</f>
        <v>1914.3709772530626</v>
      </c>
      <c r="S140" s="268" t="s">
        <v>17</v>
      </c>
      <c r="T140" s="271" t="s">
        <v>17</v>
      </c>
      <c r="U140" s="266">
        <f>AB140*AC140</f>
        <v>150146.74331396571</v>
      </c>
      <c r="V140" s="266">
        <v>0.85</v>
      </c>
      <c r="W140" s="266"/>
      <c r="X140" s="272">
        <v>105</v>
      </c>
      <c r="Y140" s="273">
        <f t="shared" si="196"/>
        <v>13400.596840771439</v>
      </c>
      <c r="Z140" s="273">
        <f t="shared" si="174"/>
        <v>105</v>
      </c>
      <c r="AA140" s="273">
        <f t="shared" si="199"/>
        <v>7</v>
      </c>
      <c r="AB140" s="274">
        <f>AB138*95%</f>
        <v>559398.04749999987</v>
      </c>
      <c r="AC140" s="275">
        <v>0.26840769999999997</v>
      </c>
      <c r="AE140" s="260"/>
      <c r="AF140" s="261">
        <v>0.22</v>
      </c>
      <c r="AG140" s="260"/>
    </row>
    <row r="141" spans="2:35" ht="18.649999999999999" customHeight="1" x14ac:dyDescent="0.35">
      <c r="B141" s="322" t="str">
        <f>B140</f>
        <v>Kochi</v>
      </c>
      <c r="C141" s="293" t="s">
        <v>97</v>
      </c>
      <c r="D141" s="310" t="s">
        <v>103</v>
      </c>
      <c r="E141" s="263" t="s">
        <v>46</v>
      </c>
      <c r="F141" s="310" t="s">
        <v>100</v>
      </c>
      <c r="G141" s="263" t="s">
        <v>98</v>
      </c>
      <c r="H141" s="265" t="s">
        <v>88</v>
      </c>
      <c r="I141" s="265" t="s">
        <v>104</v>
      </c>
      <c r="J141" s="553" t="s">
        <v>96</v>
      </c>
      <c r="K141" s="263" t="s">
        <v>105</v>
      </c>
      <c r="L141" s="266">
        <f t="shared" si="193"/>
        <v>21</v>
      </c>
      <c r="M141" s="267">
        <v>45460</v>
      </c>
      <c r="N141" s="267">
        <v>45480</v>
      </c>
      <c r="O141" s="266">
        <f>U141*V141</f>
        <v>190585.227900144</v>
      </c>
      <c r="P141" s="268" t="s">
        <v>17</v>
      </c>
      <c r="Q141" s="269">
        <v>1.4999999999999999E-2</v>
      </c>
      <c r="R141" s="266">
        <f>O141*Q141</f>
        <v>2858.7784185021601</v>
      </c>
      <c r="S141" s="268" t="s">
        <v>17</v>
      </c>
      <c r="T141" s="271" t="s">
        <v>17</v>
      </c>
      <c r="U141" s="266">
        <f>AB141*AC141</f>
        <v>224217.91517664</v>
      </c>
      <c r="V141" s="266">
        <v>0.85</v>
      </c>
      <c r="W141" s="266"/>
      <c r="X141" s="272">
        <v>120</v>
      </c>
      <c r="Y141" s="273">
        <f t="shared" si="196"/>
        <v>22870.227348017281</v>
      </c>
      <c r="Z141" s="273">
        <f t="shared" si="174"/>
        <v>120</v>
      </c>
      <c r="AA141" s="273">
        <f t="shared" si="199"/>
        <v>8</v>
      </c>
      <c r="AB141" s="274">
        <v>522102</v>
      </c>
      <c r="AC141" s="275">
        <v>0.42945232</v>
      </c>
      <c r="AE141" s="260"/>
      <c r="AF141" s="261">
        <v>0.35200000000000004</v>
      </c>
      <c r="AG141" s="260"/>
      <c r="AH141" s="320"/>
    </row>
    <row r="142" spans="2:35" ht="18.649999999999999" customHeight="1" x14ac:dyDescent="0.35">
      <c r="B142" s="322" t="str">
        <f>B141</f>
        <v>Kochi</v>
      </c>
      <c r="C142" s="293" t="s">
        <v>97</v>
      </c>
      <c r="D142" s="310" t="s">
        <v>106</v>
      </c>
      <c r="E142" s="311" t="s">
        <v>46</v>
      </c>
      <c r="F142" s="311" t="s">
        <v>91</v>
      </c>
      <c r="G142" s="263" t="s">
        <v>98</v>
      </c>
      <c r="H142" s="310" t="s">
        <v>88</v>
      </c>
      <c r="I142" s="263" t="s">
        <v>107</v>
      </c>
      <c r="J142" s="553" t="s">
        <v>96</v>
      </c>
      <c r="K142" s="263" t="s">
        <v>89</v>
      </c>
      <c r="L142" s="266">
        <f t="shared" si="193"/>
        <v>21</v>
      </c>
      <c r="M142" s="267">
        <v>45460</v>
      </c>
      <c r="N142" s="267">
        <v>45480</v>
      </c>
      <c r="O142" s="266">
        <f>U142*V142</f>
        <v>152499.58441056899</v>
      </c>
      <c r="P142" s="268" t="s">
        <v>17</v>
      </c>
      <c r="Q142" s="312">
        <v>0.01</v>
      </c>
      <c r="R142" s="266">
        <f t="shared" ref="R142" si="200">O142*Q142</f>
        <v>1524.9958441056899</v>
      </c>
      <c r="S142" s="268" t="s">
        <v>17</v>
      </c>
      <c r="T142" s="271" t="s">
        <v>17</v>
      </c>
      <c r="U142" s="266">
        <f t="shared" ref="U142" si="201">AB142*AC142</f>
        <v>179411.27577713999</v>
      </c>
      <c r="V142" s="266">
        <v>0.85</v>
      </c>
      <c r="W142" s="266"/>
      <c r="X142" s="272">
        <v>200</v>
      </c>
      <c r="Y142" s="273">
        <f>O142*X142/1000</f>
        <v>30499.916882113801</v>
      </c>
      <c r="Z142" s="273">
        <f t="shared" si="174"/>
        <v>200</v>
      </c>
      <c r="AA142" s="273">
        <f t="shared" si="199"/>
        <v>20.000000000000004</v>
      </c>
      <c r="AB142" s="274">
        <v>607662</v>
      </c>
      <c r="AC142" s="275">
        <v>0.29524846999999999</v>
      </c>
      <c r="AE142" s="260"/>
      <c r="AF142" s="261">
        <v>0.22</v>
      </c>
      <c r="AG142" s="260"/>
      <c r="AH142" s="562"/>
    </row>
    <row r="143" spans="2:35" ht="18.649999999999999" customHeight="1" x14ac:dyDescent="0.35">
      <c r="B143" s="277" t="str">
        <f>B140</f>
        <v>Kochi</v>
      </c>
      <c r="C143" s="278"/>
      <c r="D143" s="279" t="s">
        <v>18</v>
      </c>
      <c r="E143" s="280"/>
      <c r="F143" s="279"/>
      <c r="G143" s="280"/>
      <c r="H143" s="280"/>
      <c r="I143" s="281"/>
      <c r="J143" s="546"/>
      <c r="K143" s="283"/>
      <c r="L143" s="284"/>
      <c r="M143" s="284"/>
      <c r="N143" s="284"/>
      <c r="O143" s="284">
        <f>SUM(O136:O142)</f>
        <v>3805292.599508815</v>
      </c>
      <c r="P143" s="284"/>
      <c r="Q143" s="285">
        <f>R143/O143</f>
        <v>1.8432612376974625E-3</v>
      </c>
      <c r="R143" s="284">
        <f>SUM(R136:R142)</f>
        <v>7014.1483467716125</v>
      </c>
      <c r="S143" s="286"/>
      <c r="T143" s="284">
        <f>SUM(T136:T142)</f>
        <v>2685340.8834755416</v>
      </c>
      <c r="U143" s="284">
        <f>U139+(SUM(U136:U136,U140:U142,U137:U138)*13%)</f>
        <v>484689.63707583246</v>
      </c>
      <c r="V143" s="284">
        <f>O143/U143</f>
        <v>7.8509881549488449</v>
      </c>
      <c r="W143" s="284"/>
      <c r="X143" s="287"/>
      <c r="Y143" s="317">
        <f>SUM(Y136:Y142)</f>
        <v>423144.35946989787</v>
      </c>
      <c r="Z143" s="288">
        <f t="shared" si="174"/>
        <v>111.19890216182512</v>
      </c>
      <c r="AA143" s="288">
        <f t="shared" si="199"/>
        <v>60.327261208362899</v>
      </c>
      <c r="AB143" s="284">
        <f>AB139+(SUM(AB136:AB138,AB140:AB142)*2%)</f>
        <v>750402.26194999996</v>
      </c>
      <c r="AC143" s="289">
        <f>U143/AB143</f>
        <v>0.64590641800081328</v>
      </c>
      <c r="AD143" s="261"/>
      <c r="AE143" s="290"/>
      <c r="AF143" s="261">
        <v>0.67540584838427764</v>
      </c>
      <c r="AG143" s="290"/>
      <c r="AH143" s="460"/>
      <c r="AI143" s="459"/>
    </row>
    <row r="144" spans="2:35" ht="18.649999999999999" customHeight="1" x14ac:dyDescent="0.35">
      <c r="B144" s="322" t="s">
        <v>127</v>
      </c>
      <c r="C144" s="293" t="s">
        <v>93</v>
      </c>
      <c r="D144" s="294" t="s">
        <v>94</v>
      </c>
      <c r="E144" s="294" t="s">
        <v>45</v>
      </c>
      <c r="F144" s="295" t="s">
        <v>87</v>
      </c>
      <c r="G144" s="295" t="s">
        <v>50</v>
      </c>
      <c r="H144" s="296" t="s">
        <v>95</v>
      </c>
      <c r="I144" s="296" t="s">
        <v>608</v>
      </c>
      <c r="J144" s="551" t="s">
        <v>96</v>
      </c>
      <c r="K144" s="295" t="s">
        <v>89</v>
      </c>
      <c r="L144" s="298">
        <f t="shared" ref="L144:L150" si="202">N144-(M144-1)</f>
        <v>21</v>
      </c>
      <c r="M144" s="299">
        <v>45460</v>
      </c>
      <c r="N144" s="299">
        <v>45480</v>
      </c>
      <c r="O144" s="298">
        <f t="shared" ref="O144:O146" si="203">U144*V144</f>
        <v>1129652.6146507009</v>
      </c>
      <c r="P144" s="300" t="s">
        <v>17</v>
      </c>
      <c r="Q144" s="301"/>
      <c r="R144" s="298"/>
      <c r="S144" s="302">
        <v>0.85</v>
      </c>
      <c r="T144" s="303">
        <f t="shared" ref="T144:T145" si="204">O144*S144</f>
        <v>960204.72245309572</v>
      </c>
      <c r="U144" s="298">
        <f>AB144*AC144</f>
        <v>276875.64084576</v>
      </c>
      <c r="V144" s="298">
        <f>3*136%</f>
        <v>4.08</v>
      </c>
      <c r="W144" s="298"/>
      <c r="X144" s="304">
        <v>125</v>
      </c>
      <c r="Y144" s="305">
        <f t="shared" ref="Y144:Y149" si="205">(O144/1000)*X144</f>
        <v>141206.57683133762</v>
      </c>
      <c r="Z144" s="305">
        <f t="shared" si="174"/>
        <v>125</v>
      </c>
      <c r="AA144" s="305"/>
      <c r="AB144" s="306">
        <v>322359</v>
      </c>
      <c r="AC144" s="307">
        <v>0.85890464</v>
      </c>
      <c r="AD144" s="261"/>
      <c r="AE144" s="260"/>
      <c r="AF144" s="261">
        <v>0.70400000000000007</v>
      </c>
      <c r="AG144" s="260"/>
    </row>
    <row r="145" spans="2:35" ht="18.649999999999999" customHeight="1" x14ac:dyDescent="0.35">
      <c r="B145" s="322" t="s">
        <v>127</v>
      </c>
      <c r="C145" s="293" t="s">
        <v>93</v>
      </c>
      <c r="D145" s="295" t="s">
        <v>86</v>
      </c>
      <c r="E145" s="295" t="s">
        <v>45</v>
      </c>
      <c r="F145" s="295" t="s">
        <v>87</v>
      </c>
      <c r="G145" s="296" t="s">
        <v>50</v>
      </c>
      <c r="H145" s="296" t="s">
        <v>95</v>
      </c>
      <c r="I145" s="296" t="s">
        <v>610</v>
      </c>
      <c r="J145" s="551" t="s">
        <v>96</v>
      </c>
      <c r="K145" s="295" t="s">
        <v>89</v>
      </c>
      <c r="L145" s="298">
        <f t="shared" si="202"/>
        <v>21</v>
      </c>
      <c r="M145" s="299">
        <v>45460</v>
      </c>
      <c r="N145" s="299">
        <v>45480</v>
      </c>
      <c r="O145" s="298">
        <f>Y145/X145*1000</f>
        <v>1916125.6363636367</v>
      </c>
      <c r="P145" s="300" t="s">
        <v>17</v>
      </c>
      <c r="Q145" s="301"/>
      <c r="R145" s="298"/>
      <c r="S145" s="302">
        <v>0.8</v>
      </c>
      <c r="T145" s="303">
        <f t="shared" si="204"/>
        <v>1532900.5090909095</v>
      </c>
      <c r="U145" s="298">
        <f>O145/V145</f>
        <v>348386.47933884303</v>
      </c>
      <c r="V145" s="298">
        <v>5.5</v>
      </c>
      <c r="W145" s="298"/>
      <c r="X145" s="304">
        <v>110</v>
      </c>
      <c r="Y145" s="305">
        <v>210773.82000000004</v>
      </c>
      <c r="Z145" s="305">
        <f t="shared" si="174"/>
        <v>110</v>
      </c>
      <c r="AA145" s="305"/>
      <c r="AB145" s="306">
        <v>413282</v>
      </c>
      <c r="AC145" s="307">
        <f>U145/AB145</f>
        <v>0.84297520661157033</v>
      </c>
      <c r="AF145" s="261">
        <v>0.748</v>
      </c>
    </row>
    <row r="146" spans="2:35" ht="18.649999999999999" customHeight="1" x14ac:dyDescent="0.35">
      <c r="B146" s="322" t="s">
        <v>127</v>
      </c>
      <c r="C146" s="293" t="s">
        <v>97</v>
      </c>
      <c r="D146" s="264" t="s">
        <v>561</v>
      </c>
      <c r="E146" s="264" t="s">
        <v>45</v>
      </c>
      <c r="F146" s="263" t="s">
        <v>87</v>
      </c>
      <c r="G146" s="263" t="s">
        <v>98</v>
      </c>
      <c r="H146" s="265" t="s">
        <v>90</v>
      </c>
      <c r="I146" s="265" t="s">
        <v>609</v>
      </c>
      <c r="J146" s="552" t="s">
        <v>96</v>
      </c>
      <c r="K146" s="263" t="s">
        <v>89</v>
      </c>
      <c r="L146" s="266">
        <f t="shared" si="202"/>
        <v>21</v>
      </c>
      <c r="M146" s="267">
        <v>45460</v>
      </c>
      <c r="N146" s="267">
        <v>45480</v>
      </c>
      <c r="O146" s="266">
        <f t="shared" si="203"/>
        <v>284544.81</v>
      </c>
      <c r="P146" s="268" t="s">
        <v>17</v>
      </c>
      <c r="Q146" s="269">
        <v>1E-3</v>
      </c>
      <c r="R146" s="266">
        <f t="shared" ref="R146:R147" si="206">O146*Q146</f>
        <v>284.54480999999998</v>
      </c>
      <c r="S146" s="270">
        <v>0.7</v>
      </c>
      <c r="T146" s="271">
        <f>O146*S146</f>
        <v>199181.367</v>
      </c>
      <c r="U146" s="266">
        <f t="shared" ref="U146" si="207">AB146*AC146</f>
        <v>284544.81</v>
      </c>
      <c r="V146" s="266">
        <v>1</v>
      </c>
      <c r="W146" s="266"/>
      <c r="X146" s="272">
        <v>70</v>
      </c>
      <c r="Y146" s="273">
        <f t="shared" si="205"/>
        <v>19918.136699999999</v>
      </c>
      <c r="Z146" s="273">
        <f t="shared" si="174"/>
        <v>69.999999999999986</v>
      </c>
      <c r="AA146" s="273">
        <f t="shared" ref="AA146:AA151" si="208">Y146/R146</f>
        <v>70</v>
      </c>
      <c r="AB146" s="274">
        <f>743908*85%</f>
        <v>632321.79999999993</v>
      </c>
      <c r="AC146" s="275">
        <v>0.45</v>
      </c>
      <c r="AE146" s="260"/>
      <c r="AF146" s="261">
        <v>0.41359999999999997</v>
      </c>
      <c r="AG146" s="260"/>
    </row>
    <row r="147" spans="2:35" ht="18.649999999999999" customHeight="1" x14ac:dyDescent="0.35">
      <c r="B147" s="322" t="s">
        <v>127</v>
      </c>
      <c r="C147" s="293" t="s">
        <v>97</v>
      </c>
      <c r="D147" s="264" t="s">
        <v>86</v>
      </c>
      <c r="E147" s="264" t="s">
        <v>45</v>
      </c>
      <c r="F147" s="263" t="s">
        <v>87</v>
      </c>
      <c r="G147" s="263" t="s">
        <v>98</v>
      </c>
      <c r="H147" s="265" t="s">
        <v>90</v>
      </c>
      <c r="I147" s="265" t="s">
        <v>610</v>
      </c>
      <c r="J147" s="552" t="s">
        <v>96</v>
      </c>
      <c r="K147" s="263" t="s">
        <v>89</v>
      </c>
      <c r="L147" s="266">
        <f t="shared" si="202"/>
        <v>21</v>
      </c>
      <c r="M147" s="267">
        <v>45460</v>
      </c>
      <c r="N147" s="267">
        <v>45480</v>
      </c>
      <c r="O147" s="266">
        <f>Y147/X147*1000</f>
        <v>460293.07500000007</v>
      </c>
      <c r="P147" s="268" t="s">
        <v>17</v>
      </c>
      <c r="Q147" s="269">
        <v>1E-3</v>
      </c>
      <c r="R147" s="266">
        <f t="shared" si="206"/>
        <v>460.2930750000001</v>
      </c>
      <c r="S147" s="270">
        <v>0.8</v>
      </c>
      <c r="T147" s="271">
        <f>O147*S147</f>
        <v>368234.46000000008</v>
      </c>
      <c r="U147" s="266">
        <f>O147/V147</f>
        <v>328780.76785714296</v>
      </c>
      <c r="V147" s="266">
        <v>1.4</v>
      </c>
      <c r="W147" s="266"/>
      <c r="X147" s="272">
        <v>80</v>
      </c>
      <c r="Y147" s="273">
        <v>36823.446000000004</v>
      </c>
      <c r="Z147" s="273">
        <f t="shared" si="174"/>
        <v>80</v>
      </c>
      <c r="AA147" s="273">
        <f t="shared" si="208"/>
        <v>79.999999999999986</v>
      </c>
      <c r="AB147" s="274">
        <v>743908</v>
      </c>
      <c r="AC147" s="275">
        <f>U147/AB147</f>
        <v>0.44196428571428586</v>
      </c>
      <c r="AE147" s="260"/>
      <c r="AF147" s="261">
        <v>0.41359999999999997</v>
      </c>
      <c r="AG147" s="260"/>
    </row>
    <row r="148" spans="2:35" ht="18.649999999999999" customHeight="1" x14ac:dyDescent="0.35">
      <c r="B148" s="322" t="s">
        <v>127</v>
      </c>
      <c r="C148" s="293" t="s">
        <v>97</v>
      </c>
      <c r="D148" s="263" t="s">
        <v>99</v>
      </c>
      <c r="E148" s="263" t="s">
        <v>46</v>
      </c>
      <c r="F148" s="263" t="s">
        <v>100</v>
      </c>
      <c r="G148" s="263" t="s">
        <v>101</v>
      </c>
      <c r="H148" s="265" t="s">
        <v>88</v>
      </c>
      <c r="I148" s="265" t="s">
        <v>102</v>
      </c>
      <c r="J148" s="553" t="s">
        <v>96</v>
      </c>
      <c r="K148" s="263" t="s">
        <v>89</v>
      </c>
      <c r="L148" s="266">
        <f t="shared" si="202"/>
        <v>21</v>
      </c>
      <c r="M148" s="267">
        <v>45460</v>
      </c>
      <c r="N148" s="267">
        <v>45480</v>
      </c>
      <c r="O148" s="266">
        <f>U148*V148</f>
        <v>137048.93229827192</v>
      </c>
      <c r="P148" s="268" t="s">
        <v>17</v>
      </c>
      <c r="Q148" s="269">
        <v>1.4999999999999999E-2</v>
      </c>
      <c r="R148" s="266">
        <f>O148*Q148</f>
        <v>2055.7339844740786</v>
      </c>
      <c r="S148" s="268" t="s">
        <v>17</v>
      </c>
      <c r="T148" s="271" t="s">
        <v>17</v>
      </c>
      <c r="U148" s="266">
        <f>AB148*AC148</f>
        <v>161234.03799796698</v>
      </c>
      <c r="V148" s="266">
        <v>0.85</v>
      </c>
      <c r="W148" s="266"/>
      <c r="X148" s="272">
        <v>105</v>
      </c>
      <c r="Y148" s="273">
        <f t="shared" si="205"/>
        <v>14390.137891318553</v>
      </c>
      <c r="Z148" s="273">
        <f t="shared" si="174"/>
        <v>105.00000000000001</v>
      </c>
      <c r="AA148" s="273">
        <f t="shared" si="208"/>
        <v>7.0000000000000009</v>
      </c>
      <c r="AB148" s="274">
        <f>AB146*95%</f>
        <v>600705.71</v>
      </c>
      <c r="AC148" s="275">
        <v>0.26840769999999997</v>
      </c>
      <c r="AE148" s="260"/>
      <c r="AF148" s="261">
        <v>0.22</v>
      </c>
      <c r="AG148" s="260"/>
    </row>
    <row r="149" spans="2:35" ht="18.649999999999999" customHeight="1" x14ac:dyDescent="0.35">
      <c r="B149" s="322" t="str">
        <f>B148</f>
        <v>Lucknow</v>
      </c>
      <c r="C149" s="293" t="s">
        <v>97</v>
      </c>
      <c r="D149" s="310" t="s">
        <v>103</v>
      </c>
      <c r="E149" s="263" t="s">
        <v>46</v>
      </c>
      <c r="F149" s="310" t="s">
        <v>100</v>
      </c>
      <c r="G149" s="263" t="s">
        <v>98</v>
      </c>
      <c r="H149" s="265" t="s">
        <v>88</v>
      </c>
      <c r="I149" s="265" t="s">
        <v>104</v>
      </c>
      <c r="J149" s="553" t="s">
        <v>96</v>
      </c>
      <c r="K149" s="263" t="s">
        <v>105</v>
      </c>
      <c r="L149" s="266">
        <f t="shared" si="202"/>
        <v>21</v>
      </c>
      <c r="M149" s="267">
        <v>45460</v>
      </c>
      <c r="N149" s="267">
        <v>45480</v>
      </c>
      <c r="O149" s="266">
        <f>U149*V149</f>
        <v>162550.94</v>
      </c>
      <c r="P149" s="268" t="s">
        <v>17</v>
      </c>
      <c r="Q149" s="269">
        <v>1.4999999999999999E-2</v>
      </c>
      <c r="R149" s="266">
        <f>O149*Q149</f>
        <v>2438.2640999999999</v>
      </c>
      <c r="S149" s="268" t="s">
        <v>17</v>
      </c>
      <c r="T149" s="271" t="s">
        <v>17</v>
      </c>
      <c r="U149" s="266">
        <f>AB149*AC149</f>
        <v>191236.40000000002</v>
      </c>
      <c r="V149" s="266">
        <v>0.85</v>
      </c>
      <c r="W149" s="266"/>
      <c r="X149" s="272">
        <v>120</v>
      </c>
      <c r="Y149" s="273">
        <f t="shared" si="205"/>
        <v>19506.112799999999</v>
      </c>
      <c r="Z149" s="273">
        <f t="shared" si="174"/>
        <v>120</v>
      </c>
      <c r="AA149" s="273">
        <f t="shared" si="208"/>
        <v>8</v>
      </c>
      <c r="AB149" s="274">
        <v>478091</v>
      </c>
      <c r="AC149" s="275">
        <v>0.4</v>
      </c>
      <c r="AE149" s="260"/>
      <c r="AF149" s="261">
        <v>0.35200000000000004</v>
      </c>
      <c r="AG149" s="260"/>
      <c r="AH149" s="320"/>
    </row>
    <row r="150" spans="2:35" ht="18.649999999999999" customHeight="1" x14ac:dyDescent="0.35">
      <c r="B150" s="322" t="str">
        <f>B149</f>
        <v>Lucknow</v>
      </c>
      <c r="C150" s="293" t="s">
        <v>97</v>
      </c>
      <c r="D150" s="310" t="s">
        <v>106</v>
      </c>
      <c r="E150" s="311" t="s">
        <v>46</v>
      </c>
      <c r="F150" s="311" t="s">
        <v>91</v>
      </c>
      <c r="G150" s="263" t="s">
        <v>98</v>
      </c>
      <c r="H150" s="310" t="s">
        <v>88</v>
      </c>
      <c r="I150" s="263" t="s">
        <v>107</v>
      </c>
      <c r="J150" s="553" t="s">
        <v>96</v>
      </c>
      <c r="K150" s="263" t="s">
        <v>89</v>
      </c>
      <c r="L150" s="266">
        <f t="shared" si="202"/>
        <v>21</v>
      </c>
      <c r="M150" s="267">
        <v>45460</v>
      </c>
      <c r="N150" s="267">
        <v>45480</v>
      </c>
      <c r="O150" s="266">
        <f>U150*V150</f>
        <v>127180.108993014</v>
      </c>
      <c r="P150" s="268" t="s">
        <v>17</v>
      </c>
      <c r="Q150" s="312">
        <v>0.01</v>
      </c>
      <c r="R150" s="266">
        <f t="shared" ref="R150" si="209">O150*Q150</f>
        <v>1271.8010899301401</v>
      </c>
      <c r="S150" s="268" t="s">
        <v>17</v>
      </c>
      <c r="T150" s="271" t="s">
        <v>17</v>
      </c>
      <c r="U150" s="266">
        <f t="shared" ref="U150" si="210">AB150*AC150</f>
        <v>149623.65763884</v>
      </c>
      <c r="V150" s="266">
        <v>0.85</v>
      </c>
      <c r="W150" s="266"/>
      <c r="X150" s="272">
        <v>200</v>
      </c>
      <c r="Y150" s="273">
        <f>O150*X150/1000</f>
        <v>25436.0217986028</v>
      </c>
      <c r="Z150" s="273">
        <f t="shared" ref="Z150:Z181" si="211">Y150/O150*1000</f>
        <v>200</v>
      </c>
      <c r="AA150" s="273">
        <f t="shared" si="208"/>
        <v>20</v>
      </c>
      <c r="AB150" s="274">
        <v>506772</v>
      </c>
      <c r="AC150" s="275">
        <v>0.29524846999999999</v>
      </c>
      <c r="AE150" s="260"/>
      <c r="AF150" s="261">
        <v>0.22</v>
      </c>
      <c r="AG150" s="260"/>
      <c r="AH150" s="562"/>
    </row>
    <row r="151" spans="2:35" ht="18.649999999999999" customHeight="1" x14ac:dyDescent="0.35">
      <c r="B151" s="277" t="str">
        <f>B148</f>
        <v>Lucknow</v>
      </c>
      <c r="C151" s="278"/>
      <c r="D151" s="279" t="s">
        <v>18</v>
      </c>
      <c r="E151" s="280"/>
      <c r="F151" s="279"/>
      <c r="G151" s="280"/>
      <c r="H151" s="280"/>
      <c r="I151" s="281"/>
      <c r="J151" s="546"/>
      <c r="K151" s="283"/>
      <c r="L151" s="284"/>
      <c r="M151" s="284"/>
      <c r="N151" s="284"/>
      <c r="O151" s="284">
        <f>SUM(O144:O150)</f>
        <v>4217396.1173056243</v>
      </c>
      <c r="P151" s="284"/>
      <c r="Q151" s="285">
        <f>R151/O151</f>
        <v>1.5437575409832933E-3</v>
      </c>
      <c r="R151" s="284">
        <f>SUM(R144:R150)</f>
        <v>6510.6370594042191</v>
      </c>
      <c r="S151" s="286"/>
      <c r="T151" s="284">
        <f>SUM(T144:T150)</f>
        <v>3060521.0585440053</v>
      </c>
      <c r="U151" s="284">
        <f>U145+(SUM(U144:U144,U148:U150,U146:U147)*13%)</f>
        <v>529384.87020300538</v>
      </c>
      <c r="V151" s="284">
        <f>O151/U151</f>
        <v>7.9665973749653292</v>
      </c>
      <c r="W151" s="284"/>
      <c r="X151" s="287"/>
      <c r="Y151" s="317">
        <f>SUM(Y144:Y150)</f>
        <v>468054.25202125893</v>
      </c>
      <c r="Z151" s="288">
        <f t="shared" si="211"/>
        <v>110.98180939197279</v>
      </c>
      <c r="AA151" s="288">
        <f t="shared" si="208"/>
        <v>71.890699443180154</v>
      </c>
      <c r="AB151" s="284">
        <f>AB147+(SUM(AB144:AB146,AB148:AB150)*2%)</f>
        <v>802978.63020000001</v>
      </c>
      <c r="AC151" s="289">
        <f>U151/AB151</f>
        <v>0.65927641196522269</v>
      </c>
      <c r="AD151" s="261"/>
      <c r="AE151" s="290"/>
      <c r="AF151" s="261">
        <v>0.6673497916969563</v>
      </c>
      <c r="AG151" s="290"/>
      <c r="AH151" s="460"/>
      <c r="AI151" s="459"/>
    </row>
    <row r="152" spans="2:35" ht="18.649999999999999" customHeight="1" x14ac:dyDescent="0.35">
      <c r="B152" s="322" t="s">
        <v>128</v>
      </c>
      <c r="C152" s="293" t="s">
        <v>93</v>
      </c>
      <c r="D152" s="294" t="s">
        <v>94</v>
      </c>
      <c r="E152" s="294" t="s">
        <v>45</v>
      </c>
      <c r="F152" s="295" t="s">
        <v>87</v>
      </c>
      <c r="G152" s="295" t="s">
        <v>50</v>
      </c>
      <c r="H152" s="296" t="s">
        <v>95</v>
      </c>
      <c r="I152" s="296" t="s">
        <v>608</v>
      </c>
      <c r="J152" s="551" t="s">
        <v>96</v>
      </c>
      <c r="K152" s="295" t="s">
        <v>89</v>
      </c>
      <c r="L152" s="298">
        <f t="shared" ref="L152:L158" si="212">N152-(M152-1)</f>
        <v>21</v>
      </c>
      <c r="M152" s="299">
        <v>45460</v>
      </c>
      <c r="N152" s="299">
        <v>45480</v>
      </c>
      <c r="O152" s="298">
        <f t="shared" ref="O152:O154" si="213">U152*V152</f>
        <v>1064948.648337024</v>
      </c>
      <c r="P152" s="300" t="s">
        <v>17</v>
      </c>
      <c r="Q152" s="301"/>
      <c r="R152" s="298"/>
      <c r="S152" s="302">
        <v>0.85</v>
      </c>
      <c r="T152" s="303">
        <f t="shared" ref="T152:T153" si="214">O152*S152</f>
        <v>905206.35108647041</v>
      </c>
      <c r="U152" s="298">
        <f>AB152*AC152</f>
        <v>261016.82557280001</v>
      </c>
      <c r="V152" s="298">
        <f>3*136%</f>
        <v>4.08</v>
      </c>
      <c r="W152" s="298"/>
      <c r="X152" s="304">
        <v>125</v>
      </c>
      <c r="Y152" s="305">
        <f t="shared" ref="Y152:Y157" si="215">(O152/1000)*X152</f>
        <v>133118.581042128</v>
      </c>
      <c r="Z152" s="305">
        <f t="shared" si="211"/>
        <v>125</v>
      </c>
      <c r="AA152" s="305"/>
      <c r="AB152" s="306">
        <v>303895</v>
      </c>
      <c r="AC152" s="307">
        <v>0.85890464</v>
      </c>
      <c r="AD152" s="261"/>
      <c r="AE152" s="260"/>
      <c r="AF152" s="261">
        <v>0.70400000000000007</v>
      </c>
      <c r="AG152" s="260"/>
    </row>
    <row r="153" spans="2:35" ht="18.649999999999999" customHeight="1" x14ac:dyDescent="0.35">
      <c r="B153" s="322" t="s">
        <v>128</v>
      </c>
      <c r="C153" s="293" t="s">
        <v>93</v>
      </c>
      <c r="D153" s="295" t="s">
        <v>86</v>
      </c>
      <c r="E153" s="295" t="s">
        <v>45</v>
      </c>
      <c r="F153" s="295" t="s">
        <v>87</v>
      </c>
      <c r="G153" s="296" t="s">
        <v>50</v>
      </c>
      <c r="H153" s="296" t="s">
        <v>95</v>
      </c>
      <c r="I153" s="296" t="s">
        <v>610</v>
      </c>
      <c r="J153" s="551" t="s">
        <v>96</v>
      </c>
      <c r="K153" s="295" t="s">
        <v>89</v>
      </c>
      <c r="L153" s="298">
        <f t="shared" si="212"/>
        <v>21</v>
      </c>
      <c r="M153" s="299">
        <v>45460</v>
      </c>
      <c r="N153" s="299">
        <v>45480</v>
      </c>
      <c r="O153" s="298">
        <f>Y153/X153*1000</f>
        <v>1939378.3723079998</v>
      </c>
      <c r="P153" s="300" t="s">
        <v>17</v>
      </c>
      <c r="Q153" s="301"/>
      <c r="R153" s="298"/>
      <c r="S153" s="302">
        <v>0.8</v>
      </c>
      <c r="T153" s="303">
        <f t="shared" si="214"/>
        <v>1551502.6978463999</v>
      </c>
      <c r="U153" s="298">
        <f>O153/V153</f>
        <v>349437.54455999995</v>
      </c>
      <c r="V153" s="298">
        <v>5.55</v>
      </c>
      <c r="W153" s="298"/>
      <c r="X153" s="304">
        <v>110</v>
      </c>
      <c r="Y153" s="305">
        <v>213331.62095387999</v>
      </c>
      <c r="Z153" s="305">
        <f t="shared" si="211"/>
        <v>110.00000000000001</v>
      </c>
      <c r="AA153" s="305"/>
      <c r="AB153" s="306">
        <v>389610</v>
      </c>
      <c r="AC153" s="307">
        <f>U153/AB153</f>
        <v>0.89689059459459441</v>
      </c>
      <c r="AF153" s="261">
        <v>0.748</v>
      </c>
    </row>
    <row r="154" spans="2:35" ht="18.649999999999999" customHeight="1" x14ac:dyDescent="0.35">
      <c r="B154" s="322" t="s">
        <v>128</v>
      </c>
      <c r="C154" s="293" t="s">
        <v>97</v>
      </c>
      <c r="D154" s="264" t="s">
        <v>561</v>
      </c>
      <c r="E154" s="264" t="s">
        <v>45</v>
      </c>
      <c r="F154" s="263" t="s">
        <v>87</v>
      </c>
      <c r="G154" s="263" t="s">
        <v>98</v>
      </c>
      <c r="H154" s="265" t="s">
        <v>90</v>
      </c>
      <c r="I154" s="265" t="s">
        <v>609</v>
      </c>
      <c r="J154" s="552" t="s">
        <v>96</v>
      </c>
      <c r="K154" s="263" t="s">
        <v>89</v>
      </c>
      <c r="L154" s="266">
        <f t="shared" si="212"/>
        <v>21</v>
      </c>
      <c r="M154" s="267">
        <v>45460</v>
      </c>
      <c r="N154" s="267">
        <v>45480</v>
      </c>
      <c r="O154" s="266">
        <f t="shared" si="213"/>
        <v>311258.25728399999</v>
      </c>
      <c r="P154" s="268" t="s">
        <v>17</v>
      </c>
      <c r="Q154" s="269">
        <v>1E-3</v>
      </c>
      <c r="R154" s="266">
        <f t="shared" ref="R154:R155" si="216">O154*Q154</f>
        <v>311.25825728400002</v>
      </c>
      <c r="S154" s="270">
        <v>0.7</v>
      </c>
      <c r="T154" s="271">
        <f>O154*S154</f>
        <v>217880.78009879999</v>
      </c>
      <c r="U154" s="266">
        <f t="shared" ref="U154" si="217">AB154*AC154</f>
        <v>311258.25728399999</v>
      </c>
      <c r="V154" s="266">
        <v>1</v>
      </c>
      <c r="W154" s="266"/>
      <c r="X154" s="272">
        <v>70</v>
      </c>
      <c r="Y154" s="273">
        <f t="shared" si="215"/>
        <v>21788.078009879999</v>
      </c>
      <c r="Z154" s="273">
        <f t="shared" si="211"/>
        <v>69.999999999999986</v>
      </c>
      <c r="AA154" s="273">
        <f t="shared" ref="AA154:AA159" si="218">Y154/R154</f>
        <v>69.999999999999986</v>
      </c>
      <c r="AB154" s="274">
        <f>750360*85%</f>
        <v>637806</v>
      </c>
      <c r="AC154" s="275">
        <v>0.488014</v>
      </c>
      <c r="AE154" s="260"/>
      <c r="AF154" s="261">
        <v>0.44</v>
      </c>
      <c r="AG154" s="260"/>
    </row>
    <row r="155" spans="2:35" ht="18.649999999999999" customHeight="1" x14ac:dyDescent="0.35">
      <c r="B155" s="322" t="s">
        <v>128</v>
      </c>
      <c r="C155" s="293" t="s">
        <v>97</v>
      </c>
      <c r="D155" s="264" t="s">
        <v>86</v>
      </c>
      <c r="E155" s="264" t="s">
        <v>45</v>
      </c>
      <c r="F155" s="263" t="s">
        <v>87</v>
      </c>
      <c r="G155" s="263" t="s">
        <v>98</v>
      </c>
      <c r="H155" s="265" t="s">
        <v>90</v>
      </c>
      <c r="I155" s="265" t="s">
        <v>610</v>
      </c>
      <c r="J155" s="552" t="s">
        <v>96</v>
      </c>
      <c r="K155" s="263" t="s">
        <v>89</v>
      </c>
      <c r="L155" s="266">
        <f t="shared" si="212"/>
        <v>21</v>
      </c>
      <c r="M155" s="267">
        <v>45460</v>
      </c>
      <c r="N155" s="267">
        <v>45480</v>
      </c>
      <c r="O155" s="266">
        <f>Y155/X155*1000</f>
        <v>464285.25</v>
      </c>
      <c r="P155" s="268" t="s">
        <v>17</v>
      </c>
      <c r="Q155" s="269">
        <v>1E-3</v>
      </c>
      <c r="R155" s="266">
        <f t="shared" si="216"/>
        <v>464.28525000000002</v>
      </c>
      <c r="S155" s="270">
        <v>0.8</v>
      </c>
      <c r="T155" s="271">
        <f>O155*S155</f>
        <v>371428.2</v>
      </c>
      <c r="U155" s="266">
        <f>O155/V155</f>
        <v>331632.32142857148</v>
      </c>
      <c r="V155" s="266">
        <v>1.4</v>
      </c>
      <c r="W155" s="266"/>
      <c r="X155" s="272">
        <v>80</v>
      </c>
      <c r="Y155" s="273">
        <v>37142.82</v>
      </c>
      <c r="Z155" s="273">
        <f t="shared" si="211"/>
        <v>80</v>
      </c>
      <c r="AA155" s="273">
        <f t="shared" si="218"/>
        <v>80</v>
      </c>
      <c r="AB155" s="274">
        <v>750360</v>
      </c>
      <c r="AC155" s="275">
        <f>U155/AB155</f>
        <v>0.44196428571428575</v>
      </c>
      <c r="AE155" s="260"/>
      <c r="AF155" s="261">
        <v>0.44</v>
      </c>
      <c r="AG155" s="260"/>
    </row>
    <row r="156" spans="2:35" ht="18.649999999999999" customHeight="1" x14ac:dyDescent="0.35">
      <c r="B156" s="322" t="s">
        <v>128</v>
      </c>
      <c r="C156" s="293" t="s">
        <v>97</v>
      </c>
      <c r="D156" s="263" t="s">
        <v>99</v>
      </c>
      <c r="E156" s="263" t="s">
        <v>46</v>
      </c>
      <c r="F156" s="263" t="s">
        <v>100</v>
      </c>
      <c r="G156" s="263" t="s">
        <v>101</v>
      </c>
      <c r="H156" s="265" t="s">
        <v>88</v>
      </c>
      <c r="I156" s="265" t="s">
        <v>102</v>
      </c>
      <c r="J156" s="553" t="s">
        <v>96</v>
      </c>
      <c r="K156" s="263" t="s">
        <v>89</v>
      </c>
      <c r="L156" s="266">
        <f t="shared" si="212"/>
        <v>21</v>
      </c>
      <c r="M156" s="267">
        <v>45460</v>
      </c>
      <c r="N156" s="267">
        <v>45480</v>
      </c>
      <c r="O156" s="266">
        <f>U156*V156</f>
        <v>138237.57351625647</v>
      </c>
      <c r="P156" s="268" t="s">
        <v>17</v>
      </c>
      <c r="Q156" s="269">
        <v>1.4999999999999999E-2</v>
      </c>
      <c r="R156" s="266">
        <f>O156*Q156</f>
        <v>2073.5636027438468</v>
      </c>
      <c r="S156" s="268" t="s">
        <v>17</v>
      </c>
      <c r="T156" s="271" t="s">
        <v>17</v>
      </c>
      <c r="U156" s="266">
        <f>AB156*AC156</f>
        <v>162632.43943088996</v>
      </c>
      <c r="V156" s="266">
        <v>0.85</v>
      </c>
      <c r="W156" s="266"/>
      <c r="X156" s="272">
        <v>105</v>
      </c>
      <c r="Y156" s="273">
        <f t="shared" si="215"/>
        <v>14514.945219206929</v>
      </c>
      <c r="Z156" s="273">
        <f t="shared" si="211"/>
        <v>105</v>
      </c>
      <c r="AA156" s="273">
        <f t="shared" si="218"/>
        <v>7.0000000000000009</v>
      </c>
      <c r="AB156" s="274">
        <f>AB154*95%</f>
        <v>605915.69999999995</v>
      </c>
      <c r="AC156" s="275">
        <v>0.26840769999999997</v>
      </c>
      <c r="AE156" s="260"/>
      <c r="AF156" s="261">
        <v>0.22</v>
      </c>
      <c r="AG156" s="260"/>
    </row>
    <row r="157" spans="2:35" ht="18.649999999999999" customHeight="1" x14ac:dyDescent="0.35">
      <c r="B157" s="322" t="str">
        <f>B156</f>
        <v>Patna</v>
      </c>
      <c r="C157" s="293" t="s">
        <v>97</v>
      </c>
      <c r="D157" s="310" t="s">
        <v>103</v>
      </c>
      <c r="E157" s="263" t="s">
        <v>46</v>
      </c>
      <c r="F157" s="310" t="s">
        <v>100</v>
      </c>
      <c r="G157" s="263" t="s">
        <v>98</v>
      </c>
      <c r="H157" s="265" t="s">
        <v>88</v>
      </c>
      <c r="I157" s="265" t="s">
        <v>104</v>
      </c>
      <c r="J157" s="553" t="s">
        <v>96</v>
      </c>
      <c r="K157" s="263" t="s">
        <v>105</v>
      </c>
      <c r="L157" s="266">
        <f t="shared" si="212"/>
        <v>21</v>
      </c>
      <c r="M157" s="267">
        <v>45460</v>
      </c>
      <c r="N157" s="267">
        <v>45480</v>
      </c>
      <c r="O157" s="266">
        <f>U157*V157</f>
        <v>252312.92214981597</v>
      </c>
      <c r="P157" s="268" t="s">
        <v>17</v>
      </c>
      <c r="Q157" s="269">
        <v>1.4999999999999999E-2</v>
      </c>
      <c r="R157" s="266">
        <f>O157*Q157</f>
        <v>3784.6938322472397</v>
      </c>
      <c r="S157" s="268" t="s">
        <v>17</v>
      </c>
      <c r="T157" s="271" t="s">
        <v>17</v>
      </c>
      <c r="U157" s="266">
        <f>AB157*AC157</f>
        <v>296838.73194095999</v>
      </c>
      <c r="V157" s="266">
        <v>0.85</v>
      </c>
      <c r="W157" s="266"/>
      <c r="X157" s="272">
        <v>120</v>
      </c>
      <c r="Y157" s="273">
        <f t="shared" si="215"/>
        <v>30277.550657977914</v>
      </c>
      <c r="Z157" s="273">
        <f t="shared" si="211"/>
        <v>119.99999999999999</v>
      </c>
      <c r="AA157" s="273">
        <f t="shared" si="218"/>
        <v>7.9999999999999991</v>
      </c>
      <c r="AB157" s="274">
        <v>691203</v>
      </c>
      <c r="AC157" s="275">
        <v>0.42945232</v>
      </c>
      <c r="AE157" s="260"/>
      <c r="AF157" s="261">
        <v>0.35200000000000004</v>
      </c>
      <c r="AG157" s="260"/>
      <c r="AH157" s="320"/>
    </row>
    <row r="158" spans="2:35" ht="18.649999999999999" customHeight="1" x14ac:dyDescent="0.35">
      <c r="B158" s="322" t="str">
        <f>B157</f>
        <v>Patna</v>
      </c>
      <c r="C158" s="293" t="s">
        <v>97</v>
      </c>
      <c r="D158" s="310" t="s">
        <v>106</v>
      </c>
      <c r="E158" s="311" t="s">
        <v>46</v>
      </c>
      <c r="F158" s="311" t="s">
        <v>91</v>
      </c>
      <c r="G158" s="263" t="s">
        <v>98</v>
      </c>
      <c r="H158" s="310" t="s">
        <v>88</v>
      </c>
      <c r="I158" s="263" t="s">
        <v>107</v>
      </c>
      <c r="J158" s="553" t="s">
        <v>96</v>
      </c>
      <c r="K158" s="263" t="s">
        <v>89</v>
      </c>
      <c r="L158" s="266">
        <f t="shared" si="212"/>
        <v>21</v>
      </c>
      <c r="M158" s="267">
        <v>45460</v>
      </c>
      <c r="N158" s="267">
        <v>45480</v>
      </c>
      <c r="O158" s="266">
        <f>U158*V158</f>
        <v>47374.447552013997</v>
      </c>
      <c r="P158" s="268" t="s">
        <v>17</v>
      </c>
      <c r="Q158" s="312">
        <v>0.01</v>
      </c>
      <c r="R158" s="266">
        <f t="shared" ref="R158" si="219">O158*Q158</f>
        <v>473.74447552013999</v>
      </c>
      <c r="S158" s="268" t="s">
        <v>17</v>
      </c>
      <c r="T158" s="271" t="s">
        <v>17</v>
      </c>
      <c r="U158" s="266">
        <f t="shared" ref="U158" si="220">AB158*AC158</f>
        <v>55734.644178839997</v>
      </c>
      <c r="V158" s="266">
        <v>0.85</v>
      </c>
      <c r="W158" s="266"/>
      <c r="X158" s="272">
        <v>200</v>
      </c>
      <c r="Y158" s="273">
        <f>O158*X158/1000</f>
        <v>9474.8895104027979</v>
      </c>
      <c r="Z158" s="273">
        <f t="shared" si="211"/>
        <v>199.99999999999994</v>
      </c>
      <c r="AA158" s="273">
        <f t="shared" si="218"/>
        <v>19.999999999999996</v>
      </c>
      <c r="AB158" s="274">
        <v>188772</v>
      </c>
      <c r="AC158" s="275">
        <v>0.29524846999999999</v>
      </c>
      <c r="AE158" s="260"/>
      <c r="AF158" s="261">
        <v>0.22</v>
      </c>
      <c r="AG158" s="260"/>
      <c r="AH158" s="562"/>
    </row>
    <row r="159" spans="2:35" ht="18.649999999999999" customHeight="1" x14ac:dyDescent="0.35">
      <c r="B159" s="277" t="str">
        <f>B156</f>
        <v>Patna</v>
      </c>
      <c r="C159" s="278"/>
      <c r="D159" s="279" t="s">
        <v>18</v>
      </c>
      <c r="E159" s="280"/>
      <c r="F159" s="279"/>
      <c r="G159" s="280"/>
      <c r="H159" s="280"/>
      <c r="I159" s="281"/>
      <c r="J159" s="546"/>
      <c r="K159" s="283"/>
      <c r="L159" s="284"/>
      <c r="M159" s="284"/>
      <c r="N159" s="284"/>
      <c r="O159" s="284">
        <f>SUM(O152:O158)</f>
        <v>4217795.4711471107</v>
      </c>
      <c r="P159" s="284"/>
      <c r="Q159" s="285">
        <f>R159/O159</f>
        <v>1.6851327823779452E-3</v>
      </c>
      <c r="R159" s="284">
        <f>SUM(R152:R158)</f>
        <v>7107.545417795227</v>
      </c>
      <c r="S159" s="286"/>
      <c r="T159" s="284">
        <f>SUM(T152:T158)</f>
        <v>3046018.0290316707</v>
      </c>
      <c r="U159" s="284">
        <f>U155+(SUM(U152:U152,U156:U158,U153:U154)*13%)</f>
        <v>518431.7190143452</v>
      </c>
      <c r="V159" s="284">
        <f>O159/U159</f>
        <v>8.135681742556347</v>
      </c>
      <c r="W159" s="284"/>
      <c r="X159" s="287"/>
      <c r="Y159" s="317">
        <f>SUM(Y152:Y158)</f>
        <v>459648.48539347562</v>
      </c>
      <c r="Z159" s="288">
        <f t="shared" si="211"/>
        <v>108.97837236011479</v>
      </c>
      <c r="AA159" s="288">
        <f t="shared" si="218"/>
        <v>64.670495702025264</v>
      </c>
      <c r="AB159" s="284">
        <f>AB155+(SUM(AB152:AB154,AB156:AB158)*2%)</f>
        <v>806704.03399999999</v>
      </c>
      <c r="AC159" s="289">
        <f>U159/AB159</f>
        <v>0.64265417943149294</v>
      </c>
      <c r="AD159" s="261"/>
      <c r="AE159" s="290"/>
      <c r="AF159" s="261">
        <v>0.62867921353871203</v>
      </c>
      <c r="AG159" s="290"/>
      <c r="AH159" s="460"/>
      <c r="AI159" s="459"/>
    </row>
    <row r="160" spans="2:35" ht="18.649999999999999" customHeight="1" x14ac:dyDescent="0.35">
      <c r="B160" s="322" t="s">
        <v>129</v>
      </c>
      <c r="C160" s="293" t="s">
        <v>93</v>
      </c>
      <c r="D160" s="294" t="s">
        <v>94</v>
      </c>
      <c r="E160" s="294" t="s">
        <v>45</v>
      </c>
      <c r="F160" s="295" t="s">
        <v>87</v>
      </c>
      <c r="G160" s="295" t="s">
        <v>50</v>
      </c>
      <c r="H160" s="296" t="s">
        <v>95</v>
      </c>
      <c r="I160" s="296" t="s">
        <v>608</v>
      </c>
      <c r="J160" s="551" t="s">
        <v>96</v>
      </c>
      <c r="K160" s="295" t="s">
        <v>89</v>
      </c>
      <c r="L160" s="298">
        <f t="shared" ref="L160:L166" si="221">N160-(M160-1)</f>
        <v>21</v>
      </c>
      <c r="M160" s="299">
        <v>45460</v>
      </c>
      <c r="N160" s="299">
        <v>45480</v>
      </c>
      <c r="O160" s="298">
        <f t="shared" ref="O160:O162" si="222">U160*V160</f>
        <v>488521.25346393604</v>
      </c>
      <c r="P160" s="300" t="s">
        <v>17</v>
      </c>
      <c r="Q160" s="301"/>
      <c r="R160" s="298"/>
      <c r="S160" s="302">
        <v>0.85</v>
      </c>
      <c r="T160" s="303">
        <f t="shared" ref="T160:T161" si="223">O160*S160</f>
        <v>415243.06544434564</v>
      </c>
      <c r="U160" s="298">
        <f>AB160*AC160</f>
        <v>119735.6013392</v>
      </c>
      <c r="V160" s="298">
        <f>3*136%</f>
        <v>4.08</v>
      </c>
      <c r="W160" s="298"/>
      <c r="X160" s="304">
        <v>125</v>
      </c>
      <c r="Y160" s="305">
        <f t="shared" ref="Y160:Y165" si="224">(O160/1000)*X160</f>
        <v>61065.156682992005</v>
      </c>
      <c r="Z160" s="305">
        <f t="shared" si="211"/>
        <v>125</v>
      </c>
      <c r="AA160" s="305"/>
      <c r="AB160" s="306">
        <v>139405</v>
      </c>
      <c r="AC160" s="307">
        <v>0.85890464</v>
      </c>
      <c r="AD160" s="261"/>
      <c r="AE160" s="260"/>
      <c r="AF160" s="261">
        <v>0.70400000000000007</v>
      </c>
      <c r="AG160" s="260"/>
    </row>
    <row r="161" spans="2:35" ht="18.649999999999999" customHeight="1" x14ac:dyDescent="0.35">
      <c r="B161" s="322" t="s">
        <v>129</v>
      </c>
      <c r="C161" s="293" t="s">
        <v>93</v>
      </c>
      <c r="D161" s="295" t="s">
        <v>86</v>
      </c>
      <c r="E161" s="295" t="s">
        <v>45</v>
      </c>
      <c r="F161" s="295" t="s">
        <v>87</v>
      </c>
      <c r="G161" s="296" t="s">
        <v>50</v>
      </c>
      <c r="H161" s="296" t="s">
        <v>95</v>
      </c>
      <c r="I161" s="296" t="s">
        <v>610</v>
      </c>
      <c r="J161" s="551" t="s">
        <v>96</v>
      </c>
      <c r="K161" s="295" t="s">
        <v>89</v>
      </c>
      <c r="L161" s="298">
        <f t="shared" si="221"/>
        <v>21</v>
      </c>
      <c r="M161" s="299">
        <v>45460</v>
      </c>
      <c r="N161" s="299">
        <v>45480</v>
      </c>
      <c r="O161" s="298">
        <f>Y161/X161*1000</f>
        <v>5072220.3583440008</v>
      </c>
      <c r="P161" s="300" t="s">
        <v>17</v>
      </c>
      <c r="Q161" s="301"/>
      <c r="R161" s="298"/>
      <c r="S161" s="302">
        <v>0.8</v>
      </c>
      <c r="T161" s="303">
        <f t="shared" si="223"/>
        <v>4057776.2866752008</v>
      </c>
      <c r="U161" s="298">
        <f>O161/V161</f>
        <v>913913.57808000012</v>
      </c>
      <c r="V161" s="298">
        <v>5.55</v>
      </c>
      <c r="W161" s="298"/>
      <c r="X161" s="304">
        <v>110</v>
      </c>
      <c r="Y161" s="305">
        <v>557944.23941784003</v>
      </c>
      <c r="Z161" s="305">
        <f t="shared" si="211"/>
        <v>109.99999999999999</v>
      </c>
      <c r="AA161" s="305"/>
      <c r="AB161" s="306">
        <v>1018980</v>
      </c>
      <c r="AC161" s="307">
        <f>U161/AB161</f>
        <v>0.89689059459459475</v>
      </c>
      <c r="AF161" s="261">
        <v>0.748</v>
      </c>
    </row>
    <row r="162" spans="2:35" ht="18.649999999999999" customHeight="1" x14ac:dyDescent="0.35">
      <c r="B162" s="322" t="s">
        <v>129</v>
      </c>
      <c r="C162" s="293" t="s">
        <v>97</v>
      </c>
      <c r="D162" s="264" t="s">
        <v>561</v>
      </c>
      <c r="E162" s="264" t="s">
        <v>45</v>
      </c>
      <c r="F162" s="263" t="s">
        <v>87</v>
      </c>
      <c r="G162" s="263" t="s">
        <v>98</v>
      </c>
      <c r="H162" s="265" t="s">
        <v>90</v>
      </c>
      <c r="I162" s="265" t="s">
        <v>609</v>
      </c>
      <c r="J162" s="552" t="s">
        <v>96</v>
      </c>
      <c r="K162" s="263" t="s">
        <v>89</v>
      </c>
      <c r="L162" s="266">
        <f t="shared" si="221"/>
        <v>21</v>
      </c>
      <c r="M162" s="267">
        <v>45460</v>
      </c>
      <c r="N162" s="267">
        <v>45480</v>
      </c>
      <c r="O162" s="266">
        <f t="shared" si="222"/>
        <v>779519.70000000007</v>
      </c>
      <c r="P162" s="268" t="s">
        <v>17</v>
      </c>
      <c r="Q162" s="269">
        <v>1E-3</v>
      </c>
      <c r="R162" s="266">
        <f t="shared" ref="R162:R163" si="225">O162*Q162</f>
        <v>779.51970000000006</v>
      </c>
      <c r="S162" s="270">
        <v>0.7</v>
      </c>
      <c r="T162" s="271">
        <f>O162*S162</f>
        <v>545663.79</v>
      </c>
      <c r="U162" s="266">
        <f t="shared" ref="U162" si="226">AB162*AC162</f>
        <v>779519.70000000007</v>
      </c>
      <c r="V162" s="266">
        <v>1</v>
      </c>
      <c r="W162" s="266"/>
      <c r="X162" s="272">
        <v>70</v>
      </c>
      <c r="Y162" s="273">
        <f t="shared" si="224"/>
        <v>54566.379000000001</v>
      </c>
      <c r="Z162" s="273">
        <f t="shared" si="211"/>
        <v>69.999999999999986</v>
      </c>
      <c r="AA162" s="273">
        <f t="shared" ref="AA162:AA167" si="227">Y162/R162</f>
        <v>70</v>
      </c>
      <c r="AB162" s="274">
        <f>2037960*85%</f>
        <v>1732266</v>
      </c>
      <c r="AC162" s="275">
        <v>0.45</v>
      </c>
      <c r="AE162" s="260"/>
      <c r="AF162" s="261">
        <v>0.39600000000000002</v>
      </c>
      <c r="AG162" s="260"/>
    </row>
    <row r="163" spans="2:35" ht="18.649999999999999" customHeight="1" x14ac:dyDescent="0.35">
      <c r="B163" s="322" t="s">
        <v>129</v>
      </c>
      <c r="C163" s="293" t="s">
        <v>97</v>
      </c>
      <c r="D163" s="264" t="s">
        <v>86</v>
      </c>
      <c r="E163" s="264" t="s">
        <v>45</v>
      </c>
      <c r="F163" s="263" t="s">
        <v>87</v>
      </c>
      <c r="G163" s="263" t="s">
        <v>98</v>
      </c>
      <c r="H163" s="265" t="s">
        <v>90</v>
      </c>
      <c r="I163" s="265" t="s">
        <v>610</v>
      </c>
      <c r="J163" s="552" t="s">
        <v>96</v>
      </c>
      <c r="K163" s="263" t="s">
        <v>89</v>
      </c>
      <c r="L163" s="266">
        <f t="shared" si="221"/>
        <v>21</v>
      </c>
      <c r="M163" s="267">
        <v>45460</v>
      </c>
      <c r="N163" s="267">
        <v>45480</v>
      </c>
      <c r="O163" s="266">
        <f>Y163/X163*1000</f>
        <v>1120878</v>
      </c>
      <c r="P163" s="268" t="s">
        <v>17</v>
      </c>
      <c r="Q163" s="269">
        <v>1E-3</v>
      </c>
      <c r="R163" s="266">
        <f t="shared" si="225"/>
        <v>1120.8779999999999</v>
      </c>
      <c r="S163" s="270">
        <v>0.8</v>
      </c>
      <c r="T163" s="271">
        <f>O163*S163</f>
        <v>896702.4</v>
      </c>
      <c r="U163" s="266">
        <f>O163/V163</f>
        <v>800627.14285714296</v>
      </c>
      <c r="V163" s="266">
        <v>1.4</v>
      </c>
      <c r="W163" s="266"/>
      <c r="X163" s="272">
        <v>80</v>
      </c>
      <c r="Y163" s="273">
        <v>89670.239999999991</v>
      </c>
      <c r="Z163" s="273">
        <f t="shared" si="211"/>
        <v>79.999999999999986</v>
      </c>
      <c r="AA163" s="273">
        <f t="shared" si="227"/>
        <v>80</v>
      </c>
      <c r="AB163" s="274">
        <v>2037960</v>
      </c>
      <c r="AC163" s="275">
        <f>U163/AB163</f>
        <v>0.3928571428571429</v>
      </c>
      <c r="AE163" s="260"/>
      <c r="AF163" s="261">
        <v>0.39600000000000002</v>
      </c>
      <c r="AG163" s="260"/>
    </row>
    <row r="164" spans="2:35" ht="18.649999999999999" customHeight="1" x14ac:dyDescent="0.35">
      <c r="B164" s="322" t="s">
        <v>129</v>
      </c>
      <c r="C164" s="293" t="s">
        <v>97</v>
      </c>
      <c r="D164" s="263" t="s">
        <v>99</v>
      </c>
      <c r="E164" s="263" t="s">
        <v>46</v>
      </c>
      <c r="F164" s="263" t="s">
        <v>100</v>
      </c>
      <c r="G164" s="263" t="s">
        <v>101</v>
      </c>
      <c r="H164" s="265" t="s">
        <v>88</v>
      </c>
      <c r="I164" s="265" t="s">
        <v>102</v>
      </c>
      <c r="J164" s="553" t="s">
        <v>96</v>
      </c>
      <c r="K164" s="263" t="s">
        <v>89</v>
      </c>
      <c r="L164" s="266">
        <f t="shared" si="221"/>
        <v>21</v>
      </c>
      <c r="M164" s="267">
        <v>45460</v>
      </c>
      <c r="N164" s="267">
        <v>45480</v>
      </c>
      <c r="O164" s="266">
        <f>U164*V164</f>
        <v>375449.97777492146</v>
      </c>
      <c r="P164" s="268" t="s">
        <v>17</v>
      </c>
      <c r="Q164" s="269">
        <v>1.4999999999999999E-2</v>
      </c>
      <c r="R164" s="266">
        <f>O164*Q164</f>
        <v>5631.7496666238212</v>
      </c>
      <c r="S164" s="268" t="s">
        <v>17</v>
      </c>
      <c r="T164" s="271" t="s">
        <v>17</v>
      </c>
      <c r="U164" s="266">
        <f>AB164*AC164</f>
        <v>441705.85620578995</v>
      </c>
      <c r="V164" s="266">
        <v>0.85</v>
      </c>
      <c r="W164" s="266"/>
      <c r="X164" s="272">
        <v>105</v>
      </c>
      <c r="Y164" s="273">
        <f t="shared" si="224"/>
        <v>39422.247666366755</v>
      </c>
      <c r="Z164" s="273">
        <f t="shared" si="211"/>
        <v>105.00000000000001</v>
      </c>
      <c r="AA164" s="273">
        <f t="shared" si="227"/>
        <v>7.0000000000000009</v>
      </c>
      <c r="AB164" s="274">
        <f>AB162*95%</f>
        <v>1645652.7</v>
      </c>
      <c r="AC164" s="275">
        <v>0.26840769999999997</v>
      </c>
      <c r="AE164" s="260"/>
      <c r="AF164" s="261">
        <v>0.22</v>
      </c>
      <c r="AG164" s="260"/>
    </row>
    <row r="165" spans="2:35" ht="18.649999999999999" customHeight="1" x14ac:dyDescent="0.35">
      <c r="B165" s="322" t="str">
        <f>B164</f>
        <v>Surat</v>
      </c>
      <c r="C165" s="293" t="s">
        <v>97</v>
      </c>
      <c r="D165" s="310" t="s">
        <v>103</v>
      </c>
      <c r="E165" s="263" t="s">
        <v>46</v>
      </c>
      <c r="F165" s="310" t="s">
        <v>100</v>
      </c>
      <c r="G165" s="263" t="s">
        <v>98</v>
      </c>
      <c r="H165" s="265" t="s">
        <v>88</v>
      </c>
      <c r="I165" s="265" t="s">
        <v>104</v>
      </c>
      <c r="J165" s="553" t="s">
        <v>96</v>
      </c>
      <c r="K165" s="263" t="s">
        <v>105</v>
      </c>
      <c r="L165" s="266">
        <f t="shared" si="221"/>
        <v>21</v>
      </c>
      <c r="M165" s="267">
        <v>45460</v>
      </c>
      <c r="N165" s="267">
        <v>45480</v>
      </c>
      <c r="O165" s="266">
        <f>U165*V165</f>
        <v>329907.93482838396</v>
      </c>
      <c r="P165" s="268" t="s">
        <v>17</v>
      </c>
      <c r="Q165" s="269">
        <v>1.4999999999999999E-2</v>
      </c>
      <c r="R165" s="266">
        <f>O165*Q165</f>
        <v>4948.6190224257589</v>
      </c>
      <c r="S165" s="268" t="s">
        <v>17</v>
      </c>
      <c r="T165" s="271" t="s">
        <v>17</v>
      </c>
      <c r="U165" s="266">
        <f>AB165*AC165</f>
        <v>388126.98215103999</v>
      </c>
      <c r="V165" s="266">
        <v>0.85</v>
      </c>
      <c r="W165" s="266"/>
      <c r="X165" s="272">
        <v>120</v>
      </c>
      <c r="Y165" s="273">
        <f t="shared" si="224"/>
        <v>39588.952179406078</v>
      </c>
      <c r="Z165" s="273">
        <f t="shared" si="211"/>
        <v>120.00000000000001</v>
      </c>
      <c r="AA165" s="273">
        <f t="shared" si="227"/>
        <v>8.0000000000000018</v>
      </c>
      <c r="AB165" s="274">
        <v>903772</v>
      </c>
      <c r="AC165" s="275">
        <v>0.42945232</v>
      </c>
      <c r="AE165" s="260"/>
      <c r="AF165" s="261">
        <v>0.35200000000000004</v>
      </c>
      <c r="AG165" s="260"/>
      <c r="AH165" s="320"/>
    </row>
    <row r="166" spans="2:35" ht="18.649999999999999" customHeight="1" x14ac:dyDescent="0.35">
      <c r="B166" s="322" t="str">
        <f>B165</f>
        <v>Surat</v>
      </c>
      <c r="C166" s="293" t="s">
        <v>97</v>
      </c>
      <c r="D166" s="310" t="s">
        <v>106</v>
      </c>
      <c r="E166" s="311" t="s">
        <v>46</v>
      </c>
      <c r="F166" s="311" t="s">
        <v>91</v>
      </c>
      <c r="G166" s="263" t="s">
        <v>98</v>
      </c>
      <c r="H166" s="310" t="s">
        <v>88</v>
      </c>
      <c r="I166" s="263" t="s">
        <v>107</v>
      </c>
      <c r="J166" s="553" t="s">
        <v>96</v>
      </c>
      <c r="K166" s="263" t="s">
        <v>89</v>
      </c>
      <c r="L166" s="266">
        <f t="shared" si="221"/>
        <v>21</v>
      </c>
      <c r="M166" s="267">
        <v>45460</v>
      </c>
      <c r="N166" s="267">
        <v>45480</v>
      </c>
      <c r="O166" s="266">
        <f>U166*V166</f>
        <v>295448.08749056701</v>
      </c>
      <c r="P166" s="268" t="s">
        <v>17</v>
      </c>
      <c r="Q166" s="312">
        <v>0.01</v>
      </c>
      <c r="R166" s="266">
        <f t="shared" ref="R166" si="228">O166*Q166</f>
        <v>2954.4808749056701</v>
      </c>
      <c r="S166" s="268" t="s">
        <v>17</v>
      </c>
      <c r="T166" s="271" t="s">
        <v>17</v>
      </c>
      <c r="U166" s="266">
        <f t="shared" ref="U166" si="229">AB166*AC166</f>
        <v>347585.98528302001</v>
      </c>
      <c r="V166" s="266">
        <v>0.85</v>
      </c>
      <c r="W166" s="266"/>
      <c r="X166" s="272">
        <v>200</v>
      </c>
      <c r="Y166" s="273">
        <f>O166*X166/1000</f>
        <v>59089.617498113403</v>
      </c>
      <c r="Z166" s="273">
        <f t="shared" si="211"/>
        <v>200</v>
      </c>
      <c r="AA166" s="273">
        <f t="shared" si="227"/>
        <v>20</v>
      </c>
      <c r="AB166" s="274">
        <v>1177266</v>
      </c>
      <c r="AC166" s="275">
        <v>0.29524846999999999</v>
      </c>
      <c r="AE166" s="260"/>
      <c r="AF166" s="261">
        <v>0.22</v>
      </c>
      <c r="AG166" s="260"/>
      <c r="AH166" s="562"/>
    </row>
    <row r="167" spans="2:35" ht="18.649999999999999" customHeight="1" x14ac:dyDescent="0.35">
      <c r="B167" s="277" t="str">
        <f>B164</f>
        <v>Surat</v>
      </c>
      <c r="C167" s="278"/>
      <c r="D167" s="279" t="s">
        <v>18</v>
      </c>
      <c r="E167" s="280"/>
      <c r="F167" s="279"/>
      <c r="G167" s="280"/>
      <c r="H167" s="280"/>
      <c r="I167" s="281"/>
      <c r="J167" s="546"/>
      <c r="K167" s="283"/>
      <c r="L167" s="284"/>
      <c r="M167" s="284"/>
      <c r="N167" s="284"/>
      <c r="O167" s="284">
        <f>SUM(O160:O166)</f>
        <v>8461945.3119018096</v>
      </c>
      <c r="P167" s="284"/>
      <c r="Q167" s="285">
        <f>R167/O167</f>
        <v>1.8240778798517432E-3</v>
      </c>
      <c r="R167" s="284">
        <f>SUM(R160:R166)</f>
        <v>15435.247263955251</v>
      </c>
      <c r="S167" s="286"/>
      <c r="T167" s="284">
        <f>SUM(T160:T166)</f>
        <v>5915385.5421195468</v>
      </c>
      <c r="U167" s="284">
        <f>U163+(SUM(U160:U162,U164:U166)*20%)</f>
        <v>1398744.6834689528</v>
      </c>
      <c r="V167" s="284">
        <f>O167/U167</f>
        <v>6.0496711171875814</v>
      </c>
      <c r="W167" s="284"/>
      <c r="X167" s="287"/>
      <c r="Y167" s="317">
        <f>SUM(Y160:Y166)</f>
        <v>901346.83244471822</v>
      </c>
      <c r="Z167" s="288">
        <f t="shared" si="211"/>
        <v>106.51768585374394</v>
      </c>
      <c r="AA167" s="288">
        <f t="shared" si="227"/>
        <v>58.395360762996283</v>
      </c>
      <c r="AB167" s="284">
        <f>AB163+(SUM(AB160:AB162,AB164:AB166)*2%)</f>
        <v>2170306.8339999998</v>
      </c>
      <c r="AC167" s="289">
        <f>U167/AB167</f>
        <v>0.64449167350728298</v>
      </c>
      <c r="AD167" s="261"/>
      <c r="AE167" s="290"/>
      <c r="AF167" s="261">
        <v>0.63957217681567957</v>
      </c>
      <c r="AG167" s="290"/>
      <c r="AH167" s="460"/>
      <c r="AI167" s="459"/>
    </row>
    <row r="168" spans="2:35" ht="18.649999999999999" customHeight="1" x14ac:dyDescent="0.35">
      <c r="B168" s="322" t="s">
        <v>130</v>
      </c>
      <c r="C168" s="293" t="s">
        <v>93</v>
      </c>
      <c r="D168" s="294" t="s">
        <v>94</v>
      </c>
      <c r="E168" s="294" t="s">
        <v>45</v>
      </c>
      <c r="F168" s="295" t="s">
        <v>87</v>
      </c>
      <c r="G168" s="295" t="s">
        <v>50</v>
      </c>
      <c r="H168" s="296" t="s">
        <v>95</v>
      </c>
      <c r="I168" s="296" t="s">
        <v>608</v>
      </c>
      <c r="J168" s="551" t="s">
        <v>96</v>
      </c>
      <c r="K168" s="295" t="s">
        <v>89</v>
      </c>
      <c r="L168" s="298">
        <f t="shared" ref="L168:L174" si="230">N168-(M168-1)</f>
        <v>21</v>
      </c>
      <c r="M168" s="299">
        <v>45460</v>
      </c>
      <c r="N168" s="299">
        <v>45480</v>
      </c>
      <c r="O168" s="298">
        <f t="shared" ref="O168:O170" si="231">U168*V168</f>
        <v>332263.13724172802</v>
      </c>
      <c r="P168" s="300" t="s">
        <v>17</v>
      </c>
      <c r="Q168" s="301"/>
      <c r="R168" s="298"/>
      <c r="S168" s="302">
        <v>0.85</v>
      </c>
      <c r="T168" s="303">
        <f t="shared" ref="T168:T169" si="232">O168*S168</f>
        <v>282423.66665546881</v>
      </c>
      <c r="U168" s="298">
        <f>AB168*AC168</f>
        <v>81437.043441600006</v>
      </c>
      <c r="V168" s="298">
        <f>3*136%</f>
        <v>4.08</v>
      </c>
      <c r="W168" s="298"/>
      <c r="X168" s="304">
        <v>125</v>
      </c>
      <c r="Y168" s="305">
        <f t="shared" ref="Y168:Y173" si="233">(O168/1000)*X168</f>
        <v>41532.892155216003</v>
      </c>
      <c r="Z168" s="305">
        <f t="shared" si="211"/>
        <v>125</v>
      </c>
      <c r="AA168" s="305"/>
      <c r="AB168" s="306">
        <v>94815</v>
      </c>
      <c r="AC168" s="307">
        <v>0.85890464</v>
      </c>
      <c r="AD168" s="261"/>
      <c r="AE168" s="260"/>
      <c r="AF168" s="261">
        <v>0.70400000000000007</v>
      </c>
      <c r="AG168" s="260"/>
    </row>
    <row r="169" spans="2:35" ht="18.649999999999999" customHeight="1" x14ac:dyDescent="0.35">
      <c r="B169" s="322" t="s">
        <v>130</v>
      </c>
      <c r="C169" s="293" t="s">
        <v>93</v>
      </c>
      <c r="D169" s="295" t="s">
        <v>86</v>
      </c>
      <c r="E169" s="295" t="s">
        <v>45</v>
      </c>
      <c r="F169" s="295" t="s">
        <v>87</v>
      </c>
      <c r="G169" s="296" t="s">
        <v>50</v>
      </c>
      <c r="H169" s="296" t="s">
        <v>95</v>
      </c>
      <c r="I169" s="296" t="s">
        <v>610</v>
      </c>
      <c r="J169" s="551" t="s">
        <v>96</v>
      </c>
      <c r="K169" s="295" t="s">
        <v>89</v>
      </c>
      <c r="L169" s="298">
        <f t="shared" si="230"/>
        <v>21</v>
      </c>
      <c r="M169" s="299">
        <v>45460</v>
      </c>
      <c r="N169" s="299">
        <v>45480</v>
      </c>
      <c r="O169" s="298">
        <f>Y169/X169*1000</f>
        <v>1991485.3839384001</v>
      </c>
      <c r="P169" s="300" t="s">
        <v>17</v>
      </c>
      <c r="Q169" s="301"/>
      <c r="R169" s="298"/>
      <c r="S169" s="302">
        <v>0.8</v>
      </c>
      <c r="T169" s="303">
        <f t="shared" si="232"/>
        <v>1593188.3071507202</v>
      </c>
      <c r="U169" s="298">
        <f>O169/V169</f>
        <v>358826.19530421623</v>
      </c>
      <c r="V169" s="298">
        <v>5.55</v>
      </c>
      <c r="W169" s="298"/>
      <c r="X169" s="304">
        <v>110</v>
      </c>
      <c r="Y169" s="305">
        <v>219063.392233224</v>
      </c>
      <c r="Z169" s="305">
        <f t="shared" si="211"/>
        <v>110</v>
      </c>
      <c r="AA169" s="305"/>
      <c r="AB169" s="306">
        <v>400078</v>
      </c>
      <c r="AC169" s="307">
        <f>U169/AB169</f>
        <v>0.89689059459459464</v>
      </c>
      <c r="AF169" s="261">
        <v>0.748</v>
      </c>
    </row>
    <row r="170" spans="2:35" ht="18.649999999999999" customHeight="1" x14ac:dyDescent="0.35">
      <c r="B170" s="322" t="s">
        <v>130</v>
      </c>
      <c r="C170" s="293" t="s">
        <v>97</v>
      </c>
      <c r="D170" s="264" t="s">
        <v>561</v>
      </c>
      <c r="E170" s="264" t="s">
        <v>45</v>
      </c>
      <c r="F170" s="263" t="s">
        <v>87</v>
      </c>
      <c r="G170" s="263" t="s">
        <v>98</v>
      </c>
      <c r="H170" s="265" t="s">
        <v>90</v>
      </c>
      <c r="I170" s="265" t="s">
        <v>609</v>
      </c>
      <c r="J170" s="552" t="s">
        <v>96</v>
      </c>
      <c r="K170" s="263" t="s">
        <v>89</v>
      </c>
      <c r="L170" s="266">
        <f t="shared" si="230"/>
        <v>21</v>
      </c>
      <c r="M170" s="267">
        <v>45460</v>
      </c>
      <c r="N170" s="267">
        <v>45480</v>
      </c>
      <c r="O170" s="266">
        <f t="shared" si="231"/>
        <v>266905.17516801599</v>
      </c>
      <c r="P170" s="268" t="s">
        <v>17</v>
      </c>
      <c r="Q170" s="269">
        <v>1E-3</v>
      </c>
      <c r="R170" s="266">
        <f t="shared" ref="R170:R171" si="234">O170*Q170</f>
        <v>266.905175168016</v>
      </c>
      <c r="S170" s="270">
        <v>0.7</v>
      </c>
      <c r="T170" s="271">
        <f>O170*S170</f>
        <v>186833.6226176112</v>
      </c>
      <c r="U170" s="266">
        <f t="shared" ref="U170" si="235">AB170*AC170</f>
        <v>266905.17516801599</v>
      </c>
      <c r="V170" s="266">
        <v>1</v>
      </c>
      <c r="W170" s="266"/>
      <c r="X170" s="272">
        <v>70</v>
      </c>
      <c r="Y170" s="273">
        <f t="shared" si="233"/>
        <v>18683.362261761122</v>
      </c>
      <c r="Z170" s="273">
        <f t="shared" si="211"/>
        <v>70</v>
      </c>
      <c r="AA170" s="273">
        <f t="shared" ref="AA170:AA175" si="236">Y170/R170</f>
        <v>70</v>
      </c>
      <c r="AB170" s="274">
        <f>731178*85%</f>
        <v>621501.29999999993</v>
      </c>
      <c r="AC170" s="275">
        <v>0.42945232</v>
      </c>
      <c r="AE170" s="260"/>
      <c r="AF170" s="261">
        <v>0.35200000000000004</v>
      </c>
      <c r="AG170" s="260"/>
    </row>
    <row r="171" spans="2:35" ht="18.649999999999999" customHeight="1" x14ac:dyDescent="0.35">
      <c r="B171" s="322" t="s">
        <v>130</v>
      </c>
      <c r="C171" s="293" t="s">
        <v>97</v>
      </c>
      <c r="D171" s="264" t="s">
        <v>86</v>
      </c>
      <c r="E171" s="264" t="s">
        <v>45</v>
      </c>
      <c r="F171" s="263" t="s">
        <v>87</v>
      </c>
      <c r="G171" s="263" t="s">
        <v>98</v>
      </c>
      <c r="H171" s="265" t="s">
        <v>90</v>
      </c>
      <c r="I171" s="265" t="s">
        <v>610</v>
      </c>
      <c r="J171" s="552" t="s">
        <v>96</v>
      </c>
      <c r="K171" s="263" t="s">
        <v>89</v>
      </c>
      <c r="L171" s="266">
        <f t="shared" si="230"/>
        <v>21</v>
      </c>
      <c r="M171" s="267">
        <v>45460</v>
      </c>
      <c r="N171" s="267">
        <v>45480</v>
      </c>
      <c r="O171" s="266">
        <f>Y171/X171*1000</f>
        <v>402147.9</v>
      </c>
      <c r="P171" s="268" t="s">
        <v>17</v>
      </c>
      <c r="Q171" s="269">
        <v>1E-3</v>
      </c>
      <c r="R171" s="266">
        <f t="shared" si="234"/>
        <v>402.14790000000005</v>
      </c>
      <c r="S171" s="270">
        <v>0.8</v>
      </c>
      <c r="T171" s="271">
        <f>O171*S171</f>
        <v>321718.32000000007</v>
      </c>
      <c r="U171" s="266">
        <f>O171/V171</f>
        <v>287248.50000000006</v>
      </c>
      <c r="V171" s="266">
        <v>1.4</v>
      </c>
      <c r="W171" s="266"/>
      <c r="X171" s="272">
        <v>80</v>
      </c>
      <c r="Y171" s="273">
        <v>32171.832000000002</v>
      </c>
      <c r="Z171" s="273">
        <f t="shared" si="211"/>
        <v>80</v>
      </c>
      <c r="AA171" s="273">
        <f t="shared" si="236"/>
        <v>80</v>
      </c>
      <c r="AB171" s="274">
        <v>731178</v>
      </c>
      <c r="AC171" s="275">
        <f>U171/AB171</f>
        <v>0.39285714285714296</v>
      </c>
      <c r="AE171" s="260"/>
      <c r="AF171" s="261">
        <v>0.35200000000000004</v>
      </c>
      <c r="AG171" s="260"/>
    </row>
    <row r="172" spans="2:35" ht="18.649999999999999" customHeight="1" x14ac:dyDescent="0.35">
      <c r="B172" s="322" t="s">
        <v>130</v>
      </c>
      <c r="C172" s="293" t="s">
        <v>97</v>
      </c>
      <c r="D172" s="263" t="s">
        <v>99</v>
      </c>
      <c r="E172" s="263" t="s">
        <v>46</v>
      </c>
      <c r="F172" s="263" t="s">
        <v>100</v>
      </c>
      <c r="G172" s="263" t="s">
        <v>101</v>
      </c>
      <c r="H172" s="265" t="s">
        <v>88</v>
      </c>
      <c r="I172" s="265" t="s">
        <v>102</v>
      </c>
      <c r="J172" s="553" t="s">
        <v>96</v>
      </c>
      <c r="K172" s="263" t="s">
        <v>89</v>
      </c>
      <c r="L172" s="266">
        <f t="shared" si="230"/>
        <v>21</v>
      </c>
      <c r="M172" s="267">
        <v>45460</v>
      </c>
      <c r="N172" s="267">
        <v>45480</v>
      </c>
      <c r="O172" s="266">
        <f>U172*V172</f>
        <v>134703.70559260802</v>
      </c>
      <c r="P172" s="268" t="s">
        <v>17</v>
      </c>
      <c r="Q172" s="269">
        <v>1.4999999999999999E-2</v>
      </c>
      <c r="R172" s="266">
        <f>O172*Q172</f>
        <v>2020.5555838891203</v>
      </c>
      <c r="S172" s="268" t="s">
        <v>17</v>
      </c>
      <c r="T172" s="271" t="s">
        <v>17</v>
      </c>
      <c r="U172" s="266">
        <f>AB172*AC172</f>
        <v>158474.94775600944</v>
      </c>
      <c r="V172" s="266">
        <v>0.85</v>
      </c>
      <c r="W172" s="266"/>
      <c r="X172" s="272">
        <v>105</v>
      </c>
      <c r="Y172" s="273">
        <f t="shared" si="233"/>
        <v>14143.889087223843</v>
      </c>
      <c r="Z172" s="273">
        <f t="shared" si="211"/>
        <v>105</v>
      </c>
      <c r="AA172" s="273">
        <f t="shared" si="236"/>
        <v>7</v>
      </c>
      <c r="AB172" s="274">
        <f>AB170*95%</f>
        <v>590426.23499999987</v>
      </c>
      <c r="AC172" s="275">
        <v>0.26840769999999997</v>
      </c>
      <c r="AE172" s="260"/>
      <c r="AF172" s="261">
        <v>0.22</v>
      </c>
      <c r="AG172" s="260"/>
    </row>
    <row r="173" spans="2:35" ht="18.649999999999999" customHeight="1" x14ac:dyDescent="0.35">
      <c r="B173" s="322" t="str">
        <f>B172</f>
        <v>Visakhapatnam</v>
      </c>
      <c r="C173" s="293" t="s">
        <v>97</v>
      </c>
      <c r="D173" s="310" t="s">
        <v>103</v>
      </c>
      <c r="E173" s="263" t="s">
        <v>46</v>
      </c>
      <c r="F173" s="310" t="s">
        <v>100</v>
      </c>
      <c r="G173" s="263" t="s">
        <v>98</v>
      </c>
      <c r="H173" s="265" t="s">
        <v>88</v>
      </c>
      <c r="I173" s="265" t="s">
        <v>104</v>
      </c>
      <c r="J173" s="553" t="s">
        <v>96</v>
      </c>
      <c r="K173" s="263" t="s">
        <v>105</v>
      </c>
      <c r="L173" s="266">
        <f t="shared" si="230"/>
        <v>21</v>
      </c>
      <c r="M173" s="267">
        <v>45460</v>
      </c>
      <c r="N173" s="267">
        <v>45480</v>
      </c>
      <c r="O173" s="266">
        <f>U173*V173</f>
        <v>117411.51274643998</v>
      </c>
      <c r="P173" s="268" t="s">
        <v>17</v>
      </c>
      <c r="Q173" s="269">
        <v>1.4999999999999999E-2</v>
      </c>
      <c r="R173" s="266">
        <f>O173*Q173</f>
        <v>1761.1726911965998</v>
      </c>
      <c r="S173" s="268" t="s">
        <v>17</v>
      </c>
      <c r="T173" s="271" t="s">
        <v>17</v>
      </c>
      <c r="U173" s="266">
        <f>AB173*AC173</f>
        <v>138131.19146639999</v>
      </c>
      <c r="V173" s="266">
        <v>0.85</v>
      </c>
      <c r="W173" s="266"/>
      <c r="X173" s="272">
        <v>120</v>
      </c>
      <c r="Y173" s="273">
        <f t="shared" si="233"/>
        <v>14089.381529572798</v>
      </c>
      <c r="Z173" s="273">
        <f t="shared" si="211"/>
        <v>120</v>
      </c>
      <c r="AA173" s="273">
        <f t="shared" si="236"/>
        <v>8</v>
      </c>
      <c r="AB173" s="274">
        <v>321645</v>
      </c>
      <c r="AC173" s="275">
        <v>0.42945232</v>
      </c>
      <c r="AE173" s="260"/>
      <c r="AF173" s="261">
        <v>0.35200000000000004</v>
      </c>
      <c r="AG173" s="260"/>
      <c r="AH173" s="320"/>
    </row>
    <row r="174" spans="2:35" ht="18.649999999999999" customHeight="1" x14ac:dyDescent="0.35">
      <c r="B174" s="322" t="str">
        <f>B173</f>
        <v>Visakhapatnam</v>
      </c>
      <c r="C174" s="293" t="s">
        <v>97</v>
      </c>
      <c r="D174" s="310" t="s">
        <v>106</v>
      </c>
      <c r="E174" s="311" t="s">
        <v>46</v>
      </c>
      <c r="F174" s="311" t="s">
        <v>91</v>
      </c>
      <c r="G174" s="263" t="s">
        <v>98</v>
      </c>
      <c r="H174" s="310" t="s">
        <v>88</v>
      </c>
      <c r="I174" s="263" t="s">
        <v>107</v>
      </c>
      <c r="J174" s="553" t="s">
        <v>96</v>
      </c>
      <c r="K174" s="263" t="s">
        <v>89</v>
      </c>
      <c r="L174" s="266">
        <f t="shared" si="230"/>
        <v>21</v>
      </c>
      <c r="M174" s="267">
        <v>45460</v>
      </c>
      <c r="N174" s="267">
        <v>45480</v>
      </c>
      <c r="O174" s="266">
        <f>U174*V174</f>
        <v>32039.212495366999</v>
      </c>
      <c r="P174" s="268" t="s">
        <v>17</v>
      </c>
      <c r="Q174" s="312">
        <v>0.01</v>
      </c>
      <c r="R174" s="266">
        <f t="shared" ref="R174" si="237">O174*Q174</f>
        <v>320.39212495367002</v>
      </c>
      <c r="S174" s="268" t="s">
        <v>17</v>
      </c>
      <c r="T174" s="271" t="s">
        <v>17</v>
      </c>
      <c r="U174" s="266">
        <f t="shared" ref="U174" si="238">AB174*AC174</f>
        <v>37693.19117102</v>
      </c>
      <c r="V174" s="266">
        <v>0.85</v>
      </c>
      <c r="W174" s="266"/>
      <c r="X174" s="272">
        <v>200</v>
      </c>
      <c r="Y174" s="273">
        <f>O174*X174/1000</f>
        <v>6407.8424990734002</v>
      </c>
      <c r="Z174" s="273">
        <f t="shared" si="211"/>
        <v>200</v>
      </c>
      <c r="AA174" s="273">
        <f t="shared" si="236"/>
        <v>20</v>
      </c>
      <c r="AB174" s="274">
        <v>127666</v>
      </c>
      <c r="AC174" s="275">
        <v>0.29524846999999999</v>
      </c>
      <c r="AE174" s="260"/>
      <c r="AF174" s="261">
        <v>0.22</v>
      </c>
      <c r="AG174" s="260"/>
      <c r="AH174" s="562"/>
    </row>
    <row r="175" spans="2:35" ht="18.649999999999999" customHeight="1" x14ac:dyDescent="0.35">
      <c r="B175" s="277" t="str">
        <f>B172</f>
        <v>Visakhapatnam</v>
      </c>
      <c r="C175" s="278"/>
      <c r="D175" s="279" t="s">
        <v>18</v>
      </c>
      <c r="E175" s="280"/>
      <c r="F175" s="279"/>
      <c r="G175" s="280"/>
      <c r="H175" s="280"/>
      <c r="I175" s="281"/>
      <c r="J175" s="546"/>
      <c r="K175" s="283"/>
      <c r="L175" s="284"/>
      <c r="M175" s="284"/>
      <c r="N175" s="284"/>
      <c r="O175" s="284">
        <f>SUM(O168:O174)</f>
        <v>3276956.027182559</v>
      </c>
      <c r="P175" s="284"/>
      <c r="Q175" s="285">
        <f>R175/O175</f>
        <v>1.455977265373785E-3</v>
      </c>
      <c r="R175" s="284">
        <f>SUM(R168:R174)</f>
        <v>4771.1734752074053</v>
      </c>
      <c r="S175" s="286"/>
      <c r="T175" s="284">
        <f>SUM(T168:T174)</f>
        <v>2384163.9164238004</v>
      </c>
      <c r="U175" s="284">
        <f>U171+(SUM(U168:U170,U172:U174)*20%)</f>
        <v>495542.04886145238</v>
      </c>
      <c r="V175" s="284">
        <f>O175/U175</f>
        <v>6.6128717728629258</v>
      </c>
      <c r="W175" s="284"/>
      <c r="X175" s="287"/>
      <c r="Y175" s="317">
        <f>SUM(Y168:Y174)</f>
        <v>346092.59176607121</v>
      </c>
      <c r="Z175" s="288">
        <f t="shared" si="211"/>
        <v>105.61404818838311</v>
      </c>
      <c r="AA175" s="288">
        <f t="shared" si="236"/>
        <v>72.538253652792704</v>
      </c>
      <c r="AB175" s="284">
        <f>AB171+(SUM(AB168:AB170,AB172:AB174)*2%)</f>
        <v>774300.63069999998</v>
      </c>
      <c r="AC175" s="289">
        <f>U175/AB175</f>
        <v>0.63998662691706931</v>
      </c>
      <c r="AD175" s="261"/>
      <c r="AE175" s="290"/>
      <c r="AF175" s="261">
        <v>0.62146860147669347</v>
      </c>
      <c r="AG175" s="290"/>
      <c r="AH175" s="460"/>
      <c r="AI175" s="459"/>
    </row>
    <row r="176" spans="2:35" ht="18.649999999999999" customHeight="1" x14ac:dyDescent="0.35">
      <c r="B176" s="323" t="s">
        <v>131</v>
      </c>
      <c r="C176" s="293" t="s">
        <v>93</v>
      </c>
      <c r="D176" s="294" t="s">
        <v>94</v>
      </c>
      <c r="E176" s="294" t="s">
        <v>45</v>
      </c>
      <c r="F176" s="295" t="s">
        <v>87</v>
      </c>
      <c r="G176" s="295" t="s">
        <v>50</v>
      </c>
      <c r="H176" s="296" t="s">
        <v>95</v>
      </c>
      <c r="I176" s="296" t="s">
        <v>608</v>
      </c>
      <c r="J176" s="551" t="s">
        <v>96</v>
      </c>
      <c r="K176" s="295" t="s">
        <v>89</v>
      </c>
      <c r="L176" s="298">
        <f t="shared" ref="L176:L192" si="239">N176-(M176-1)</f>
        <v>21</v>
      </c>
      <c r="M176" s="299">
        <v>45460</v>
      </c>
      <c r="N176" s="299">
        <v>45480</v>
      </c>
      <c r="O176" s="298">
        <f t="shared" ref="O176:O190" si="240">U176*V176</f>
        <v>3826056.3119999999</v>
      </c>
      <c r="P176" s="300" t="s">
        <v>17</v>
      </c>
      <c r="Q176" s="301"/>
      <c r="R176" s="298"/>
      <c r="S176" s="302">
        <v>0.85</v>
      </c>
      <c r="T176" s="303">
        <f t="shared" ref="T176:T177" si="241">O176*S176</f>
        <v>3252147.8651999999</v>
      </c>
      <c r="U176" s="298">
        <f>AB176*AC176</f>
        <v>937758.89999999991</v>
      </c>
      <c r="V176" s="298">
        <f>3*136%</f>
        <v>4.08</v>
      </c>
      <c r="W176" s="298"/>
      <c r="X176" s="304">
        <v>125</v>
      </c>
      <c r="Y176" s="305">
        <f t="shared" ref="Y176:Y192" si="242">(O176/1000)*X176</f>
        <v>478257.03899999999</v>
      </c>
      <c r="Z176" s="305">
        <f t="shared" si="211"/>
        <v>125</v>
      </c>
      <c r="AA176" s="305"/>
      <c r="AB176" s="306">
        <v>1129830</v>
      </c>
      <c r="AC176" s="307">
        <v>0.83</v>
      </c>
      <c r="AD176" s="261"/>
      <c r="AE176" s="260"/>
      <c r="AF176" s="261">
        <v>0.70400000000000007</v>
      </c>
      <c r="AG176" s="260"/>
    </row>
    <row r="177" spans="2:33" ht="18.649999999999999" customHeight="1" x14ac:dyDescent="0.35">
      <c r="B177" s="323" t="s">
        <v>131</v>
      </c>
      <c r="C177" s="293" t="s">
        <v>93</v>
      </c>
      <c r="D177" s="295" t="s">
        <v>86</v>
      </c>
      <c r="E177" s="295" t="s">
        <v>45</v>
      </c>
      <c r="F177" s="295" t="s">
        <v>87</v>
      </c>
      <c r="G177" s="296" t="s">
        <v>50</v>
      </c>
      <c r="H177" s="296" t="s">
        <v>95</v>
      </c>
      <c r="I177" s="296" t="s">
        <v>610</v>
      </c>
      <c r="J177" s="551" t="s">
        <v>96</v>
      </c>
      <c r="K177" s="295" t="s">
        <v>89</v>
      </c>
      <c r="L177" s="298">
        <f t="shared" si="239"/>
        <v>21</v>
      </c>
      <c r="M177" s="299">
        <v>45460</v>
      </c>
      <c r="N177" s="299">
        <v>45480</v>
      </c>
      <c r="O177" s="298">
        <f>Y177/X177*1000</f>
        <v>35338673.07272727</v>
      </c>
      <c r="P177" s="300" t="s">
        <v>17</v>
      </c>
      <c r="Q177" s="301"/>
      <c r="R177" s="298"/>
      <c r="S177" s="302">
        <v>0.8</v>
      </c>
      <c r="T177" s="303">
        <f t="shared" si="241"/>
        <v>28270938.458181817</v>
      </c>
      <c r="U177" s="298">
        <f>O177/V177</f>
        <v>6544198.7171717165</v>
      </c>
      <c r="V177" s="298">
        <v>5.4</v>
      </c>
      <c r="W177" s="298"/>
      <c r="X177" s="304">
        <v>110</v>
      </c>
      <c r="Y177" s="305">
        <v>3887254.0379999997</v>
      </c>
      <c r="Z177" s="305">
        <f t="shared" si="211"/>
        <v>110</v>
      </c>
      <c r="AA177" s="305"/>
      <c r="AB177" s="306">
        <v>7805731</v>
      </c>
      <c r="AC177" s="307">
        <f>U177/AB177</f>
        <v>0.83838383838383834</v>
      </c>
      <c r="AF177" s="261">
        <v>0.748</v>
      </c>
    </row>
    <row r="178" spans="2:33" ht="18.649999999999999" customHeight="1" x14ac:dyDescent="0.35">
      <c r="B178" s="323" t="s">
        <v>131</v>
      </c>
      <c r="C178" s="293" t="s">
        <v>97</v>
      </c>
      <c r="D178" s="264" t="s">
        <v>561</v>
      </c>
      <c r="E178" s="264" t="s">
        <v>45</v>
      </c>
      <c r="F178" s="263" t="s">
        <v>87</v>
      </c>
      <c r="G178" s="263" t="s">
        <v>98</v>
      </c>
      <c r="H178" s="265" t="s">
        <v>90</v>
      </c>
      <c r="I178" s="265" t="s">
        <v>609</v>
      </c>
      <c r="J178" s="552" t="s">
        <v>96</v>
      </c>
      <c r="K178" s="263" t="s">
        <v>89</v>
      </c>
      <c r="L178" s="266">
        <f t="shared" si="239"/>
        <v>21</v>
      </c>
      <c r="M178" s="267">
        <v>45460</v>
      </c>
      <c r="N178" s="267">
        <v>45480</v>
      </c>
      <c r="O178" s="266">
        <f t="shared" si="240"/>
        <v>7566077.4600000009</v>
      </c>
      <c r="P178" s="268" t="s">
        <v>17</v>
      </c>
      <c r="Q178" s="269">
        <v>1E-3</v>
      </c>
      <c r="R178" s="266">
        <f t="shared" ref="R178:R179" si="243">O178*Q178</f>
        <v>7566.0774600000013</v>
      </c>
      <c r="S178" s="270">
        <v>0.7</v>
      </c>
      <c r="T178" s="271">
        <f>O178*S178</f>
        <v>5296254.2220000001</v>
      </c>
      <c r="U178" s="266">
        <f t="shared" ref="U178" si="244">AB178*AC178</f>
        <v>5044051.6400000006</v>
      </c>
      <c r="V178" s="266">
        <v>1.5</v>
      </c>
      <c r="W178" s="266"/>
      <c r="X178" s="272">
        <v>70</v>
      </c>
      <c r="Y178" s="273">
        <f t="shared" si="242"/>
        <v>529625.42220000015</v>
      </c>
      <c r="Z178" s="273">
        <f t="shared" si="211"/>
        <v>70</v>
      </c>
      <c r="AA178" s="273">
        <f>Y178/R178</f>
        <v>70</v>
      </c>
      <c r="AB178" s="274">
        <f>14835446*85%</f>
        <v>12610129.1</v>
      </c>
      <c r="AC178" s="275">
        <v>0.4</v>
      </c>
      <c r="AD178" s="260">
        <f>AB179+(SUM(AB176:AB178)*2%)</f>
        <v>15266359.801999999</v>
      </c>
      <c r="AE178" s="260">
        <f>U177+(SUM(U176:U176,U178:U179)*20%)</f>
        <v>9197613.5573145747</v>
      </c>
      <c r="AF178" s="261">
        <v>0.35200000000000004</v>
      </c>
      <c r="AG178" s="260"/>
    </row>
    <row r="179" spans="2:33" ht="18.649999999999999" customHeight="1" x14ac:dyDescent="0.35">
      <c r="B179" s="323" t="s">
        <v>131</v>
      </c>
      <c r="C179" s="293" t="s">
        <v>97</v>
      </c>
      <c r="D179" s="264" t="s">
        <v>86</v>
      </c>
      <c r="E179" s="264" t="s">
        <v>45</v>
      </c>
      <c r="F179" s="263" t="s">
        <v>87</v>
      </c>
      <c r="G179" s="263" t="s">
        <v>98</v>
      </c>
      <c r="H179" s="265" t="s">
        <v>90</v>
      </c>
      <c r="I179" s="265" t="s">
        <v>610</v>
      </c>
      <c r="J179" s="552" t="s">
        <v>96</v>
      </c>
      <c r="K179" s="263" t="s">
        <v>89</v>
      </c>
      <c r="L179" s="266">
        <f t="shared" si="239"/>
        <v>21</v>
      </c>
      <c r="M179" s="267">
        <v>45460</v>
      </c>
      <c r="N179" s="267">
        <v>45480</v>
      </c>
      <c r="O179" s="266">
        <f>Y179/X179*1000</f>
        <v>10199369.125000002</v>
      </c>
      <c r="P179" s="268" t="s">
        <v>17</v>
      </c>
      <c r="Q179" s="269">
        <v>1E-3</v>
      </c>
      <c r="R179" s="266">
        <f t="shared" si="243"/>
        <v>10199.369125000003</v>
      </c>
      <c r="S179" s="270">
        <v>0.8</v>
      </c>
      <c r="T179" s="271">
        <f>O179*S179</f>
        <v>8159495.3000000017</v>
      </c>
      <c r="U179" s="266">
        <f>O179/V179</f>
        <v>7285263.6607142873</v>
      </c>
      <c r="V179" s="266">
        <v>1.4</v>
      </c>
      <c r="W179" s="266"/>
      <c r="X179" s="272">
        <v>80</v>
      </c>
      <c r="Y179" s="273">
        <v>815949.53</v>
      </c>
      <c r="Z179" s="273">
        <f t="shared" si="211"/>
        <v>79.999999999999986</v>
      </c>
      <c r="AA179" s="273">
        <f>Y179/R179</f>
        <v>79.999999999999986</v>
      </c>
      <c r="AB179" s="274">
        <v>14835446</v>
      </c>
      <c r="AC179" s="275">
        <f>U179/AB179</f>
        <v>0.49107142857142866</v>
      </c>
      <c r="AE179" s="260"/>
      <c r="AF179" s="261">
        <v>0.35200000000000004</v>
      </c>
      <c r="AG179" s="260"/>
    </row>
    <row r="180" spans="2:33" ht="18.649999999999999" customHeight="1" x14ac:dyDescent="0.35">
      <c r="B180" s="323" t="s">
        <v>132</v>
      </c>
      <c r="C180" s="293" t="s">
        <v>93</v>
      </c>
      <c r="D180" s="294" t="s">
        <v>94</v>
      </c>
      <c r="E180" s="294" t="s">
        <v>45</v>
      </c>
      <c r="F180" s="295" t="s">
        <v>87</v>
      </c>
      <c r="G180" s="295" t="s">
        <v>50</v>
      </c>
      <c r="H180" s="296" t="s">
        <v>95</v>
      </c>
      <c r="I180" s="296" t="s">
        <v>608</v>
      </c>
      <c r="J180" s="551" t="s">
        <v>96</v>
      </c>
      <c r="K180" s="295" t="s">
        <v>89</v>
      </c>
      <c r="L180" s="298">
        <f t="shared" si="239"/>
        <v>21</v>
      </c>
      <c r="M180" s="299">
        <v>45460</v>
      </c>
      <c r="N180" s="299">
        <v>45480</v>
      </c>
      <c r="O180" s="298">
        <f t="shared" si="240"/>
        <v>632105.424</v>
      </c>
      <c r="P180" s="300" t="s">
        <v>17</v>
      </c>
      <c r="Q180" s="301"/>
      <c r="R180" s="298"/>
      <c r="S180" s="302">
        <v>0.85</v>
      </c>
      <c r="T180" s="303">
        <f t="shared" ref="T180:T181" si="245">O180*S180</f>
        <v>537289.61040000001</v>
      </c>
      <c r="U180" s="298">
        <f>AB180*AC180</f>
        <v>154927.79999999999</v>
      </c>
      <c r="V180" s="298">
        <f>3*136%</f>
        <v>4.08</v>
      </c>
      <c r="W180" s="298"/>
      <c r="X180" s="304">
        <v>125</v>
      </c>
      <c r="Y180" s="305">
        <f t="shared" si="242"/>
        <v>79013.178</v>
      </c>
      <c r="Z180" s="305">
        <f t="shared" si="211"/>
        <v>125</v>
      </c>
      <c r="AA180" s="305"/>
      <c r="AB180" s="306">
        <v>186660</v>
      </c>
      <c r="AC180" s="307">
        <v>0.83</v>
      </c>
      <c r="AD180" s="261"/>
      <c r="AE180" s="260"/>
      <c r="AF180" s="261">
        <v>0.70400000000000007</v>
      </c>
      <c r="AG180" s="260"/>
    </row>
    <row r="181" spans="2:33" ht="18.649999999999999" customHeight="1" x14ac:dyDescent="0.35">
      <c r="B181" s="323" t="s">
        <v>132</v>
      </c>
      <c r="C181" s="293" t="s">
        <v>93</v>
      </c>
      <c r="D181" s="295" t="s">
        <v>86</v>
      </c>
      <c r="E181" s="295" t="s">
        <v>45</v>
      </c>
      <c r="F181" s="295" t="s">
        <v>87</v>
      </c>
      <c r="G181" s="296" t="s">
        <v>50</v>
      </c>
      <c r="H181" s="296" t="s">
        <v>95</v>
      </c>
      <c r="I181" s="296" t="s">
        <v>610</v>
      </c>
      <c r="J181" s="551" t="s">
        <v>96</v>
      </c>
      <c r="K181" s="295" t="s">
        <v>89</v>
      </c>
      <c r="L181" s="298">
        <f t="shared" si="239"/>
        <v>21</v>
      </c>
      <c r="M181" s="299">
        <v>45460</v>
      </c>
      <c r="N181" s="299">
        <v>45480</v>
      </c>
      <c r="O181" s="298">
        <f>Y181/X181*1000</f>
        <v>2615554.8545454545</v>
      </c>
      <c r="P181" s="300" t="s">
        <v>17</v>
      </c>
      <c r="Q181" s="301"/>
      <c r="R181" s="298"/>
      <c r="S181" s="302">
        <v>0.8</v>
      </c>
      <c r="T181" s="303">
        <f t="shared" si="245"/>
        <v>2092443.8836363638</v>
      </c>
      <c r="U181" s="298">
        <f>O181/V181</f>
        <v>484362.01010101003</v>
      </c>
      <c r="V181" s="298">
        <v>5.4</v>
      </c>
      <c r="W181" s="298"/>
      <c r="X181" s="304">
        <v>110</v>
      </c>
      <c r="Y181" s="305">
        <v>287711.03399999999</v>
      </c>
      <c r="Z181" s="305">
        <f t="shared" si="211"/>
        <v>110</v>
      </c>
      <c r="AA181" s="305"/>
      <c r="AB181" s="306">
        <v>577733</v>
      </c>
      <c r="AC181" s="307">
        <f>U181/AB181</f>
        <v>0.83838383838383823</v>
      </c>
      <c r="AF181" s="261">
        <v>0.748</v>
      </c>
    </row>
    <row r="182" spans="2:33" ht="18.649999999999999" customHeight="1" x14ac:dyDescent="0.35">
      <c r="B182" s="323" t="s">
        <v>132</v>
      </c>
      <c r="C182" s="293" t="s">
        <v>97</v>
      </c>
      <c r="D182" s="264" t="s">
        <v>561</v>
      </c>
      <c r="E182" s="264" t="s">
        <v>45</v>
      </c>
      <c r="F182" s="263" t="s">
        <v>87</v>
      </c>
      <c r="G182" s="263" t="s">
        <v>98</v>
      </c>
      <c r="H182" s="265" t="s">
        <v>90</v>
      </c>
      <c r="I182" s="265" t="s">
        <v>609</v>
      </c>
      <c r="J182" s="552" t="s">
        <v>96</v>
      </c>
      <c r="K182" s="263" t="s">
        <v>89</v>
      </c>
      <c r="L182" s="266">
        <f t="shared" si="239"/>
        <v>21</v>
      </c>
      <c r="M182" s="267">
        <v>45460</v>
      </c>
      <c r="N182" s="267">
        <v>45480</v>
      </c>
      <c r="O182" s="266">
        <f t="shared" si="240"/>
        <v>561060.17999999993</v>
      </c>
      <c r="P182" s="268" t="s">
        <v>17</v>
      </c>
      <c r="Q182" s="269">
        <v>1E-3</v>
      </c>
      <c r="R182" s="266">
        <f t="shared" ref="R182:R183" si="246">O182*Q182</f>
        <v>561.06017999999995</v>
      </c>
      <c r="S182" s="270">
        <v>0.7</v>
      </c>
      <c r="T182" s="271">
        <f>O182*S182</f>
        <v>392742.12599999993</v>
      </c>
      <c r="U182" s="266">
        <f t="shared" ref="U182" si="247">AB182*AC182</f>
        <v>374040.12</v>
      </c>
      <c r="V182" s="266">
        <v>1.5</v>
      </c>
      <c r="W182" s="266"/>
      <c r="X182" s="272">
        <v>70</v>
      </c>
      <c r="Y182" s="273">
        <f t="shared" si="242"/>
        <v>39274.212599999999</v>
      </c>
      <c r="Z182" s="273">
        <f t="shared" ref="Z182:Z195" si="248">Y182/O182*1000</f>
        <v>70</v>
      </c>
      <c r="AA182" s="273">
        <f>Y182/R182</f>
        <v>70</v>
      </c>
      <c r="AB182" s="274">
        <f>1100118*85%</f>
        <v>935100.29999999993</v>
      </c>
      <c r="AC182" s="275">
        <v>0.4</v>
      </c>
      <c r="AD182" s="260">
        <f>AB183+(SUM(AB180:AB182)*2%)</f>
        <v>1134107.8659999999</v>
      </c>
      <c r="AE182" s="260">
        <f>U181+(SUM(U180:U180,U182:U183)*20%)</f>
        <v>698202.89767243853</v>
      </c>
      <c r="AF182" s="261">
        <v>0.35200000000000004</v>
      </c>
      <c r="AG182" s="260"/>
    </row>
    <row r="183" spans="2:33" ht="18.649999999999999" customHeight="1" x14ac:dyDescent="0.35">
      <c r="B183" s="323" t="s">
        <v>132</v>
      </c>
      <c r="C183" s="293" t="s">
        <v>97</v>
      </c>
      <c r="D183" s="264" t="s">
        <v>86</v>
      </c>
      <c r="E183" s="264" t="s">
        <v>45</v>
      </c>
      <c r="F183" s="263" t="s">
        <v>87</v>
      </c>
      <c r="G183" s="263" t="s">
        <v>98</v>
      </c>
      <c r="H183" s="265" t="s">
        <v>90</v>
      </c>
      <c r="I183" s="265" t="s">
        <v>610</v>
      </c>
      <c r="J183" s="552" t="s">
        <v>96</v>
      </c>
      <c r="K183" s="263" t="s">
        <v>89</v>
      </c>
      <c r="L183" s="266">
        <f t="shared" ref="L183" si="249">N183-(M183-1)</f>
        <v>21</v>
      </c>
      <c r="M183" s="267">
        <v>45460</v>
      </c>
      <c r="N183" s="267">
        <v>45480</v>
      </c>
      <c r="O183" s="266">
        <f>Y183/X183*1000</f>
        <v>756331.12499999988</v>
      </c>
      <c r="P183" s="268" t="s">
        <v>17</v>
      </c>
      <c r="Q183" s="269">
        <v>1E-3</v>
      </c>
      <c r="R183" s="266">
        <f t="shared" si="246"/>
        <v>756.33112499999993</v>
      </c>
      <c r="S183" s="270">
        <v>0.8</v>
      </c>
      <c r="T183" s="271">
        <f>O183*S183</f>
        <v>605064.89999999991</v>
      </c>
      <c r="U183" s="266">
        <f>O183/V183</f>
        <v>540236.51785714284</v>
      </c>
      <c r="V183" s="266">
        <v>1.4</v>
      </c>
      <c r="W183" s="266"/>
      <c r="X183" s="272">
        <v>80</v>
      </c>
      <c r="Y183" s="273">
        <v>60506.49</v>
      </c>
      <c r="Z183" s="273">
        <f t="shared" si="248"/>
        <v>80.000000000000014</v>
      </c>
      <c r="AA183" s="273">
        <f>Y183/R183</f>
        <v>80</v>
      </c>
      <c r="AB183" s="274">
        <v>1100118</v>
      </c>
      <c r="AC183" s="275">
        <f>U183/AB183</f>
        <v>0.49107142857142855</v>
      </c>
      <c r="AE183" s="260"/>
      <c r="AF183" s="261">
        <v>0.35200000000000004</v>
      </c>
      <c r="AG183" s="260"/>
    </row>
    <row r="184" spans="2:33" ht="18.649999999999999" customHeight="1" x14ac:dyDescent="0.35">
      <c r="B184" s="323" t="s">
        <v>133</v>
      </c>
      <c r="C184" s="293" t="s">
        <v>93</v>
      </c>
      <c r="D184" s="294" t="s">
        <v>94</v>
      </c>
      <c r="E184" s="294" t="s">
        <v>45</v>
      </c>
      <c r="F184" s="295" t="s">
        <v>87</v>
      </c>
      <c r="G184" s="295" t="s">
        <v>50</v>
      </c>
      <c r="H184" s="296" t="s">
        <v>95</v>
      </c>
      <c r="I184" s="296" t="s">
        <v>608</v>
      </c>
      <c r="J184" s="551" t="s">
        <v>96</v>
      </c>
      <c r="K184" s="295" t="s">
        <v>89</v>
      </c>
      <c r="L184" s="298">
        <f t="shared" si="239"/>
        <v>21</v>
      </c>
      <c r="M184" s="299">
        <v>45460</v>
      </c>
      <c r="N184" s="299">
        <v>45480</v>
      </c>
      <c r="O184" s="298">
        <f t="shared" si="240"/>
        <v>394210.82399999996</v>
      </c>
      <c r="P184" s="300" t="s">
        <v>17</v>
      </c>
      <c r="Q184" s="301"/>
      <c r="R184" s="298"/>
      <c r="S184" s="302">
        <v>0.85</v>
      </c>
      <c r="T184" s="303">
        <f t="shared" ref="T184:T185" si="250">O184*S184</f>
        <v>335079.20039999997</v>
      </c>
      <c r="U184" s="298">
        <f>AB184*AC184</f>
        <v>96620.299999999988</v>
      </c>
      <c r="V184" s="298">
        <f>3*136%</f>
        <v>4.08</v>
      </c>
      <c r="W184" s="298"/>
      <c r="X184" s="304">
        <v>125</v>
      </c>
      <c r="Y184" s="305">
        <f t="shared" si="242"/>
        <v>49276.352999999996</v>
      </c>
      <c r="Z184" s="305">
        <f t="shared" si="248"/>
        <v>125</v>
      </c>
      <c r="AA184" s="305"/>
      <c r="AB184" s="306">
        <v>116410</v>
      </c>
      <c r="AC184" s="307">
        <v>0.83</v>
      </c>
      <c r="AD184" s="261"/>
      <c r="AE184" s="260"/>
      <c r="AF184" s="261">
        <v>0.70400000000000007</v>
      </c>
      <c r="AG184" s="260"/>
    </row>
    <row r="185" spans="2:33" ht="18.649999999999999" customHeight="1" x14ac:dyDescent="0.35">
      <c r="B185" s="323" t="s">
        <v>133</v>
      </c>
      <c r="C185" s="293" t="s">
        <v>93</v>
      </c>
      <c r="D185" s="295" t="s">
        <v>86</v>
      </c>
      <c r="E185" s="295" t="s">
        <v>45</v>
      </c>
      <c r="F185" s="295" t="s">
        <v>87</v>
      </c>
      <c r="G185" s="296" t="s">
        <v>50</v>
      </c>
      <c r="H185" s="296" t="s">
        <v>95</v>
      </c>
      <c r="I185" s="296" t="s">
        <v>610</v>
      </c>
      <c r="J185" s="551" t="s">
        <v>96</v>
      </c>
      <c r="K185" s="295" t="s">
        <v>89</v>
      </c>
      <c r="L185" s="298">
        <f t="shared" si="239"/>
        <v>21</v>
      </c>
      <c r="M185" s="299">
        <v>45460</v>
      </c>
      <c r="N185" s="299">
        <v>45480</v>
      </c>
      <c r="O185" s="298">
        <f>Y185/X185*1000</f>
        <v>960071.56363636348</v>
      </c>
      <c r="P185" s="300" t="s">
        <v>17</v>
      </c>
      <c r="Q185" s="301"/>
      <c r="R185" s="298"/>
      <c r="S185" s="302">
        <v>0.8</v>
      </c>
      <c r="T185" s="303">
        <f t="shared" si="250"/>
        <v>768057.25090909086</v>
      </c>
      <c r="U185" s="298">
        <f>O185/V185</f>
        <v>177791.03030303027</v>
      </c>
      <c r="V185" s="298">
        <v>5.4</v>
      </c>
      <c r="W185" s="298"/>
      <c r="X185" s="304">
        <v>110</v>
      </c>
      <c r="Y185" s="305">
        <v>105607.87199999999</v>
      </c>
      <c r="Z185" s="305">
        <f t="shared" si="248"/>
        <v>110</v>
      </c>
      <c r="AA185" s="305"/>
      <c r="AB185" s="306">
        <v>212064</v>
      </c>
      <c r="AC185" s="307">
        <f>U185/AB185</f>
        <v>0.83838383838383823</v>
      </c>
      <c r="AF185" s="261">
        <v>0.748</v>
      </c>
    </row>
    <row r="186" spans="2:33" ht="18.649999999999999" customHeight="1" x14ac:dyDescent="0.35">
      <c r="B186" s="323" t="s">
        <v>133</v>
      </c>
      <c r="C186" s="293" t="s">
        <v>97</v>
      </c>
      <c r="D186" s="264" t="s">
        <v>561</v>
      </c>
      <c r="E186" s="264" t="s">
        <v>45</v>
      </c>
      <c r="F186" s="263" t="s">
        <v>87</v>
      </c>
      <c r="G186" s="263" t="s">
        <v>98</v>
      </c>
      <c r="H186" s="265" t="s">
        <v>90</v>
      </c>
      <c r="I186" s="265" t="s">
        <v>609</v>
      </c>
      <c r="J186" s="552" t="s">
        <v>96</v>
      </c>
      <c r="K186" s="263" t="s">
        <v>89</v>
      </c>
      <c r="L186" s="266">
        <f t="shared" si="239"/>
        <v>21</v>
      </c>
      <c r="M186" s="267">
        <v>45460</v>
      </c>
      <c r="N186" s="267">
        <v>45480</v>
      </c>
      <c r="O186" s="266">
        <f t="shared" si="240"/>
        <v>191834.46</v>
      </c>
      <c r="P186" s="268" t="s">
        <v>17</v>
      </c>
      <c r="Q186" s="269">
        <v>1E-3</v>
      </c>
      <c r="R186" s="266">
        <f t="shared" ref="R186:R187" si="251">O186*Q186</f>
        <v>191.83446000000001</v>
      </c>
      <c r="S186" s="270">
        <v>0.7</v>
      </c>
      <c r="T186" s="271">
        <f>O186*S186</f>
        <v>134284.12199999997</v>
      </c>
      <c r="U186" s="266">
        <f t="shared" ref="U186" si="252">AB186*AC186</f>
        <v>127889.64</v>
      </c>
      <c r="V186" s="266">
        <v>1.5</v>
      </c>
      <c r="W186" s="266"/>
      <c r="X186" s="272">
        <v>70</v>
      </c>
      <c r="Y186" s="273">
        <f t="shared" si="242"/>
        <v>13428.412199999999</v>
      </c>
      <c r="Z186" s="273">
        <f t="shared" si="248"/>
        <v>69.999999999999986</v>
      </c>
      <c r="AA186" s="273">
        <f>Y186/R186</f>
        <v>69.999999999999986</v>
      </c>
      <c r="AB186" s="274">
        <f>376146*85%</f>
        <v>319724.09999999998</v>
      </c>
      <c r="AC186" s="275">
        <v>0.4</v>
      </c>
      <c r="AD186" s="260">
        <f>AB187+(SUM(AB184:AB186)*2%)</f>
        <v>389109.962</v>
      </c>
      <c r="AE186" s="260">
        <f>U185+(SUM(U184:U184,U186:U187)*20%)</f>
        <v>259635.929017316</v>
      </c>
      <c r="AF186" s="261">
        <v>0.35200000000000004</v>
      </c>
      <c r="AG186" s="260"/>
    </row>
    <row r="187" spans="2:33" ht="18.649999999999999" customHeight="1" x14ac:dyDescent="0.35">
      <c r="B187" s="323" t="s">
        <v>133</v>
      </c>
      <c r="C187" s="293" t="s">
        <v>97</v>
      </c>
      <c r="D187" s="264" t="s">
        <v>86</v>
      </c>
      <c r="E187" s="264" t="s">
        <v>45</v>
      </c>
      <c r="F187" s="263" t="s">
        <v>87</v>
      </c>
      <c r="G187" s="263" t="s">
        <v>98</v>
      </c>
      <c r="H187" s="265" t="s">
        <v>90</v>
      </c>
      <c r="I187" s="265" t="s">
        <v>610</v>
      </c>
      <c r="J187" s="552" t="s">
        <v>96</v>
      </c>
      <c r="K187" s="263" t="s">
        <v>89</v>
      </c>
      <c r="L187" s="266">
        <f t="shared" ref="L187" si="253">N187-(M187-1)</f>
        <v>21</v>
      </c>
      <c r="M187" s="267">
        <v>45460</v>
      </c>
      <c r="N187" s="267">
        <v>45480</v>
      </c>
      <c r="O187" s="266">
        <f>Y187/X187*1000</f>
        <v>258600.37500000003</v>
      </c>
      <c r="P187" s="268" t="s">
        <v>17</v>
      </c>
      <c r="Q187" s="269">
        <v>1E-3</v>
      </c>
      <c r="R187" s="266">
        <f t="shared" si="251"/>
        <v>258.60037500000004</v>
      </c>
      <c r="S187" s="270">
        <v>0.8</v>
      </c>
      <c r="T187" s="271">
        <f>O187*S187</f>
        <v>206880.30000000005</v>
      </c>
      <c r="U187" s="266">
        <f>O187/V187</f>
        <v>184714.55357142861</v>
      </c>
      <c r="V187" s="266">
        <v>1.4</v>
      </c>
      <c r="W187" s="266"/>
      <c r="X187" s="272">
        <v>80</v>
      </c>
      <c r="Y187" s="273">
        <v>20688.030000000002</v>
      </c>
      <c r="Z187" s="273">
        <f t="shared" si="248"/>
        <v>80</v>
      </c>
      <c r="AA187" s="273">
        <f>Y187/R187</f>
        <v>80</v>
      </c>
      <c r="AB187" s="274">
        <v>376146</v>
      </c>
      <c r="AC187" s="275">
        <f>U187/AB187</f>
        <v>0.49107142857142866</v>
      </c>
      <c r="AE187" s="260"/>
      <c r="AF187" s="261">
        <v>0.35200000000000004</v>
      </c>
      <c r="AG187" s="260"/>
    </row>
    <row r="188" spans="2:33" ht="18.649999999999999" customHeight="1" x14ac:dyDescent="0.35">
      <c r="B188" s="323" t="s">
        <v>134</v>
      </c>
      <c r="C188" s="293" t="s">
        <v>93</v>
      </c>
      <c r="D188" s="294" t="s">
        <v>94</v>
      </c>
      <c r="E188" s="294" t="s">
        <v>45</v>
      </c>
      <c r="F188" s="295" t="s">
        <v>87</v>
      </c>
      <c r="G188" s="295" t="s">
        <v>50</v>
      </c>
      <c r="H188" s="296" t="s">
        <v>95</v>
      </c>
      <c r="I188" s="296" t="s">
        <v>608</v>
      </c>
      <c r="J188" s="551" t="s">
        <v>96</v>
      </c>
      <c r="K188" s="295" t="s">
        <v>89</v>
      </c>
      <c r="L188" s="298">
        <f t="shared" si="239"/>
        <v>21</v>
      </c>
      <c r="M188" s="299">
        <v>45460</v>
      </c>
      <c r="N188" s="299">
        <v>45480</v>
      </c>
      <c r="O188" s="298">
        <f t="shared" si="240"/>
        <v>183830.72399999999</v>
      </c>
      <c r="P188" s="300" t="s">
        <v>17</v>
      </c>
      <c r="Q188" s="301"/>
      <c r="R188" s="298"/>
      <c r="S188" s="302">
        <v>0.85</v>
      </c>
      <c r="T188" s="303">
        <f t="shared" ref="T188:T189" si="254">O188*S188</f>
        <v>156256.11539999998</v>
      </c>
      <c r="U188" s="298">
        <f>AB188*AC188</f>
        <v>45056.549999999996</v>
      </c>
      <c r="V188" s="298">
        <f>3*136%</f>
        <v>4.08</v>
      </c>
      <c r="W188" s="298"/>
      <c r="X188" s="304">
        <v>125</v>
      </c>
      <c r="Y188" s="305">
        <f t="shared" si="242"/>
        <v>22978.840499999998</v>
      </c>
      <c r="Z188" s="305">
        <f t="shared" si="248"/>
        <v>125</v>
      </c>
      <c r="AA188" s="305"/>
      <c r="AB188" s="306">
        <v>54285</v>
      </c>
      <c r="AC188" s="307">
        <v>0.83</v>
      </c>
      <c r="AD188" s="261"/>
      <c r="AE188" s="260"/>
      <c r="AF188" s="261">
        <v>0.70400000000000007</v>
      </c>
      <c r="AG188" s="260"/>
    </row>
    <row r="189" spans="2:33" ht="18.649999999999999" customHeight="1" x14ac:dyDescent="0.35">
      <c r="B189" s="323" t="s">
        <v>134</v>
      </c>
      <c r="C189" s="293" t="s">
        <v>93</v>
      </c>
      <c r="D189" s="295" t="s">
        <v>86</v>
      </c>
      <c r="E189" s="295" t="s">
        <v>45</v>
      </c>
      <c r="F189" s="295" t="s">
        <v>87</v>
      </c>
      <c r="G189" s="296" t="s">
        <v>50</v>
      </c>
      <c r="H189" s="296" t="s">
        <v>95</v>
      </c>
      <c r="I189" s="296" t="s">
        <v>610</v>
      </c>
      <c r="J189" s="551" t="s">
        <v>96</v>
      </c>
      <c r="K189" s="295" t="s">
        <v>89</v>
      </c>
      <c r="L189" s="298">
        <f t="shared" si="239"/>
        <v>21</v>
      </c>
      <c r="M189" s="299">
        <v>45460</v>
      </c>
      <c r="N189" s="299">
        <v>45480</v>
      </c>
      <c r="O189" s="298">
        <f>Y189/X189*1000</f>
        <v>1147106.7818181817</v>
      </c>
      <c r="P189" s="300" t="s">
        <v>17</v>
      </c>
      <c r="Q189" s="301"/>
      <c r="R189" s="298"/>
      <c r="S189" s="302">
        <v>0.8</v>
      </c>
      <c r="T189" s="303">
        <f t="shared" si="254"/>
        <v>917685.42545454542</v>
      </c>
      <c r="U189" s="298">
        <f>O189/V189</f>
        <v>212427.18181818179</v>
      </c>
      <c r="V189" s="298">
        <v>5.4</v>
      </c>
      <c r="W189" s="298"/>
      <c r="X189" s="304">
        <v>110</v>
      </c>
      <c r="Y189" s="305">
        <v>126181.746</v>
      </c>
      <c r="Z189" s="305">
        <f t="shared" si="248"/>
        <v>110</v>
      </c>
      <c r="AA189" s="305"/>
      <c r="AB189" s="306">
        <v>253377</v>
      </c>
      <c r="AC189" s="307">
        <f>U189/AB189</f>
        <v>0.83838383838383834</v>
      </c>
      <c r="AF189" s="261">
        <v>0.748</v>
      </c>
    </row>
    <row r="190" spans="2:33" ht="18.649999999999999" customHeight="1" x14ac:dyDescent="0.35">
      <c r="B190" s="323" t="s">
        <v>134</v>
      </c>
      <c r="C190" s="293" t="s">
        <v>97</v>
      </c>
      <c r="D190" s="264" t="s">
        <v>561</v>
      </c>
      <c r="E190" s="264" t="s">
        <v>45</v>
      </c>
      <c r="F190" s="263" t="s">
        <v>87</v>
      </c>
      <c r="G190" s="263" t="s">
        <v>98</v>
      </c>
      <c r="H190" s="265" t="s">
        <v>90</v>
      </c>
      <c r="I190" s="265" t="s">
        <v>609</v>
      </c>
      <c r="J190" s="552" t="s">
        <v>96</v>
      </c>
      <c r="K190" s="263" t="s">
        <v>89</v>
      </c>
      <c r="L190" s="266">
        <f t="shared" si="239"/>
        <v>21</v>
      </c>
      <c r="M190" s="267">
        <v>45460</v>
      </c>
      <c r="N190" s="267">
        <v>45480</v>
      </c>
      <c r="O190" s="266">
        <f t="shared" si="240"/>
        <v>243697.89</v>
      </c>
      <c r="P190" s="268" t="s">
        <v>17</v>
      </c>
      <c r="Q190" s="269">
        <v>1E-3</v>
      </c>
      <c r="R190" s="266">
        <f t="shared" ref="R190:R191" si="255">O190*Q190</f>
        <v>243.69789000000003</v>
      </c>
      <c r="S190" s="270">
        <v>0.7</v>
      </c>
      <c r="T190" s="271">
        <f>O190*S190</f>
        <v>170588.52299999999</v>
      </c>
      <c r="U190" s="266">
        <f t="shared" ref="U190" si="256">AB190*AC190</f>
        <v>162465.26</v>
      </c>
      <c r="V190" s="266">
        <v>1.5</v>
      </c>
      <c r="W190" s="266"/>
      <c r="X190" s="272">
        <v>70</v>
      </c>
      <c r="Y190" s="273">
        <f t="shared" si="242"/>
        <v>17058.852299999999</v>
      </c>
      <c r="Z190" s="273">
        <f t="shared" si="248"/>
        <v>69.999999999999986</v>
      </c>
      <c r="AA190" s="273">
        <f t="shared" ref="AA190:AA195" si="257">Y190/R190</f>
        <v>69.999999999999986</v>
      </c>
      <c r="AB190" s="274">
        <f>477839*85%</f>
        <v>406163.14999999997</v>
      </c>
      <c r="AC190" s="275">
        <v>0.4</v>
      </c>
      <c r="AD190" s="260">
        <f>AB191+(SUM(AB188:AB190)*2%)</f>
        <v>492115.50300000003</v>
      </c>
      <c r="AE190" s="260">
        <f>U189+(SUM(U188:U188,U190:U191)*20%)</f>
        <v>300862.15988961037</v>
      </c>
      <c r="AF190" s="261">
        <v>0.35200000000000004</v>
      </c>
      <c r="AG190" s="260"/>
    </row>
    <row r="191" spans="2:33" ht="18.649999999999999" customHeight="1" x14ac:dyDescent="0.35">
      <c r="B191" s="323" t="s">
        <v>134</v>
      </c>
      <c r="C191" s="293" t="s">
        <v>97</v>
      </c>
      <c r="D191" s="264" t="s">
        <v>86</v>
      </c>
      <c r="E191" s="264" t="s">
        <v>45</v>
      </c>
      <c r="F191" s="263" t="s">
        <v>87</v>
      </c>
      <c r="G191" s="263" t="s">
        <v>98</v>
      </c>
      <c r="H191" s="265" t="s">
        <v>90</v>
      </c>
      <c r="I191" s="265" t="s">
        <v>610</v>
      </c>
      <c r="J191" s="552" t="s">
        <v>96</v>
      </c>
      <c r="K191" s="263" t="s">
        <v>89</v>
      </c>
      <c r="L191" s="266">
        <f t="shared" ref="L191" si="258">N191-(M191-1)</f>
        <v>21</v>
      </c>
      <c r="M191" s="267">
        <v>45460</v>
      </c>
      <c r="N191" s="267">
        <v>45480</v>
      </c>
      <c r="O191" s="266">
        <f>Y191/X191*1000</f>
        <v>328514.3125</v>
      </c>
      <c r="P191" s="268" t="s">
        <v>17</v>
      </c>
      <c r="Q191" s="269">
        <v>1E-3</v>
      </c>
      <c r="R191" s="266">
        <f t="shared" si="255"/>
        <v>328.51431250000002</v>
      </c>
      <c r="S191" s="270">
        <v>0.8</v>
      </c>
      <c r="T191" s="271">
        <f>O191*S191</f>
        <v>262811.45</v>
      </c>
      <c r="U191" s="266">
        <f>O191/V191</f>
        <v>234653.08035714287</v>
      </c>
      <c r="V191" s="266">
        <v>1.4</v>
      </c>
      <c r="W191" s="266"/>
      <c r="X191" s="272">
        <v>80</v>
      </c>
      <c r="Y191" s="273">
        <v>26281.145</v>
      </c>
      <c r="Z191" s="273">
        <f t="shared" si="248"/>
        <v>80</v>
      </c>
      <c r="AA191" s="273">
        <f t="shared" si="257"/>
        <v>80</v>
      </c>
      <c r="AB191" s="274">
        <v>477839</v>
      </c>
      <c r="AC191" s="275">
        <f>U191/AB191</f>
        <v>0.4910714285714286</v>
      </c>
      <c r="AE191" s="260"/>
      <c r="AF191" s="261">
        <v>0.35200000000000004</v>
      </c>
      <c r="AG191" s="260"/>
    </row>
    <row r="192" spans="2:33" ht="18.649999999999999" customHeight="1" x14ac:dyDescent="0.35">
      <c r="B192" s="323" t="s">
        <v>135</v>
      </c>
      <c r="C192" s="293" t="s">
        <v>97</v>
      </c>
      <c r="D192" s="263" t="s">
        <v>99</v>
      </c>
      <c r="E192" s="263" t="s">
        <v>46</v>
      </c>
      <c r="F192" s="263" t="s">
        <v>100</v>
      </c>
      <c r="G192" s="263" t="s">
        <v>101</v>
      </c>
      <c r="H192" s="265" t="s">
        <v>88</v>
      </c>
      <c r="I192" s="265" t="s">
        <v>102</v>
      </c>
      <c r="J192" s="553" t="s">
        <v>96</v>
      </c>
      <c r="K192" s="263" t="s">
        <v>89</v>
      </c>
      <c r="L192" s="266">
        <f t="shared" si="239"/>
        <v>21</v>
      </c>
      <c r="M192" s="267">
        <v>45460</v>
      </c>
      <c r="N192" s="267">
        <v>45480</v>
      </c>
      <c r="O192" s="266">
        <f>U192*V192</f>
        <v>3778074.0228000004</v>
      </c>
      <c r="P192" s="268" t="s">
        <v>17</v>
      </c>
      <c r="Q192" s="269">
        <v>1.4999999999999999E-2</v>
      </c>
      <c r="R192" s="266">
        <f>O192*Q192</f>
        <v>56671.110342000007</v>
      </c>
      <c r="S192" s="268" t="s">
        <v>17</v>
      </c>
      <c r="T192" s="271" t="s">
        <v>17</v>
      </c>
      <c r="U192" s="266">
        <f>AB192*AC192</f>
        <v>3778074.0228000004</v>
      </c>
      <c r="V192" s="266">
        <v>1</v>
      </c>
      <c r="W192" s="266"/>
      <c r="X192" s="272">
        <v>105</v>
      </c>
      <c r="Y192" s="273">
        <f t="shared" si="242"/>
        <v>396697.77239400003</v>
      </c>
      <c r="Z192" s="273">
        <f t="shared" si="248"/>
        <v>105</v>
      </c>
      <c r="AA192" s="273">
        <f t="shared" si="257"/>
        <v>7</v>
      </c>
      <c r="AB192" s="274">
        <f>15741975.095*60%</f>
        <v>9445185.057</v>
      </c>
      <c r="AC192" s="275">
        <v>0.4</v>
      </c>
      <c r="AE192" s="260"/>
      <c r="AF192" s="261">
        <v>0.35200000000000004</v>
      </c>
      <c r="AG192" s="260"/>
    </row>
    <row r="193" spans="2:39" ht="18.649999999999999" customHeight="1" x14ac:dyDescent="0.35">
      <c r="B193" s="324" t="str">
        <f>B192</f>
        <v>Rest of T57</v>
      </c>
      <c r="C193" s="325"/>
      <c r="D193" s="326" t="s">
        <v>18</v>
      </c>
      <c r="E193" s="327"/>
      <c r="F193" s="326"/>
      <c r="G193" s="327"/>
      <c r="H193" s="327"/>
      <c r="I193" s="328"/>
      <c r="J193" s="547"/>
      <c r="K193" s="330"/>
      <c r="L193" s="331"/>
      <c r="M193" s="331"/>
      <c r="N193" s="331"/>
      <c r="O193" s="331">
        <f>SUM(O176:O192)</f>
        <v>68981168.507027268</v>
      </c>
      <c r="P193" s="331"/>
      <c r="Q193" s="332">
        <f>R193/O193</f>
        <v>1.1130080416320957E-3</v>
      </c>
      <c r="R193" s="331">
        <f>SUM(R176:R192)</f>
        <v>76776.595269500016</v>
      </c>
      <c r="S193" s="333"/>
      <c r="T193" s="334">
        <f>SUM(T176:T192)</f>
        <v>51558018.752581827</v>
      </c>
      <c r="U193" s="331">
        <f>AE178+AE182+AE186+AE190+(SUM(U192:U192)*3%)</f>
        <v>10569656.76457794</v>
      </c>
      <c r="V193" s="331">
        <f>O193/U193</f>
        <v>6.5263395059528948</v>
      </c>
      <c r="W193" s="331"/>
      <c r="X193" s="335"/>
      <c r="Y193" s="336">
        <f>SUM(Y176:Y192)</f>
        <v>6955789.9671940012</v>
      </c>
      <c r="Z193" s="337">
        <f t="shared" si="248"/>
        <v>100.83607044849347</v>
      </c>
      <c r="AA193" s="337">
        <f t="shared" si="257"/>
        <v>90.597791459466194</v>
      </c>
      <c r="AB193" s="331">
        <f>AD178+AD182+AD186+AD190+(SUM(AB192:AB192)*2%)</f>
        <v>17470596.834139999</v>
      </c>
      <c r="AC193" s="338">
        <f>U193/AB193</f>
        <v>0.6049968907715475</v>
      </c>
      <c r="AD193" s="261"/>
      <c r="AE193" s="290"/>
      <c r="AF193" s="261">
        <v>0.68351319358205043</v>
      </c>
      <c r="AG193" s="290"/>
      <c r="AH193" s="460"/>
      <c r="AI193" s="459"/>
    </row>
    <row r="194" spans="2:39" ht="18.649999999999999" customHeight="1" x14ac:dyDescent="0.35">
      <c r="B194" s="339" t="s">
        <v>136</v>
      </c>
      <c r="C194" s="293" t="s">
        <v>97</v>
      </c>
      <c r="D194" s="340" t="s">
        <v>137</v>
      </c>
      <c r="E194" s="341" t="s">
        <v>46</v>
      </c>
      <c r="F194" s="340" t="s">
        <v>138</v>
      </c>
      <c r="G194" s="341" t="s">
        <v>101</v>
      </c>
      <c r="H194" s="341" t="s">
        <v>88</v>
      </c>
      <c r="I194" s="341" t="s">
        <v>139</v>
      </c>
      <c r="J194" s="553" t="s">
        <v>96</v>
      </c>
      <c r="K194" s="341" t="s">
        <v>89</v>
      </c>
      <c r="L194" s="342">
        <f>N194-(M194-1)</f>
        <v>21</v>
      </c>
      <c r="M194" s="267">
        <v>45460</v>
      </c>
      <c r="N194" s="267">
        <v>45480</v>
      </c>
      <c r="O194" s="342">
        <f>Y194/X194*1000</f>
        <v>7142857.1428571427</v>
      </c>
      <c r="P194" s="344" t="s">
        <v>17</v>
      </c>
      <c r="Q194" s="345">
        <v>1.4999999999999999E-2</v>
      </c>
      <c r="R194" s="346">
        <f>O194*Q194</f>
        <v>107142.85714285713</v>
      </c>
      <c r="S194" s="344" t="s">
        <v>17</v>
      </c>
      <c r="T194" s="344" t="s">
        <v>17</v>
      </c>
      <c r="U194" s="342">
        <f>O194/V194</f>
        <v>3571428.5714285714</v>
      </c>
      <c r="V194" s="347">
        <v>2</v>
      </c>
      <c r="W194" s="347"/>
      <c r="X194" s="348">
        <v>105</v>
      </c>
      <c r="Y194" s="273">
        <f>1500000/2</f>
        <v>750000</v>
      </c>
      <c r="Z194" s="273">
        <f t="shared" si="248"/>
        <v>105</v>
      </c>
      <c r="AA194" s="273">
        <f t="shared" si="257"/>
        <v>7.0000000000000009</v>
      </c>
      <c r="AB194" s="346">
        <v>53766063</v>
      </c>
      <c r="AC194" s="209">
        <f>U194/AB194</f>
        <v>6.6425331745576605E-2</v>
      </c>
      <c r="AE194" s="260"/>
      <c r="AF194" s="261">
        <v>7.7939055914809874E-2</v>
      </c>
      <c r="AG194" s="260"/>
      <c r="AM194" s="261"/>
    </row>
    <row r="195" spans="2:39" ht="18.649999999999999" customHeight="1" x14ac:dyDescent="0.35">
      <c r="B195" s="339" t="s">
        <v>136</v>
      </c>
      <c r="C195" s="293" t="s">
        <v>97</v>
      </c>
      <c r="D195" s="340" t="s">
        <v>140</v>
      </c>
      <c r="E195" s="341" t="s">
        <v>46</v>
      </c>
      <c r="F195" s="340" t="s">
        <v>138</v>
      </c>
      <c r="G195" s="341" t="s">
        <v>101</v>
      </c>
      <c r="H195" s="341" t="s">
        <v>88</v>
      </c>
      <c r="I195" s="341" t="s">
        <v>139</v>
      </c>
      <c r="J195" s="553" t="s">
        <v>96</v>
      </c>
      <c r="K195" s="341" t="s">
        <v>89</v>
      </c>
      <c r="L195" s="342">
        <f>N195-(M195-1)</f>
        <v>21</v>
      </c>
      <c r="M195" s="267">
        <v>45460</v>
      </c>
      <c r="N195" s="267">
        <v>45480</v>
      </c>
      <c r="O195" s="342">
        <f>Y195/X195*1000</f>
        <v>7142857.1428571427</v>
      </c>
      <c r="P195" s="344" t="s">
        <v>17</v>
      </c>
      <c r="Q195" s="345">
        <v>1.4999999999999999E-2</v>
      </c>
      <c r="R195" s="346">
        <f>O195*Q195</f>
        <v>107142.85714285713</v>
      </c>
      <c r="S195" s="344" t="s">
        <v>17</v>
      </c>
      <c r="T195" s="344" t="s">
        <v>17</v>
      </c>
      <c r="U195" s="342">
        <f>O195/V195</f>
        <v>3571428.5714285714</v>
      </c>
      <c r="V195" s="347">
        <v>2</v>
      </c>
      <c r="W195" s="347"/>
      <c r="X195" s="348">
        <v>105</v>
      </c>
      <c r="Y195" s="273">
        <f>1500000/2</f>
        <v>750000</v>
      </c>
      <c r="Z195" s="273">
        <f t="shared" si="248"/>
        <v>105</v>
      </c>
      <c r="AA195" s="273">
        <f t="shared" si="257"/>
        <v>7.0000000000000009</v>
      </c>
      <c r="AB195" s="209"/>
      <c r="AC195" s="209"/>
      <c r="AF195" s="261">
        <v>0</v>
      </c>
    </row>
    <row r="196" spans="2:39" ht="18.649999999999999" customHeight="1" thickBot="1" x14ac:dyDescent="0.4">
      <c r="B196" s="437" t="s">
        <v>142</v>
      </c>
      <c r="C196" s="438"/>
      <c r="D196" s="439"/>
      <c r="E196" s="330"/>
      <c r="F196" s="439"/>
      <c r="G196" s="330"/>
      <c r="H196" s="330"/>
      <c r="I196" s="330"/>
      <c r="J196" s="548"/>
      <c r="K196" s="330"/>
      <c r="L196" s="331"/>
      <c r="M196" s="331"/>
      <c r="N196" s="331"/>
      <c r="O196" s="331">
        <f>SUM(O194:O195)</f>
        <v>14285714.285714285</v>
      </c>
      <c r="P196" s="331"/>
      <c r="Q196" s="332">
        <v>1.4999999999999999E-2</v>
      </c>
      <c r="R196" s="331">
        <f>SUM(R194:R195)</f>
        <v>214285.71428571426</v>
      </c>
      <c r="S196" s="333"/>
      <c r="T196" s="334"/>
      <c r="U196" s="331">
        <f>U194+SUM(U195)*15%</f>
        <v>4107142.8571428573</v>
      </c>
      <c r="V196" s="331">
        <v>10</v>
      </c>
      <c r="W196" s="331"/>
      <c r="X196" s="335">
        <v>175</v>
      </c>
      <c r="Y196" s="336">
        <f>SUM(Y194:Y195)</f>
        <v>1500000</v>
      </c>
      <c r="Z196" s="337"/>
      <c r="AA196" s="337"/>
      <c r="AB196" s="440"/>
      <c r="AC196" s="338"/>
      <c r="AD196" s="355"/>
      <c r="AE196" s="290"/>
      <c r="AF196" s="261">
        <v>0</v>
      </c>
      <c r="AG196" s="290"/>
    </row>
    <row r="197" spans="2:39" ht="18.649999999999999" customHeight="1" thickBot="1" x14ac:dyDescent="0.4">
      <c r="B197" s="441" t="s">
        <v>136</v>
      </c>
      <c r="C197" s="442" t="s">
        <v>97</v>
      </c>
      <c r="D197" s="449" t="s">
        <v>529</v>
      </c>
      <c r="E197" s="449" t="s">
        <v>46</v>
      </c>
      <c r="F197" s="449" t="s">
        <v>530</v>
      </c>
      <c r="G197" s="449" t="s">
        <v>98</v>
      </c>
      <c r="H197" s="450" t="s">
        <v>88</v>
      </c>
      <c r="I197" s="450" t="s">
        <v>139</v>
      </c>
      <c r="J197" s="549" t="s">
        <v>531</v>
      </c>
      <c r="K197" s="449" t="s">
        <v>105</v>
      </c>
      <c r="L197" s="451">
        <f t="shared" ref="L197" si="259">N197-(M197-1)</f>
        <v>21</v>
      </c>
      <c r="M197" s="452">
        <v>45460</v>
      </c>
      <c r="N197" s="452">
        <v>45480</v>
      </c>
      <c r="O197" s="451">
        <f>R197/Q197</f>
        <v>273600000</v>
      </c>
      <c r="P197" s="453" t="s">
        <v>17</v>
      </c>
      <c r="Q197" s="443">
        <v>7.0000000000000001E-3</v>
      </c>
      <c r="R197" s="451">
        <f>3830400*50%</f>
        <v>1915200</v>
      </c>
      <c r="S197" s="453" t="s">
        <v>17</v>
      </c>
      <c r="T197" s="454"/>
      <c r="U197" s="451">
        <f>O197/V197</f>
        <v>68400000</v>
      </c>
      <c r="V197" s="451">
        <v>4</v>
      </c>
      <c r="W197" s="451"/>
      <c r="X197" s="455">
        <v>4</v>
      </c>
      <c r="Y197" s="444">
        <f>R197*X197</f>
        <v>7660800</v>
      </c>
      <c r="Z197" s="444">
        <f>Y197/O197*1000</f>
        <v>28</v>
      </c>
      <c r="AA197" s="444">
        <f>Y197/R197</f>
        <v>4</v>
      </c>
      <c r="AB197" s="456"/>
      <c r="AC197" s="457"/>
      <c r="AD197" s="445"/>
      <c r="AE197" s="445"/>
      <c r="AF197" s="261">
        <v>0</v>
      </c>
      <c r="AG197" s="445"/>
      <c r="AH197" s="446" t="s">
        <v>532</v>
      </c>
    </row>
    <row r="198" spans="2:39" x14ac:dyDescent="0.35">
      <c r="B198" s="356" t="s">
        <v>18</v>
      </c>
      <c r="C198" s="356"/>
      <c r="D198" s="356"/>
      <c r="E198" s="357"/>
      <c r="F198" s="356"/>
      <c r="G198" s="356"/>
      <c r="H198" s="356"/>
      <c r="I198" s="356"/>
      <c r="J198" s="550"/>
      <c r="K198" s="356"/>
      <c r="L198" s="356"/>
      <c r="M198" s="356"/>
      <c r="N198" s="356"/>
      <c r="O198" s="358">
        <f>O193+O175+O167+O159+O151+O143+O135+O127+O119+O107+O95+O19+O83+O71+O39+O59+O196+O27+O47+O197+O7</f>
        <v>871978986.82177234</v>
      </c>
      <c r="P198" s="356"/>
      <c r="Q198" s="356"/>
      <c r="R198" s="358">
        <f>R193+R175+R167+R159+R151+R143+R135+R127+R119+R107+R95+R19+R83+R71+R39+R59+R196+R27+R47+R197+R7</f>
        <v>3807172.0678086625</v>
      </c>
      <c r="S198" s="356"/>
      <c r="T198" s="358">
        <f>T193+T175+T167+T159+T151+T143+T135+T127+T119+T107+T95+T19+T83+T71+T39+T59+T196+T27+T47+T197+T7</f>
        <v>378861259.39508396</v>
      </c>
      <c r="U198" s="358">
        <f>U193+U175+U167+U159+U151+U143+U135+U127+U119+U107+U95+U19+U83+U71+U39+U59+U27+U47+((U196+U197+U7)*10%)</f>
        <v>76528281.515083671</v>
      </c>
      <c r="V198" s="359">
        <f>O198/U198</f>
        <v>11.394205770188448</v>
      </c>
      <c r="W198" s="359"/>
      <c r="X198" s="356"/>
      <c r="Y198" s="360">
        <f>Y193+Y175+Y167+Y159+Y151+Y143+Y135+Y127+Y119+Y107+Y95+Y19+Y83+Y71+Y39+Y59+Y196+Y27+Y47+Y197+Y7</f>
        <v>72304473.263051361</v>
      </c>
      <c r="Z198" s="356"/>
      <c r="AA198" s="356"/>
      <c r="AB198" s="358">
        <f>91*10^6</f>
        <v>91000000</v>
      </c>
      <c r="AC198" s="447">
        <f>U198/AB198</f>
        <v>0.84097012653938097</v>
      </c>
      <c r="AF198" s="261">
        <v>0.81053499196340073</v>
      </c>
    </row>
    <row r="199" spans="2:39" x14ac:dyDescent="0.35">
      <c r="Y199" s="261"/>
    </row>
    <row r="200" spans="2:39" x14ac:dyDescent="0.35">
      <c r="O200" s="364"/>
    </row>
    <row r="201" spans="2:39" x14ac:dyDescent="0.35">
      <c r="O201" s="290"/>
      <c r="W201" s="261"/>
      <c r="X201" s="261"/>
    </row>
    <row r="202" spans="2:39" x14ac:dyDescent="0.35">
      <c r="Q202" s="261"/>
      <c r="R202" s="290"/>
      <c r="X202" s="261"/>
      <c r="Y202" s="261"/>
      <c r="AB202" s="261"/>
      <c r="AH202" s="365"/>
    </row>
    <row r="203" spans="2:39" x14ac:dyDescent="0.35">
      <c r="M203" s="366"/>
      <c r="O203" s="290"/>
      <c r="R203" s="290"/>
      <c r="W203" s="261"/>
      <c r="AH203" s="365"/>
    </row>
    <row r="204" spans="2:39" x14ac:dyDescent="0.35">
      <c r="R204" s="290"/>
      <c r="S204" s="364"/>
      <c r="AB204" s="540"/>
      <c r="AH204" s="365"/>
    </row>
    <row r="205" spans="2:39" x14ac:dyDescent="0.35">
      <c r="E205" s="364"/>
      <c r="R205" s="290"/>
      <c r="S205" s="364"/>
      <c r="AH205" s="365"/>
    </row>
    <row r="206" spans="2:39" x14ac:dyDescent="0.35">
      <c r="E206" s="364"/>
      <c r="R206" s="290"/>
      <c r="S206" s="364"/>
      <c r="AC206" s="570"/>
      <c r="AE206" s="260"/>
      <c r="AF206" s="260"/>
      <c r="AG206" s="260"/>
    </row>
    <row r="207" spans="2:39" x14ac:dyDescent="0.35">
      <c r="E207" s="364"/>
      <c r="T207" s="260"/>
      <c r="Y207" s="545"/>
    </row>
    <row r="208" spans="2:39" x14ac:dyDescent="0.35">
      <c r="E208" s="364"/>
      <c r="Z208" s="261"/>
    </row>
    <row r="209" spans="5:34" x14ac:dyDescent="0.35">
      <c r="E209" s="364"/>
    </row>
    <row r="210" spans="5:34" x14ac:dyDescent="0.35">
      <c r="E210" s="364"/>
      <c r="Y210" s="261"/>
    </row>
    <row r="211" spans="5:34" x14ac:dyDescent="0.35">
      <c r="E211" s="364"/>
      <c r="U211" s="545"/>
      <c r="Y211" s="571"/>
    </row>
    <row r="212" spans="5:34" x14ac:dyDescent="0.35">
      <c r="E212" s="364"/>
      <c r="Y212" s="540"/>
    </row>
    <row r="213" spans="5:34" x14ac:dyDescent="0.35">
      <c r="E213" s="364"/>
      <c r="U213" s="573"/>
    </row>
    <row r="216" spans="5:34" x14ac:dyDescent="0.35">
      <c r="X216" s="364"/>
      <c r="AH216" s="365"/>
    </row>
    <row r="217" spans="5:34" x14ac:dyDescent="0.35">
      <c r="Z217" s="261"/>
    </row>
  </sheetData>
  <autoFilter ref="A1:AM198" xr:uid="{EB26B648-D0A7-491D-ADA6-D2158CE9EEF0}"/>
  <hyperlinks>
    <hyperlink ref="J52" location="Targeting_Core!A1" display="Reff : Targeting Sheet" xr:uid="{84BFE463-5A9C-4BBD-94D5-8A1916BE75B7}"/>
    <hyperlink ref="J48" location="Targeting_Core!A1" display="Reff : Targeting Sheet" xr:uid="{285C0133-1885-417E-A0F0-AE035696D6EB}"/>
    <hyperlink ref="J49" location="Targeting_Core!A1" display="Reff : Targeting Sheet" xr:uid="{FE336912-F1F3-4905-BC97-52E139E80E28}"/>
    <hyperlink ref="J50" location="Targeting_Core!A1" display="Reff : Targeting Sheet" xr:uid="{118D4ABB-C317-4FA0-AA53-41E881B9F7CA}"/>
    <hyperlink ref="J32" location="Targeting_Core!A1" display="Reff : Targeting Sheet" xr:uid="{35D43012-CEA6-4B26-9741-E8F292028CBF}"/>
    <hyperlink ref="J30" location="Targeting_Core!A1" display="Reff : Targeting Sheet" xr:uid="{96887C0B-A0B9-490F-A5D1-3BD4AEF752FE}"/>
    <hyperlink ref="J64" location="Targeting_Core!A1" display="Reff : Targeting Sheet" xr:uid="{7789A3DD-D646-4231-BF5C-D9BADC1D2BF2}"/>
    <hyperlink ref="J60" location="Targeting_Core!A1" display="Reff : Targeting Sheet" xr:uid="{7B75A03E-4121-4C87-A160-B9ECC9252A0F}"/>
    <hyperlink ref="J61" location="Targeting_Core!A1" display="Reff : Targeting Sheet" xr:uid="{361660D1-641F-4872-A153-C98F10D8CEB4}"/>
    <hyperlink ref="J62" location="Targeting_Core!A1" display="Reff : Targeting Sheet" xr:uid="{C4080CDD-7C1E-48F5-8616-10E10176761C}"/>
    <hyperlink ref="J76" location="Targeting_Core!A1" display="Reff : Targeting Sheet" xr:uid="{CD4CEDF3-4C2F-46C9-B366-11F9D25CC899}"/>
    <hyperlink ref="J72" location="Targeting_Core!A1" display="Reff : Targeting Sheet" xr:uid="{AEC8955B-D0F0-4F9D-AD9B-FB51230698B3}"/>
    <hyperlink ref="J73" location="Targeting_Core!A1" display="Reff : Targeting Sheet" xr:uid="{8D395961-FB8A-4701-9182-6560B906504F}"/>
    <hyperlink ref="J74" location="Targeting_Core!A1" display="Reff : Targeting Sheet" xr:uid="{E8481DDE-CBB6-4B90-A7DB-C452D352D9AF}"/>
    <hyperlink ref="J12" location="Targeting_Core!A1" display="Reff : Targeting Sheet" xr:uid="{331E0AD8-2607-40DF-94AE-DB3B21B0725F}"/>
    <hyperlink ref="J8" location="Targeting_Core!A1" display="Reff : Targeting Sheet" xr:uid="{813808E5-7A78-40E3-801F-730DD1EECC36}"/>
    <hyperlink ref="J9" location="Targeting_Core!A1" display="Reff : Targeting Sheet" xr:uid="{ED52E3DC-B4D7-42D1-B21C-34F4D99CA7F0}"/>
    <hyperlink ref="J10" location="Targeting_Core!A1" display="Reff : Targeting Sheet" xr:uid="{1345768B-226F-4D08-A70B-6AC295E983AF}"/>
    <hyperlink ref="J88" location="Targeting_Core!A1" display="Reff : Targeting Sheet" xr:uid="{90B17D44-E3C2-48D9-B70D-427ECCA6EC7D}"/>
    <hyperlink ref="J84" location="Targeting_Core!A1" display="Reff : Targeting Sheet" xr:uid="{DF53FC4D-B490-4C92-A50D-5FD1E03D2208}"/>
    <hyperlink ref="J85" location="Targeting_Core!A1" display="Reff : Targeting Sheet" xr:uid="{EBA49591-3FE2-4150-AB97-711AA7A01351}"/>
    <hyperlink ref="J86" location="Targeting_Core!A1" display="Reff : Targeting Sheet" xr:uid="{2EF95D4C-58A2-466C-B32F-2C05F80C6831}"/>
    <hyperlink ref="J100" location="Targeting_Core!A1" display="Reff : Targeting Sheet" xr:uid="{895A4F87-FD42-4FFD-9948-4FE52C439745}"/>
    <hyperlink ref="J96" location="Targeting_Core!A1" display="Reff : Targeting Sheet" xr:uid="{1C36E633-6106-4A98-8C59-587ED038BAF3}"/>
    <hyperlink ref="J97" location="Targeting_Core!A1" display="Reff : Targeting Sheet" xr:uid="{B09E085E-28D5-4087-9F53-4ADB93B46E43}"/>
    <hyperlink ref="J98" location="Targeting_Core!A1" display="Reff : Targeting Sheet" xr:uid="{33431B3C-AFD9-4F6D-9B37-14AEF1D87F51}"/>
    <hyperlink ref="J112" location="Targeting_Core!A1" display="Reff : Targeting Sheet" xr:uid="{31C58CFE-612A-4205-B638-4BAD0BF85D94}"/>
    <hyperlink ref="J108" location="Targeting_Core!A1" display="Reff : Targeting Sheet" xr:uid="{4D6F1F98-5A96-4E86-9C5A-B77F8EBEE1B9}"/>
    <hyperlink ref="J109" location="Targeting_Core!A1" display="Reff : Targeting Sheet" xr:uid="{C30BE7F8-2352-4985-B826-55A702E0BC4E}"/>
    <hyperlink ref="J110" location="Targeting_Core!A1" display="Reff : Targeting Sheet" xr:uid="{F2D5E96F-1B57-4714-9A32-16CD139ED522}"/>
    <hyperlink ref="J124" location="Targeting_Core!A1" display="Reff : Targeting Sheet" xr:uid="{E2495A68-B7FC-4483-9498-16E7A95DB9E1}"/>
    <hyperlink ref="J120" location="Targeting_Core!A1" display="Reff : Targeting Sheet" xr:uid="{D564902C-4272-4AD5-BE3F-58D50041ECF2}"/>
    <hyperlink ref="J121" location="Targeting_Core!A1" display="Reff : Targeting Sheet" xr:uid="{768046DF-A2BE-4A37-9B66-ADCF44A528CD}"/>
    <hyperlink ref="J122" location="Targeting_Core!A1" display="Reff : Targeting Sheet" xr:uid="{B687D4B8-4B5D-48D9-8F17-C31D44803528}"/>
    <hyperlink ref="J132" location="Targeting_Core!A1" display="Reff : Targeting Sheet" xr:uid="{9A0E6C42-EABB-4534-967D-6B2DAB8ABE35}"/>
    <hyperlink ref="J128" location="Targeting_Core!A1" display="Reff : Targeting Sheet" xr:uid="{AE55D4DC-38C7-4A96-BA0E-59B7AC5C40B9}"/>
    <hyperlink ref="J129" location="Targeting_Core!A1" display="Reff : Targeting Sheet" xr:uid="{4E7BA2EB-F0E4-4514-AF82-10E8FC72D01E}"/>
    <hyperlink ref="J130" location="Targeting_Core!A1" display="Reff : Targeting Sheet" xr:uid="{A2383C55-B259-45FE-956D-1B55600E430E}"/>
    <hyperlink ref="J140" location="Targeting_Core!A1" display="Reff : Targeting Sheet" xr:uid="{61515163-4D36-4D67-AE2B-D48BD2B222CE}"/>
    <hyperlink ref="J136" location="Targeting_Core!A1" display="Reff : Targeting Sheet" xr:uid="{C829CD27-3EC3-433E-8436-664616F8FA6D}"/>
    <hyperlink ref="J137" location="Targeting_Core!A1" display="Reff : Targeting Sheet" xr:uid="{6CD08ED3-8DCC-43E8-8AEA-DA4A3FC8FFB9}"/>
    <hyperlink ref="J138" location="Targeting_Core!A1" display="Reff : Targeting Sheet" xr:uid="{34FE37F5-8034-43B9-ADB3-B08C1163D85A}"/>
    <hyperlink ref="J148" location="Targeting_Core!A1" display="Reff : Targeting Sheet" xr:uid="{5B0254FF-B23E-4587-A3D1-99187005EE99}"/>
    <hyperlink ref="J144" location="Targeting_Core!A1" display="Reff : Targeting Sheet" xr:uid="{19354B65-2701-4325-827C-4DD05F1CF328}"/>
    <hyperlink ref="J145" location="Targeting_Core!A1" display="Reff : Targeting Sheet" xr:uid="{8112EE98-A982-4EB9-B7EF-5DB9F90977C5}"/>
    <hyperlink ref="J146" location="Targeting_Core!A1" display="Reff : Targeting Sheet" xr:uid="{82A51B49-A2D6-4138-9306-CAF7A5CBB30E}"/>
    <hyperlink ref="J156" location="Targeting_Core!A1" display="Reff : Targeting Sheet" xr:uid="{366E69BE-1E0E-4E9B-AC6F-EACE598ED7C3}"/>
    <hyperlink ref="J152" location="Targeting_Core!A1" display="Reff : Targeting Sheet" xr:uid="{D0A8E299-4DEF-44E7-9ACE-019863308D00}"/>
    <hyperlink ref="J153" location="Targeting_Core!A1" display="Reff : Targeting Sheet" xr:uid="{447FBE28-A639-4445-A45C-A3CC78D9F0A2}"/>
    <hyperlink ref="J154" location="Targeting_Core!A1" display="Reff : Targeting Sheet" xr:uid="{A5D38B4E-706F-4954-B105-A0EC254C1415}"/>
    <hyperlink ref="J164" location="Targeting_Core!A1" display="Reff : Targeting Sheet" xr:uid="{A1BA3428-848C-47F9-8BB7-3AD91F7B1FC2}"/>
    <hyperlink ref="J160" location="Targeting_Core!A1" display="Reff : Targeting Sheet" xr:uid="{80FE713D-BA7B-4414-A657-43957B56388D}"/>
    <hyperlink ref="J161" location="Targeting_Core!A1" display="Reff : Targeting Sheet" xr:uid="{4EAE38DB-2E4A-4698-B99E-3C4F3D417C8C}"/>
    <hyperlink ref="J162" location="Targeting_Core!A1" display="Reff : Targeting Sheet" xr:uid="{CDF7971B-CC55-4473-907E-D4D14E5E326F}"/>
    <hyperlink ref="J172" location="Targeting_Core!A1" display="Reff : Targeting Sheet" xr:uid="{55F7B897-F2B5-4FF9-9280-0BBFF2B96028}"/>
    <hyperlink ref="J168" location="Targeting_Core!A1" display="Reff : Targeting Sheet" xr:uid="{0FA31300-61ED-4BFA-BCBB-71DB99318762}"/>
    <hyperlink ref="J169" location="Targeting_Core!A1" display="Reff : Targeting Sheet" xr:uid="{291E7044-AB37-4290-A91E-AAC17638A249}"/>
    <hyperlink ref="J170" location="Targeting_Core!A1" display="Reff : Targeting Sheet" xr:uid="{60929557-8AFD-4F77-8B68-9BAC6F26A8AD}"/>
    <hyperlink ref="J192" location="Targeting_Core!A1" display="Reff : Targeting Sheet" xr:uid="{BD794AD9-F3FD-4859-B4BB-7CD58FB6FBBA}"/>
    <hyperlink ref="J176" location="Targeting_Core!A1" display="Reff : Targeting Sheet" xr:uid="{A52ED9E4-F3DA-4215-9578-177C484940FD}"/>
    <hyperlink ref="J177" location="Targeting_Core!A1" display="Reff : Targeting Sheet" xr:uid="{40C824CD-6240-4F64-90EA-5B1A1075897C}"/>
    <hyperlink ref="J178" location="Targeting_Core!A1" display="Reff : Targeting Sheet" xr:uid="{6686DC5A-A597-4E03-A4A0-44FAF22BC1C8}"/>
    <hyperlink ref="J54" location="Targeting_Core!A1" display="Reff : Targeting Sheet" xr:uid="{12BDCF98-D2CF-4933-9A8D-8FDF20583D3B}"/>
    <hyperlink ref="J34" location="Targeting_Core!A1" display="Reff : Targeting Sheet" xr:uid="{2DD38628-43DC-41A7-9146-C506E922BF08}"/>
    <hyperlink ref="J66" location="Targeting_Core!A1" display="Reff : Targeting Sheet" xr:uid="{A38ADC6C-9ECA-44F2-89BF-93599691A718}"/>
    <hyperlink ref="J78" location="Targeting_Core!A1" display="Reff : Targeting Sheet" xr:uid="{070D1A1A-7679-4D4B-8366-DF9BBF879F36}"/>
    <hyperlink ref="J14" location="Targeting_Core!A1" display="Reff : Targeting Sheet" xr:uid="{A7D0E4B7-2B7B-4ACC-90B4-7F8F5698E29B}"/>
    <hyperlink ref="J90" location="Targeting_Core!A1" display="Reff : Targeting Sheet" xr:uid="{1BCE7005-F8B9-41EB-A69A-F27ABCB1C593}"/>
    <hyperlink ref="J102" location="Targeting_Core!A1" display="Reff : Targeting Sheet" xr:uid="{33A0E5F5-330A-41C4-BCD3-841C0F02F50D}"/>
    <hyperlink ref="J114" location="Targeting_Core!A1" display="Reff : Targeting Sheet" xr:uid="{16B73F00-BB1F-4FA7-B716-DE94504A0F57}"/>
    <hyperlink ref="J126" location="Targeting_Core!A1" display="Reff : Targeting Sheet" xr:uid="{78B64E6F-202D-4037-9D62-76DF5CAD06C0}"/>
    <hyperlink ref="J134" location="Targeting_Core!A1" display="Reff : Targeting Sheet" xr:uid="{B6DAD590-E63D-47E0-BA87-3EE8E3309046}"/>
    <hyperlink ref="J142" location="Targeting_Core!A1" display="Reff : Targeting Sheet" xr:uid="{ADED7656-365C-4115-A2BC-620A38C0D598}"/>
    <hyperlink ref="J150" location="Targeting_Core!A1" display="Reff : Targeting Sheet" xr:uid="{63040E6A-7D0D-4F93-A39B-1323AE522D81}"/>
    <hyperlink ref="J158" location="Targeting_Core!A1" display="Reff : Targeting Sheet" xr:uid="{7FF3E6A9-D2EA-4523-BD23-C5C3824D535E}"/>
    <hyperlink ref="J166" location="Targeting_Core!A1" display="Reff : Targeting Sheet" xr:uid="{7DD54BB0-0C03-4E86-BF96-83DD0FD42696}"/>
    <hyperlink ref="J174" location="Targeting_Core!A1" display="Reff : Targeting Sheet" xr:uid="{CCC1DB90-A917-4357-BFFB-B6BE45221EDF}"/>
    <hyperlink ref="J180" location="Targeting_Core!A1" display="Reff : Targeting Sheet" xr:uid="{B1C0F51C-6D57-4FD1-9DFE-F7AAE0919BAB}"/>
    <hyperlink ref="J181" location="Targeting_Core!A1" display="Reff : Targeting Sheet" xr:uid="{2CD7C866-F716-4F2B-B7BE-B17204FCF8D2}"/>
    <hyperlink ref="J182" location="Targeting_Core!A1" display="Reff : Targeting Sheet" xr:uid="{0BBFD2C5-DB63-4A9F-A4A8-A94C2E141513}"/>
    <hyperlink ref="J184" location="Targeting_Core!A1" display="Reff : Targeting Sheet" xr:uid="{CE205108-4906-49E7-9710-52CCB3CCB2DE}"/>
    <hyperlink ref="J185" location="Targeting_Core!A1" display="Reff : Targeting Sheet" xr:uid="{84AE4848-96B2-4123-957E-335391AC278E}"/>
    <hyperlink ref="J186" location="Targeting_Core!A1" display="Reff : Targeting Sheet" xr:uid="{22EF9645-8C28-4028-A686-BAAB01EBD271}"/>
    <hyperlink ref="J188" location="Targeting_Core!A1" display="Reff : Targeting Sheet" xr:uid="{C5C7ACD4-9E5F-4002-AF76-76CEC776F566}"/>
    <hyperlink ref="J189" location="Targeting_Core!A1" display="Reff : Targeting Sheet" xr:uid="{ED5BAD41-53E9-4380-90F3-2D7CF02063EE}"/>
    <hyperlink ref="J190" location="Targeting_Core!A1" display="Reff : Targeting Sheet" xr:uid="{EAB85986-77C8-4054-B836-5FE57CBBFA61}"/>
    <hyperlink ref="J29" location="Targeting_Core!A1" display="Reff : Targeting Sheet" xr:uid="{4F9A20D0-0A23-483D-A9A1-5F9C7C95FF59}"/>
    <hyperlink ref="J28" location="Targeting_Core!A1" display="Reff : Targeting Sheet" xr:uid="{E7D049B8-6D31-4165-ADD3-6DB79021A3BC}"/>
    <hyperlink ref="J194:J195" location="Targeting_Core!A1" display="Reff : Targeting Sheet" xr:uid="{CA3EFD5D-3150-4EA5-B928-D7C352D5F606}"/>
    <hyperlink ref="J23" location="Targeting_Core!A1" display="Reff : Targeting Sheet" xr:uid="{55ACA4EF-CFB6-4FD0-9802-8AAEAD277011}"/>
    <hyperlink ref="J25" location="Targeting_Core!A1" display="Reff : Targeting Sheet" xr:uid="{E7BCDD0F-9C2A-4205-8EE5-09FC811602AF}"/>
    <hyperlink ref="J43" location="Targeting_Core!A1" display="Reff : Targeting Sheet" xr:uid="{24B55DFC-92B5-4135-8719-39C3BAE1F190}"/>
    <hyperlink ref="J45" location="Targeting_Core!A1" display="Reff : Targeting Sheet" xr:uid="{A936C440-4D77-4C75-A53E-AD079298155B}"/>
    <hyperlink ref="J11" location="Targeting_Core!A1" display="Reff : Targeting Sheet" xr:uid="{C3301902-A4F9-4CBB-8EBD-091F895CD68E}"/>
    <hyperlink ref="J20" location="Targeting_Core!A1" display="Reff : Targeting Sheet" xr:uid="{708BD737-779B-4CE8-A01A-0F232BF67292}"/>
    <hyperlink ref="J22" location="Targeting_Core!A1" display="Reff : Targeting Sheet" xr:uid="{5B343A1D-5790-4D28-B06E-CAA1BD9B64E7}"/>
    <hyperlink ref="J31" location="Targeting_Core!A1" display="Reff : Targeting Sheet" xr:uid="{04F7A2D4-CE1E-45D5-8405-D3313FB80B41}"/>
    <hyperlink ref="J40" location="Targeting_Core!A1" display="Reff : Targeting Sheet" xr:uid="{38E873D1-5F3B-411A-973E-FD9ED414C4AF}"/>
    <hyperlink ref="J42" location="Targeting_Core!A1" display="Reff : Targeting Sheet" xr:uid="{6F04D2AB-9047-4F92-8346-B58526600585}"/>
    <hyperlink ref="J51" location="Targeting_Core!A1" display="Reff : Targeting Sheet" xr:uid="{46ECD9BE-218C-44EF-8EE6-378E5FDAFF0B}"/>
    <hyperlink ref="J63" location="Targeting_Core!A1" display="Reff : Targeting Sheet" xr:uid="{74662621-400D-463B-A3F6-183F90237E97}"/>
    <hyperlink ref="J75" location="Targeting_Core!A1" display="Reff : Targeting Sheet" xr:uid="{E332FDEB-4B7C-4326-A346-56413F063064}"/>
    <hyperlink ref="J87" location="Targeting_Core!A1" display="Reff : Targeting Sheet" xr:uid="{741AF388-835D-40D4-B83E-FF24FEB10508}"/>
    <hyperlink ref="J99" location="Targeting_Core!A1" display="Reff : Targeting Sheet" xr:uid="{7066795A-AC3C-4901-8D6F-DC26015DBBEF}"/>
    <hyperlink ref="J111" location="Targeting_Core!A1" display="Reff : Targeting Sheet" xr:uid="{8F40567C-FADE-424A-BF68-CDEDF1C46D92}"/>
    <hyperlink ref="J123" location="Targeting_Core!A1" display="Reff : Targeting Sheet" xr:uid="{2D9C3EBF-D2B4-4C83-8B67-A10A36C906C5}"/>
    <hyperlink ref="J131" location="Targeting_Core!A1" display="Reff : Targeting Sheet" xr:uid="{F2741CEA-41AE-4E72-BE81-AEB0BF06529A}"/>
    <hyperlink ref="J139" location="Targeting_Core!A1" display="Reff : Targeting Sheet" xr:uid="{15B314A6-67F8-402B-888D-06BEBCCB992F}"/>
    <hyperlink ref="J147" location="Targeting_Core!A1" display="Reff : Targeting Sheet" xr:uid="{3613580F-A14D-44CB-B82C-51F5DA4FCA06}"/>
    <hyperlink ref="J155" location="Targeting_Core!A1" display="Reff : Targeting Sheet" xr:uid="{44AD48DF-B09B-45A8-B168-5DD4EF86E14D}"/>
    <hyperlink ref="J163" location="Targeting_Core!A1" display="Reff : Targeting Sheet" xr:uid="{041C1BA9-A67B-4704-85FA-7518A342A0FE}"/>
    <hyperlink ref="J171" location="Targeting_Core!A1" display="Reff : Targeting Sheet" xr:uid="{C98CA674-A77B-4967-A680-3FEF38D3EF5C}"/>
    <hyperlink ref="J179" location="Targeting_Core!A1" display="Reff : Targeting Sheet" xr:uid="{FCD09276-458A-4694-98E8-267C7F4E79F8}"/>
    <hyperlink ref="J183" location="Targeting_Core!A1" display="Reff : Targeting Sheet" xr:uid="{D47B86BF-D57D-4C04-B8CC-223301CF29DB}"/>
    <hyperlink ref="J187" location="Targeting_Core!A1" display="Reff : Targeting Sheet" xr:uid="{4D1E24CB-EB89-47A7-A78C-993BACA2063D}"/>
    <hyperlink ref="J191" location="Targeting_Core!A1" display="Reff : Targeting Sheet" xr:uid="{DF8CB061-C825-4298-B64F-BBF1154A4472}"/>
    <hyperlink ref="J21" location="Targeting_Core!A1" display="Reff : Targeting Sheet" xr:uid="{F3931510-6983-4BC2-BBE5-09A76053A84B}"/>
    <hyperlink ref="J41" location="Targeting_Core!A1" display="Reff : Targeting Sheet" xr:uid="{D97DC23F-4E80-4A12-9CB3-B01980532EDE}"/>
  </hyperlinks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B777F-ADE5-4C37-80DA-7080AD555F63}">
  <sheetPr>
    <tabColor theme="7" tint="0.59999389629810485"/>
  </sheetPr>
  <dimension ref="A1:L68"/>
  <sheetViews>
    <sheetView showGridLines="0" zoomScale="70" zoomScaleNormal="70" workbookViewId="0">
      <selection activeCell="M21" sqref="M21"/>
    </sheetView>
  </sheetViews>
  <sheetFormatPr defaultColWidth="9.08984375" defaultRowHeight="14.5" x14ac:dyDescent="0.35"/>
  <cols>
    <col min="1" max="1" width="33.453125" style="63" bestFit="1" customWidth="1"/>
    <col min="2" max="2" width="12.90625" style="63" bestFit="1" customWidth="1"/>
    <col min="3" max="3" width="11.36328125" style="63" bestFit="1" customWidth="1"/>
    <col min="4" max="4" width="12.08984375" style="63" bestFit="1" customWidth="1"/>
    <col min="5" max="5" width="9.08984375" style="63" bestFit="1" customWidth="1"/>
    <col min="6" max="6" width="35.08984375" style="63" bestFit="1" customWidth="1"/>
    <col min="7" max="7" width="14.453125" style="63" bestFit="1" customWidth="1"/>
    <col min="8" max="8" width="11.90625" style="63" customWidth="1"/>
    <col min="9" max="9" width="8.90625" style="63" bestFit="1" customWidth="1"/>
    <col min="10" max="10" width="6.90625" style="63" bestFit="1" customWidth="1"/>
    <col min="11" max="11" width="9.54296875" style="63" bestFit="1" customWidth="1"/>
    <col min="12" max="12" width="14.90625" style="63" bestFit="1" customWidth="1"/>
    <col min="13" max="16384" width="9.08984375" style="63"/>
  </cols>
  <sheetData>
    <row r="1" spans="1:10" x14ac:dyDescent="0.35">
      <c r="A1" s="1" t="s">
        <v>225</v>
      </c>
    </row>
    <row r="2" spans="1:10" x14ac:dyDescent="0.35">
      <c r="A2" s="1" t="s">
        <v>471</v>
      </c>
    </row>
    <row r="3" spans="1:10" x14ac:dyDescent="0.35">
      <c r="A3" s="1" t="s">
        <v>29</v>
      </c>
    </row>
    <row r="4" spans="1:10" x14ac:dyDescent="0.35">
      <c r="A4" s="23" t="s">
        <v>226</v>
      </c>
    </row>
    <row r="5" spans="1:10" x14ac:dyDescent="0.35">
      <c r="A5" s="8" t="s">
        <v>498</v>
      </c>
    </row>
    <row r="8" spans="1:10" x14ac:dyDescent="0.35">
      <c r="A8" s="65" t="s">
        <v>454</v>
      </c>
      <c r="B8" s="590" t="s">
        <v>455</v>
      </c>
      <c r="C8" s="591"/>
      <c r="D8" s="66"/>
      <c r="E8" s="66"/>
      <c r="F8" s="65" t="s">
        <v>456</v>
      </c>
      <c r="G8" s="592" t="s">
        <v>457</v>
      </c>
      <c r="H8" s="592"/>
      <c r="I8" s="592"/>
    </row>
    <row r="9" spans="1:10" x14ac:dyDescent="0.35">
      <c r="A9" s="67" t="s">
        <v>458</v>
      </c>
      <c r="B9" s="68" t="str">
        <f>'Hindi News'!B8</f>
        <v>MF 22-40 A</v>
      </c>
      <c r="C9" s="68" t="s">
        <v>459</v>
      </c>
      <c r="D9" s="66"/>
      <c r="E9" s="66"/>
      <c r="F9" s="67" t="s">
        <v>458</v>
      </c>
      <c r="G9" s="68" t="str">
        <f>B9</f>
        <v>MF 22-40 A</v>
      </c>
      <c r="H9" s="68" t="s">
        <v>460</v>
      </c>
      <c r="I9" s="68" t="s">
        <v>459</v>
      </c>
    </row>
    <row r="10" spans="1:10" x14ac:dyDescent="0.35">
      <c r="A10" s="69" t="s">
        <v>373</v>
      </c>
      <c r="B10" s="70">
        <v>483.45</v>
      </c>
      <c r="C10" s="70">
        <f t="shared" ref="C10:C21" si="0">B10/MAX($B$10:$B$21)*100</f>
        <v>73.78099961846624</v>
      </c>
      <c r="D10" s="66"/>
      <c r="E10" s="66"/>
      <c r="F10" s="69" t="s">
        <v>373</v>
      </c>
      <c r="G10" s="72">
        <v>0.01</v>
      </c>
      <c r="H10" s="70">
        <v>630</v>
      </c>
      <c r="I10" s="70">
        <f>(MIN($H$10:$H$21))/H10*100</f>
        <v>56.507936507936506</v>
      </c>
      <c r="J10" s="64"/>
    </row>
    <row r="11" spans="1:10" x14ac:dyDescent="0.35">
      <c r="A11" s="75" t="s">
        <v>247</v>
      </c>
      <c r="B11" s="70">
        <v>596.76</v>
      </c>
      <c r="C11" s="70">
        <f t="shared" si="0"/>
        <v>91.073636016787489</v>
      </c>
      <c r="D11" s="66"/>
      <c r="E11" s="66"/>
      <c r="F11" s="75" t="s">
        <v>247</v>
      </c>
      <c r="G11" s="72">
        <v>0.08</v>
      </c>
      <c r="H11" s="70">
        <v>2000</v>
      </c>
      <c r="I11" s="70">
        <f>(MIN($H$10:$H$21))/H11*100</f>
        <v>17.8</v>
      </c>
      <c r="J11" s="64"/>
    </row>
    <row r="12" spans="1:10" x14ac:dyDescent="0.35">
      <c r="A12" s="69" t="s">
        <v>250</v>
      </c>
      <c r="B12" s="70">
        <v>482.85</v>
      </c>
      <c r="C12" s="70">
        <f t="shared" si="0"/>
        <v>73.689431514689048</v>
      </c>
      <c r="D12" s="66"/>
      <c r="E12" s="66"/>
      <c r="F12" s="69" t="s">
        <v>250</v>
      </c>
      <c r="G12" s="72">
        <v>0.01</v>
      </c>
      <c r="H12" s="70">
        <v>356</v>
      </c>
      <c r="I12" s="70">
        <f>(MIN($H$10:$H$21))/H12*100</f>
        <v>100</v>
      </c>
      <c r="J12" s="64"/>
    </row>
    <row r="13" spans="1:10" x14ac:dyDescent="0.35">
      <c r="A13" s="69" t="s">
        <v>371</v>
      </c>
      <c r="B13" s="70">
        <v>455.81</v>
      </c>
      <c r="C13" s="70">
        <f t="shared" si="0"/>
        <v>69.562762304463945</v>
      </c>
      <c r="D13" s="66"/>
      <c r="E13" s="66"/>
      <c r="F13" s="69" t="s">
        <v>371</v>
      </c>
      <c r="G13" s="72">
        <v>0.05</v>
      </c>
      <c r="H13" s="70">
        <v>2361.7741273100614</v>
      </c>
      <c r="I13" s="70">
        <f>(MIN($H$10:$H$21))/H13*100</f>
        <v>15.073414340662017</v>
      </c>
      <c r="J13" s="64"/>
    </row>
    <row r="14" spans="1:10" x14ac:dyDescent="0.35">
      <c r="A14" s="69" t="s">
        <v>372</v>
      </c>
      <c r="B14" s="70">
        <v>538.27</v>
      </c>
      <c r="C14" s="70">
        <f t="shared" si="0"/>
        <v>82.147272033574964</v>
      </c>
      <c r="D14" s="66"/>
      <c r="E14" s="66"/>
      <c r="F14" s="69" t="s">
        <v>372</v>
      </c>
      <c r="G14" s="72">
        <v>0.02</v>
      </c>
      <c r="H14" s="70">
        <v>1150</v>
      </c>
      <c r="I14" s="70">
        <f>(MIN($H$10:$H$21))/H14*100</f>
        <v>30.956521739130434</v>
      </c>
      <c r="J14" s="64"/>
    </row>
    <row r="15" spans="1:10" x14ac:dyDescent="0.35">
      <c r="A15" s="69" t="s">
        <v>376</v>
      </c>
      <c r="B15" s="70">
        <v>214.65</v>
      </c>
      <c r="C15" s="70">
        <f t="shared" si="0"/>
        <v>32.758489126287678</v>
      </c>
      <c r="D15" s="66"/>
      <c r="E15" s="66"/>
      <c r="F15" s="69" t="s">
        <v>376</v>
      </c>
      <c r="G15" s="72">
        <v>0.02</v>
      </c>
      <c r="H15" s="70">
        <v>3500</v>
      </c>
      <c r="I15" s="70">
        <f t="shared" ref="I15:I21" si="1">(MIN($H$10:$H$21))/H15*100</f>
        <v>10.171428571428571</v>
      </c>
      <c r="J15" s="64"/>
    </row>
    <row r="16" spans="1:10" x14ac:dyDescent="0.35">
      <c r="A16" s="69" t="s">
        <v>374</v>
      </c>
      <c r="B16" s="70">
        <v>206.11</v>
      </c>
      <c r="C16" s="70">
        <f t="shared" si="0"/>
        <v>31.455169782525754</v>
      </c>
      <c r="D16" s="66"/>
      <c r="E16" s="66"/>
      <c r="F16" s="69" t="s">
        <v>374</v>
      </c>
      <c r="G16" s="72">
        <v>0</v>
      </c>
      <c r="H16" s="70">
        <v>900</v>
      </c>
      <c r="I16" s="70">
        <f t="shared" si="1"/>
        <v>39.555555555555557</v>
      </c>
      <c r="J16" s="64"/>
    </row>
    <row r="17" spans="1:12" x14ac:dyDescent="0.35">
      <c r="A17" s="69" t="s">
        <v>249</v>
      </c>
      <c r="B17" s="70">
        <v>632.84</v>
      </c>
      <c r="C17" s="70">
        <f t="shared" si="0"/>
        <v>96.579931323922182</v>
      </c>
      <c r="D17" s="66"/>
      <c r="E17" s="66"/>
      <c r="F17" s="69" t="s">
        <v>249</v>
      </c>
      <c r="G17" s="72">
        <v>0.02</v>
      </c>
      <c r="H17" s="70">
        <v>876.28205128205127</v>
      </c>
      <c r="I17" s="70">
        <f t="shared" si="1"/>
        <v>40.626188734455013</v>
      </c>
      <c r="J17" s="64"/>
    </row>
    <row r="18" spans="1:12" x14ac:dyDescent="0.35">
      <c r="A18" s="69" t="s">
        <v>248</v>
      </c>
      <c r="B18" s="70">
        <v>468.64</v>
      </c>
      <c r="C18" s="70">
        <f t="shared" si="0"/>
        <v>71.520793590232728</v>
      </c>
      <c r="D18" s="66"/>
      <c r="E18" s="66"/>
      <c r="F18" s="69" t="s">
        <v>248</v>
      </c>
      <c r="G18" s="72">
        <v>7.0000000000000007E-2</v>
      </c>
      <c r="H18" s="70">
        <v>2092.9782335705313</v>
      </c>
      <c r="I18" s="70">
        <f t="shared" si="1"/>
        <v>17.009254768630786</v>
      </c>
      <c r="J18" s="64"/>
    </row>
    <row r="19" spans="1:12" x14ac:dyDescent="0.35">
      <c r="A19" s="69" t="s">
        <v>375</v>
      </c>
      <c r="B19" s="70">
        <v>655.25</v>
      </c>
      <c r="C19" s="70">
        <f t="shared" si="0"/>
        <v>100</v>
      </c>
      <c r="D19" s="66"/>
      <c r="E19" s="66"/>
      <c r="F19" s="69" t="s">
        <v>375</v>
      </c>
      <c r="G19" s="72">
        <v>0.01</v>
      </c>
      <c r="H19" s="70">
        <v>1063.2850241545893</v>
      </c>
      <c r="I19" s="70">
        <f t="shared" si="1"/>
        <v>33.481144934120856</v>
      </c>
      <c r="J19" s="64"/>
    </row>
    <row r="20" spans="1:12" x14ac:dyDescent="0.35">
      <c r="A20" s="69" t="s">
        <v>377</v>
      </c>
      <c r="B20" s="70">
        <v>307.08</v>
      </c>
      <c r="C20" s="70">
        <f t="shared" si="0"/>
        <v>46.864555513162912</v>
      </c>
      <c r="D20" s="66"/>
      <c r="E20" s="66"/>
      <c r="F20" s="69" t="s">
        <v>377</v>
      </c>
      <c r="G20" s="72">
        <v>0.02</v>
      </c>
      <c r="H20" s="70">
        <v>1933.8565455130267</v>
      </c>
      <c r="I20" s="70">
        <f t="shared" si="1"/>
        <v>18.4088111822978</v>
      </c>
      <c r="J20" s="64"/>
    </row>
    <row r="21" spans="1:12" x14ac:dyDescent="0.35">
      <c r="A21" s="69" t="s">
        <v>378</v>
      </c>
      <c r="B21" s="70">
        <v>213.26</v>
      </c>
      <c r="C21" s="70">
        <f t="shared" si="0"/>
        <v>32.546356352537195</v>
      </c>
      <c r="D21" s="66"/>
      <c r="E21" s="66"/>
      <c r="F21" s="69" t="s">
        <v>378</v>
      </c>
      <c r="G21" s="72">
        <v>0.01</v>
      </c>
      <c r="H21" s="73">
        <v>2100</v>
      </c>
      <c r="I21" s="70">
        <f t="shared" si="1"/>
        <v>16.952380952380953</v>
      </c>
      <c r="J21" s="64"/>
    </row>
    <row r="22" spans="1:12" x14ac:dyDescent="0.35">
      <c r="A22" s="76"/>
      <c r="B22" s="71"/>
      <c r="C22" s="71"/>
      <c r="D22" s="66"/>
      <c r="E22" s="66"/>
      <c r="F22" s="76"/>
      <c r="G22" s="77"/>
      <c r="H22" s="71"/>
      <c r="I22" s="64"/>
      <c r="J22" s="71"/>
    </row>
    <row r="23" spans="1:12" x14ac:dyDescent="0.35">
      <c r="A23" s="66"/>
      <c r="B23" s="66"/>
      <c r="C23" s="66"/>
      <c r="D23" s="66"/>
      <c r="E23" s="66"/>
      <c r="F23" s="66"/>
      <c r="G23" s="66"/>
      <c r="H23" s="66"/>
      <c r="I23" s="66"/>
      <c r="J23" s="66"/>
    </row>
    <row r="24" spans="1:12" x14ac:dyDescent="0.35">
      <c r="A24" s="65" t="s">
        <v>462</v>
      </c>
      <c r="B24" s="590" t="s">
        <v>463</v>
      </c>
      <c r="C24" s="591"/>
      <c r="D24" s="66"/>
      <c r="E24" s="66"/>
      <c r="F24" s="65"/>
      <c r="G24" s="593" t="s">
        <v>464</v>
      </c>
      <c r="H24" s="590"/>
      <c r="I24" s="590"/>
      <c r="J24" s="591"/>
    </row>
    <row r="25" spans="1:12" x14ac:dyDescent="0.35">
      <c r="A25" s="67" t="s">
        <v>458</v>
      </c>
      <c r="B25" s="68" t="str">
        <f>'Hindi News'!B22</f>
        <v>MF 22-40 A</v>
      </c>
      <c r="C25" s="68" t="s">
        <v>459</v>
      </c>
      <c r="D25" s="66"/>
      <c r="E25" s="66"/>
      <c r="F25" s="67" t="s">
        <v>458</v>
      </c>
      <c r="G25" s="68" t="str">
        <f>B25</f>
        <v>MF 22-40 A</v>
      </c>
      <c r="H25" s="68" t="s">
        <v>465</v>
      </c>
      <c r="I25" s="68" t="s">
        <v>466</v>
      </c>
      <c r="J25" s="68" t="s">
        <v>459</v>
      </c>
    </row>
    <row r="26" spans="1:12" x14ac:dyDescent="0.35">
      <c r="A26" s="69" t="s">
        <v>373</v>
      </c>
      <c r="B26" s="129">
        <v>7.3263888888890003E-3</v>
      </c>
      <c r="C26" s="70">
        <f t="shared" ref="C26:C37" si="2">+B26/(MAX($B$26:$B$36))*100</f>
        <v>56.017699115043825</v>
      </c>
      <c r="D26" s="78"/>
      <c r="F26" s="69" t="s">
        <v>373</v>
      </c>
      <c r="G26" s="72">
        <v>0.05</v>
      </c>
      <c r="H26" s="80">
        <v>0.03</v>
      </c>
      <c r="I26" s="73">
        <f t="shared" ref="I26:I37" si="3">G26/H26*100</f>
        <v>166.66666666666669</v>
      </c>
      <c r="J26" s="70">
        <f t="shared" ref="J26:J37" si="4">+I26/(MAX($I$26:$I$36))*100</f>
        <v>74.074074074074076</v>
      </c>
      <c r="K26" s="90"/>
      <c r="L26" s="81"/>
    </row>
    <row r="27" spans="1:12" x14ac:dyDescent="0.35">
      <c r="A27" s="75" t="s">
        <v>247</v>
      </c>
      <c r="B27" s="129">
        <v>1.2962962962963001E-2</v>
      </c>
      <c r="C27" s="70">
        <f t="shared" si="2"/>
        <v>99.115044247785661</v>
      </c>
      <c r="D27" s="78"/>
      <c r="F27" s="75" t="s">
        <v>247</v>
      </c>
      <c r="G27" s="72">
        <v>0.53</v>
      </c>
      <c r="H27" s="80">
        <v>0.31</v>
      </c>
      <c r="I27" s="73">
        <f t="shared" si="3"/>
        <v>170.96774193548387</v>
      </c>
      <c r="J27" s="70">
        <f t="shared" si="4"/>
        <v>75.98566308243727</v>
      </c>
      <c r="K27" s="90"/>
      <c r="L27" s="81"/>
    </row>
    <row r="28" spans="1:12" x14ac:dyDescent="0.35">
      <c r="A28" s="69" t="s">
        <v>250</v>
      </c>
      <c r="B28" s="129">
        <v>9.814814814815E-3</v>
      </c>
      <c r="C28" s="70">
        <f t="shared" si="2"/>
        <v>75.044247787610331</v>
      </c>
      <c r="D28" s="78"/>
      <c r="F28" s="69" t="s">
        <v>250</v>
      </c>
      <c r="G28" s="72">
        <v>0.09</v>
      </c>
      <c r="H28" s="80">
        <v>0.05</v>
      </c>
      <c r="I28" s="73">
        <f t="shared" si="3"/>
        <v>179.99999999999997</v>
      </c>
      <c r="J28" s="70">
        <f t="shared" si="4"/>
        <v>79.999999999999986</v>
      </c>
      <c r="K28" s="90"/>
      <c r="L28" s="81"/>
    </row>
    <row r="29" spans="1:12" x14ac:dyDescent="0.35">
      <c r="A29" s="69" t="s">
        <v>371</v>
      </c>
      <c r="B29" s="129">
        <v>1.2037037037037001E-2</v>
      </c>
      <c r="C29" s="70">
        <f t="shared" si="2"/>
        <v>92.03539823008613</v>
      </c>
      <c r="D29" s="78"/>
      <c r="F29" s="69" t="s">
        <v>371</v>
      </c>
      <c r="G29" s="72">
        <v>0.36</v>
      </c>
      <c r="H29" s="80">
        <v>0.16</v>
      </c>
      <c r="I29" s="73">
        <f t="shared" si="3"/>
        <v>225</v>
      </c>
      <c r="J29" s="70">
        <f t="shared" si="4"/>
        <v>100</v>
      </c>
      <c r="K29" s="90"/>
      <c r="L29" s="81"/>
    </row>
    <row r="30" spans="1:12" x14ac:dyDescent="0.35">
      <c r="A30" s="69" t="s">
        <v>372</v>
      </c>
      <c r="B30" s="129">
        <v>9.4907407407410008E-3</v>
      </c>
      <c r="C30" s="70">
        <f t="shared" si="2"/>
        <v>72.566371681416271</v>
      </c>
      <c r="D30" s="78"/>
      <c r="F30" s="69" t="s">
        <v>372</v>
      </c>
      <c r="G30" s="72">
        <v>0.16</v>
      </c>
      <c r="H30" s="80">
        <v>0.09</v>
      </c>
      <c r="I30" s="73">
        <f t="shared" si="3"/>
        <v>177.7777777777778</v>
      </c>
      <c r="J30" s="70">
        <f t="shared" si="4"/>
        <v>79.012345679012356</v>
      </c>
      <c r="K30" s="90"/>
      <c r="L30" s="81"/>
    </row>
    <row r="31" spans="1:12" x14ac:dyDescent="0.35">
      <c r="A31" s="69" t="s">
        <v>376</v>
      </c>
      <c r="B31" s="129">
        <v>1.1400462962962999E-2</v>
      </c>
      <c r="C31" s="70">
        <f t="shared" si="2"/>
        <v>87.168141592918658</v>
      </c>
      <c r="D31" s="78"/>
      <c r="F31" s="69" t="s">
        <v>376</v>
      </c>
      <c r="G31" s="72">
        <v>0.12</v>
      </c>
      <c r="H31" s="80">
        <v>0.09</v>
      </c>
      <c r="I31" s="73">
        <f t="shared" si="3"/>
        <v>133.33333333333331</v>
      </c>
      <c r="J31" s="70">
        <f t="shared" si="4"/>
        <v>59.259259259259252</v>
      </c>
      <c r="K31" s="90"/>
      <c r="L31" s="81"/>
    </row>
    <row r="32" spans="1:12" x14ac:dyDescent="0.35">
      <c r="A32" s="69" t="s">
        <v>374</v>
      </c>
      <c r="B32" s="129">
        <v>9.8611111111109994E-3</v>
      </c>
      <c r="C32" s="70">
        <f t="shared" si="2"/>
        <v>75.398230088493008</v>
      </c>
      <c r="D32" s="78"/>
      <c r="F32" s="69" t="s">
        <v>374</v>
      </c>
      <c r="G32" s="72">
        <v>0.03</v>
      </c>
      <c r="H32" s="80">
        <v>0.02</v>
      </c>
      <c r="I32" s="73">
        <f t="shared" si="3"/>
        <v>150</v>
      </c>
      <c r="J32" s="70">
        <f t="shared" si="4"/>
        <v>66.666666666666657</v>
      </c>
      <c r="K32" s="90"/>
      <c r="L32" s="81"/>
    </row>
    <row r="33" spans="1:12" x14ac:dyDescent="0.35">
      <c r="A33" s="69" t="s">
        <v>249</v>
      </c>
      <c r="B33" s="129">
        <v>9.6527777777779995E-3</v>
      </c>
      <c r="C33" s="70">
        <f t="shared" si="2"/>
        <v>73.805309734513301</v>
      </c>
      <c r="D33" s="78"/>
      <c r="F33" s="69" t="s">
        <v>249</v>
      </c>
      <c r="G33" s="72">
        <v>0.15</v>
      </c>
      <c r="H33" s="80">
        <v>0.08</v>
      </c>
      <c r="I33" s="73">
        <f t="shared" si="3"/>
        <v>187.5</v>
      </c>
      <c r="J33" s="70">
        <f t="shared" si="4"/>
        <v>83.333333333333343</v>
      </c>
      <c r="K33" s="90"/>
      <c r="L33" s="81"/>
    </row>
    <row r="34" spans="1:12" x14ac:dyDescent="0.35">
      <c r="A34" s="69" t="s">
        <v>248</v>
      </c>
      <c r="B34" s="129">
        <v>1.3078703703704E-2</v>
      </c>
      <c r="C34" s="70">
        <f t="shared" si="2"/>
        <v>100</v>
      </c>
      <c r="D34" s="78"/>
      <c r="F34" s="69" t="s">
        <v>248</v>
      </c>
      <c r="G34" s="72">
        <v>0.47</v>
      </c>
      <c r="H34" s="80">
        <v>0.26</v>
      </c>
      <c r="I34" s="73">
        <f t="shared" si="3"/>
        <v>180.76923076923075</v>
      </c>
      <c r="J34" s="70">
        <f t="shared" si="4"/>
        <v>80.341880341880341</v>
      </c>
      <c r="K34" s="90"/>
      <c r="L34" s="81"/>
    </row>
    <row r="35" spans="1:12" x14ac:dyDescent="0.35">
      <c r="A35" s="69" t="s">
        <v>375</v>
      </c>
      <c r="B35" s="129">
        <v>7.8935185185190007E-3</v>
      </c>
      <c r="C35" s="70">
        <f t="shared" si="2"/>
        <v>60.353982300887274</v>
      </c>
      <c r="D35" s="78"/>
      <c r="F35" s="69" t="s">
        <v>375</v>
      </c>
      <c r="G35" s="72">
        <v>0.08</v>
      </c>
      <c r="H35" s="80">
        <v>0.06</v>
      </c>
      <c r="I35" s="73">
        <f t="shared" si="3"/>
        <v>133.33333333333334</v>
      </c>
      <c r="J35" s="70">
        <f t="shared" si="4"/>
        <v>59.259259259259267</v>
      </c>
      <c r="K35" s="90"/>
      <c r="L35" s="81"/>
    </row>
    <row r="36" spans="1:12" x14ac:dyDescent="0.35">
      <c r="A36" s="69" t="s">
        <v>377</v>
      </c>
      <c r="B36" s="129">
        <v>1.0092592592593E-2</v>
      </c>
      <c r="C36" s="70">
        <f t="shared" si="2"/>
        <v>77.168141592921728</v>
      </c>
      <c r="D36" s="78"/>
      <c r="F36" s="69" t="s">
        <v>377</v>
      </c>
      <c r="G36" s="72">
        <v>0.15</v>
      </c>
      <c r="H36" s="80">
        <v>0.12</v>
      </c>
      <c r="I36" s="73">
        <f t="shared" si="3"/>
        <v>125</v>
      </c>
      <c r="J36" s="70">
        <f t="shared" si="4"/>
        <v>55.555555555555557</v>
      </c>
      <c r="K36" s="90"/>
      <c r="L36" s="81"/>
    </row>
    <row r="37" spans="1:12" x14ac:dyDescent="0.35">
      <c r="A37" s="69" t="s">
        <v>378</v>
      </c>
      <c r="B37" s="129">
        <v>1.0486111111111E-2</v>
      </c>
      <c r="C37" s="70">
        <f t="shared" si="2"/>
        <v>80.176991150439818</v>
      </c>
      <c r="D37" s="78"/>
      <c r="F37" s="69" t="s">
        <v>378</v>
      </c>
      <c r="G37" s="72">
        <v>0.04</v>
      </c>
      <c r="H37" s="80">
        <v>0.05</v>
      </c>
      <c r="I37" s="73">
        <f t="shared" si="3"/>
        <v>80</v>
      </c>
      <c r="J37" s="70">
        <f t="shared" si="4"/>
        <v>35.555555555555557</v>
      </c>
      <c r="K37" s="90"/>
      <c r="L37" s="81"/>
    </row>
    <row r="38" spans="1:12" x14ac:dyDescent="0.35">
      <c r="A38" s="76"/>
      <c r="B38" s="71"/>
      <c r="C38" s="71"/>
      <c r="D38" s="66"/>
      <c r="E38" s="66"/>
      <c r="F38" s="76"/>
      <c r="G38" s="77"/>
      <c r="H38" s="71"/>
      <c r="I38" s="64"/>
      <c r="J38" s="71"/>
    </row>
    <row r="40" spans="1:12" x14ac:dyDescent="0.35">
      <c r="A40" s="68" t="s">
        <v>340</v>
      </c>
      <c r="B40" s="82"/>
      <c r="C40" s="82"/>
      <c r="D40" s="82"/>
      <c r="E40" s="82"/>
      <c r="F40" s="82"/>
    </row>
    <row r="41" spans="1:12" x14ac:dyDescent="0.35">
      <c r="A41" s="83" t="s">
        <v>467</v>
      </c>
      <c r="B41" s="68">
        <v>0.3</v>
      </c>
      <c r="C41" s="68">
        <v>0.2</v>
      </c>
      <c r="D41" s="68">
        <v>0.3</v>
      </c>
      <c r="E41" s="68">
        <v>0.2</v>
      </c>
      <c r="F41" s="84"/>
    </row>
    <row r="42" spans="1:12" x14ac:dyDescent="0.35">
      <c r="A42" s="83" t="s">
        <v>458</v>
      </c>
      <c r="B42" s="84" t="s">
        <v>36</v>
      </c>
      <c r="C42" s="84" t="s">
        <v>468</v>
      </c>
      <c r="D42" s="84" t="s">
        <v>460</v>
      </c>
      <c r="E42" s="84" t="s">
        <v>469</v>
      </c>
      <c r="F42" s="84" t="s">
        <v>470</v>
      </c>
    </row>
    <row r="43" spans="1:12" x14ac:dyDescent="0.35">
      <c r="A43" s="85" t="s">
        <v>249</v>
      </c>
      <c r="B43" s="86">
        <f t="shared" ref="B43:B53" si="5">VLOOKUP(A43,$A$10:$C$21,3,0)</f>
        <v>96.579931323922182</v>
      </c>
      <c r="C43" s="86">
        <f t="shared" ref="C43:C53" si="6">VLOOKUP(A43,$A$25:$C$37,3,0)</f>
        <v>73.805309734513301</v>
      </c>
      <c r="D43" s="86">
        <f t="shared" ref="D43:D53" si="7">VLOOKUP(A43,$F$9:$I$21,4,0)</f>
        <v>40.626188734455013</v>
      </c>
      <c r="E43" s="86">
        <f t="shared" ref="E43:E53" si="8">VLOOKUP(A43,$F$25:$J$37,5,0)</f>
        <v>83.333333333333343</v>
      </c>
      <c r="F43" s="87">
        <f t="shared" ref="F43:F53" si="9">(B43*B$41)+(C43*C$41)+(D43*D$41)+(E43*E$41)</f>
        <v>72.589564631082482</v>
      </c>
    </row>
    <row r="44" spans="1:12" x14ac:dyDescent="0.35">
      <c r="A44" s="85" t="s">
        <v>247</v>
      </c>
      <c r="B44" s="86">
        <f t="shared" si="5"/>
        <v>91.073636016787489</v>
      </c>
      <c r="C44" s="86">
        <f t="shared" si="6"/>
        <v>99.115044247785661</v>
      </c>
      <c r="D44" s="86">
        <f t="shared" si="7"/>
        <v>17.8</v>
      </c>
      <c r="E44" s="86">
        <f t="shared" si="8"/>
        <v>75.98566308243727</v>
      </c>
      <c r="F44" s="87">
        <f t="shared" si="9"/>
        <v>67.682232271080835</v>
      </c>
    </row>
    <row r="45" spans="1:12" x14ac:dyDescent="0.35">
      <c r="A45" s="85" t="s">
        <v>373</v>
      </c>
      <c r="B45" s="86">
        <f t="shared" si="5"/>
        <v>73.78099961846624</v>
      </c>
      <c r="C45" s="86">
        <f t="shared" si="6"/>
        <v>56.017699115043825</v>
      </c>
      <c r="D45" s="86">
        <f t="shared" si="7"/>
        <v>56.507936507936506</v>
      </c>
      <c r="E45" s="86">
        <f t="shared" si="8"/>
        <v>74.074074074074076</v>
      </c>
      <c r="F45" s="87">
        <f t="shared" si="9"/>
        <v>65.105035475744415</v>
      </c>
    </row>
    <row r="46" spans="1:12" x14ac:dyDescent="0.35">
      <c r="A46" s="85" t="s">
        <v>372</v>
      </c>
      <c r="B46" s="86">
        <f t="shared" si="5"/>
        <v>82.147272033574964</v>
      </c>
      <c r="C46" s="86">
        <f t="shared" si="6"/>
        <v>72.566371681416271</v>
      </c>
      <c r="D46" s="86">
        <f t="shared" si="7"/>
        <v>30.956521739130434</v>
      </c>
      <c r="E46" s="86">
        <f t="shared" si="8"/>
        <v>79.012345679012356</v>
      </c>
      <c r="F46" s="87">
        <f t="shared" si="9"/>
        <v>64.24688160389735</v>
      </c>
    </row>
    <row r="47" spans="1:12" x14ac:dyDescent="0.35">
      <c r="A47" s="85" t="s">
        <v>375</v>
      </c>
      <c r="B47" s="86">
        <f t="shared" si="5"/>
        <v>100</v>
      </c>
      <c r="C47" s="86">
        <f t="shared" si="6"/>
        <v>60.353982300887274</v>
      </c>
      <c r="D47" s="86">
        <f t="shared" si="7"/>
        <v>33.481144934120856</v>
      </c>
      <c r="E47" s="86">
        <f t="shared" si="8"/>
        <v>59.259259259259267</v>
      </c>
      <c r="F47" s="87">
        <f t="shared" si="9"/>
        <v>63.966991792265567</v>
      </c>
    </row>
    <row r="48" spans="1:12" x14ac:dyDescent="0.35">
      <c r="A48" s="69" t="s">
        <v>371</v>
      </c>
      <c r="B48" s="87">
        <f t="shared" si="5"/>
        <v>69.562762304463945</v>
      </c>
      <c r="C48" s="87">
        <f t="shared" si="6"/>
        <v>92.03539823008613</v>
      </c>
      <c r="D48" s="87">
        <f t="shared" si="7"/>
        <v>15.073414340662017</v>
      </c>
      <c r="E48" s="87">
        <f t="shared" si="8"/>
        <v>100</v>
      </c>
      <c r="F48" s="87">
        <f t="shared" si="9"/>
        <v>63.797932639555015</v>
      </c>
    </row>
    <row r="49" spans="1:9" x14ac:dyDescent="0.35">
      <c r="A49" s="85" t="s">
        <v>248</v>
      </c>
      <c r="B49" s="86">
        <f t="shared" si="5"/>
        <v>71.520793590232728</v>
      </c>
      <c r="C49" s="86">
        <f t="shared" si="6"/>
        <v>100</v>
      </c>
      <c r="D49" s="86">
        <f t="shared" si="7"/>
        <v>17.009254768630786</v>
      </c>
      <c r="E49" s="86">
        <f t="shared" si="8"/>
        <v>80.341880341880341</v>
      </c>
      <c r="F49" s="87">
        <f t="shared" si="9"/>
        <v>62.627390576035118</v>
      </c>
    </row>
    <row r="50" spans="1:9" x14ac:dyDescent="0.35">
      <c r="A50" s="69" t="s">
        <v>374</v>
      </c>
      <c r="B50" s="87">
        <f t="shared" si="5"/>
        <v>31.455169782525754</v>
      </c>
      <c r="C50" s="87">
        <f t="shared" si="6"/>
        <v>75.398230088493008</v>
      </c>
      <c r="D50" s="87">
        <f t="shared" si="7"/>
        <v>39.555555555555557</v>
      </c>
      <c r="E50" s="87">
        <f t="shared" si="8"/>
        <v>66.666666666666657</v>
      </c>
      <c r="F50" s="87">
        <f t="shared" si="9"/>
        <v>49.716196952456329</v>
      </c>
    </row>
    <row r="51" spans="1:9" x14ac:dyDescent="0.35">
      <c r="A51" s="69" t="s">
        <v>377</v>
      </c>
      <c r="B51" s="87">
        <f t="shared" si="5"/>
        <v>46.864555513162912</v>
      </c>
      <c r="C51" s="87">
        <f t="shared" si="6"/>
        <v>77.168141592921728</v>
      </c>
      <c r="D51" s="87">
        <f t="shared" si="7"/>
        <v>18.4088111822978</v>
      </c>
      <c r="E51" s="87">
        <f t="shared" si="8"/>
        <v>55.555555555555557</v>
      </c>
      <c r="F51" s="87">
        <f t="shared" si="9"/>
        <v>46.126749438333675</v>
      </c>
    </row>
    <row r="52" spans="1:9" x14ac:dyDescent="0.35">
      <c r="A52" s="69" t="s">
        <v>376</v>
      </c>
      <c r="B52" s="87">
        <f t="shared" si="5"/>
        <v>32.758489126287678</v>
      </c>
      <c r="C52" s="87">
        <f t="shared" si="6"/>
        <v>87.168141592918658</v>
      </c>
      <c r="D52" s="87">
        <f t="shared" si="7"/>
        <v>10.171428571428571</v>
      </c>
      <c r="E52" s="87">
        <f t="shared" si="8"/>
        <v>59.259259259259252</v>
      </c>
      <c r="F52" s="87">
        <f t="shared" si="9"/>
        <v>42.164455479750458</v>
      </c>
    </row>
    <row r="53" spans="1:9" x14ac:dyDescent="0.35">
      <c r="A53" s="69" t="s">
        <v>378</v>
      </c>
      <c r="B53" s="87">
        <f t="shared" si="5"/>
        <v>32.546356352537195</v>
      </c>
      <c r="C53" s="87">
        <f t="shared" si="6"/>
        <v>80.176991150439818</v>
      </c>
      <c r="D53" s="87">
        <f t="shared" si="7"/>
        <v>16.952380952380953</v>
      </c>
      <c r="E53" s="87">
        <f t="shared" si="8"/>
        <v>35.555555555555557</v>
      </c>
      <c r="F53" s="87">
        <f t="shared" si="9"/>
        <v>37.99613053267452</v>
      </c>
    </row>
    <row r="57" spans="1:9" x14ac:dyDescent="0.35">
      <c r="H57" s="90"/>
      <c r="I57" s="90"/>
    </row>
    <row r="58" spans="1:9" x14ac:dyDescent="0.35">
      <c r="H58" s="90"/>
      <c r="I58" s="90"/>
    </row>
    <row r="59" spans="1:9" x14ac:dyDescent="0.35">
      <c r="H59" s="90"/>
      <c r="I59" s="90"/>
    </row>
    <row r="60" spans="1:9" x14ac:dyDescent="0.35">
      <c r="H60" s="90"/>
      <c r="I60" s="90"/>
    </row>
    <row r="61" spans="1:9" x14ac:dyDescent="0.35">
      <c r="H61" s="90"/>
      <c r="I61" s="90"/>
    </row>
    <row r="62" spans="1:9" x14ac:dyDescent="0.35">
      <c r="H62" s="90"/>
      <c r="I62" s="90"/>
    </row>
    <row r="63" spans="1:9" x14ac:dyDescent="0.35">
      <c r="H63" s="90"/>
      <c r="I63" s="90"/>
    </row>
    <row r="64" spans="1:9" x14ac:dyDescent="0.35">
      <c r="H64" s="90"/>
      <c r="I64" s="90"/>
    </row>
    <row r="65" spans="8:9" x14ac:dyDescent="0.35">
      <c r="H65" s="90"/>
      <c r="I65" s="90"/>
    </row>
    <row r="66" spans="8:9" x14ac:dyDescent="0.35">
      <c r="H66" s="90"/>
      <c r="I66" s="90"/>
    </row>
    <row r="67" spans="8:9" x14ac:dyDescent="0.35">
      <c r="H67" s="90"/>
      <c r="I67" s="90"/>
    </row>
    <row r="68" spans="8:9" x14ac:dyDescent="0.35">
      <c r="H68" s="90"/>
      <c r="I68" s="90"/>
    </row>
  </sheetData>
  <sortState xmlns:xlrd2="http://schemas.microsoft.com/office/spreadsheetml/2017/richdata2" ref="A43:F53">
    <sortCondition descending="1" ref="F43:F53"/>
  </sortState>
  <mergeCells count="4">
    <mergeCell ref="B8:C8"/>
    <mergeCell ref="G8:I8"/>
    <mergeCell ref="B24:C24"/>
    <mergeCell ref="G24:J24"/>
  </mergeCells>
  <conditionalFormatting sqref="F43:F5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0:L21">
    <cfRule type="containsText" dxfId="0" priority="2" operator="containsText" text="true">
      <formula>NOT(ISERROR(SEARCH("true",L10)))</formula>
    </cfRule>
  </conditionalFormatting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D210D-8483-4B39-AFF7-82E1D8C4D813}">
  <sheetPr>
    <tabColor theme="9" tint="0.79998168889431442"/>
  </sheetPr>
  <dimension ref="A1:M36"/>
  <sheetViews>
    <sheetView showGridLines="0" topLeftCell="A13" zoomScale="70" zoomScaleNormal="70" workbookViewId="0">
      <selection activeCell="M21" sqref="M21"/>
    </sheetView>
  </sheetViews>
  <sheetFormatPr defaultColWidth="9.08984375" defaultRowHeight="15.5" x14ac:dyDescent="0.35"/>
  <cols>
    <col min="1" max="1" width="23.90625" style="130" bestFit="1" customWidth="1"/>
    <col min="2" max="2" width="13.90625" style="131" bestFit="1" customWidth="1"/>
    <col min="3" max="3" width="13.08984375" style="131" bestFit="1" customWidth="1"/>
    <col min="4" max="4" width="8.54296875" style="131" bestFit="1" customWidth="1"/>
    <col min="5" max="5" width="12.54296875" style="131" bestFit="1" customWidth="1"/>
    <col min="6" max="6" width="25.08984375" style="138" bestFit="1" customWidth="1"/>
    <col min="7" max="7" width="13.6328125" style="131" bestFit="1" customWidth="1"/>
    <col min="8" max="8" width="10.453125" style="131" bestFit="1" customWidth="1"/>
    <col min="9" max="9" width="9.54296875" style="131" customWidth="1"/>
    <col min="10" max="10" width="8.90625" style="131" customWidth="1"/>
    <col min="11" max="16384" width="9.08984375" style="131"/>
  </cols>
  <sheetData>
    <row r="1" spans="1:10" x14ac:dyDescent="0.35">
      <c r="A1" s="1" t="s">
        <v>225</v>
      </c>
    </row>
    <row r="2" spans="1:10" x14ac:dyDescent="0.35">
      <c r="A2" s="1" t="s">
        <v>471</v>
      </c>
    </row>
    <row r="3" spans="1:10" x14ac:dyDescent="0.35">
      <c r="A3" s="1" t="s">
        <v>29</v>
      </c>
    </row>
    <row r="4" spans="1:10" x14ac:dyDescent="0.35">
      <c r="A4" s="23" t="s">
        <v>226</v>
      </c>
    </row>
    <row r="5" spans="1:10" x14ac:dyDescent="0.35">
      <c r="A5" s="8" t="s">
        <v>499</v>
      </c>
    </row>
    <row r="6" spans="1:10" x14ac:dyDescent="0.35">
      <c r="A6" s="8"/>
    </row>
    <row r="7" spans="1:10" ht="16" thickBot="1" x14ac:dyDescent="0.4"/>
    <row r="8" spans="1:10" x14ac:dyDescent="0.35">
      <c r="A8" s="65" t="s">
        <v>454</v>
      </c>
      <c r="B8" s="590" t="s">
        <v>455</v>
      </c>
      <c r="C8" s="591"/>
      <c r="F8" s="1" t="s">
        <v>500</v>
      </c>
      <c r="G8" s="595" t="s">
        <v>457</v>
      </c>
      <c r="H8" s="595"/>
      <c r="I8" s="595"/>
      <c r="J8" s="595"/>
    </row>
    <row r="9" spans="1:10" x14ac:dyDescent="0.35">
      <c r="A9" s="67" t="s">
        <v>458</v>
      </c>
      <c r="B9" s="68" t="s">
        <v>487</v>
      </c>
      <c r="C9" s="68" t="s">
        <v>459</v>
      </c>
      <c r="F9" s="9" t="s">
        <v>458</v>
      </c>
      <c r="G9" s="22" t="s">
        <v>487</v>
      </c>
      <c r="H9" s="22" t="s">
        <v>460</v>
      </c>
      <c r="I9" s="22" t="s">
        <v>456</v>
      </c>
      <c r="J9" s="22" t="s">
        <v>459</v>
      </c>
    </row>
    <row r="10" spans="1:10" x14ac:dyDescent="0.35">
      <c r="A10" s="69" t="s">
        <v>306</v>
      </c>
      <c r="B10" s="70">
        <v>1582.27</v>
      </c>
      <c r="C10" s="70">
        <f t="shared" ref="C10:C16" si="0">+B10/(MAX($B$10:$B$16))*100</f>
        <v>100</v>
      </c>
      <c r="E10" s="133"/>
      <c r="F10" s="10" t="s">
        <v>306</v>
      </c>
      <c r="G10" s="72">
        <v>2.2000000000000002</v>
      </c>
      <c r="H10" s="2">
        <v>5240.2684563758385</v>
      </c>
      <c r="I10" s="12">
        <f t="shared" ref="I10:I16" si="1">H10/G10</f>
        <v>2381.9402074435629</v>
      </c>
      <c r="J10" s="2">
        <f t="shared" ref="J10:J16" si="2">(MIN($I$10:$I$16))/I10*100</f>
        <v>39.281604665825981</v>
      </c>
    </row>
    <row r="11" spans="1:10" x14ac:dyDescent="0.35">
      <c r="A11" s="75" t="s">
        <v>307</v>
      </c>
      <c r="B11" s="70">
        <v>1547.13</v>
      </c>
      <c r="C11" s="70">
        <f t="shared" si="0"/>
        <v>97.779140096190915</v>
      </c>
      <c r="E11" s="133"/>
      <c r="F11" s="10" t="s">
        <v>307</v>
      </c>
      <c r="G11" s="72">
        <v>0.68</v>
      </c>
      <c r="H11" s="2">
        <v>1056.6570008285005</v>
      </c>
      <c r="I11" s="2">
        <f t="shared" si="1"/>
        <v>1553.9073541595594</v>
      </c>
      <c r="J11" s="2">
        <f t="shared" si="2"/>
        <v>60.213650006849704</v>
      </c>
    </row>
    <row r="12" spans="1:10" x14ac:dyDescent="0.35">
      <c r="A12" s="69" t="s">
        <v>428</v>
      </c>
      <c r="B12" s="70">
        <v>1184.31</v>
      </c>
      <c r="C12" s="70">
        <f t="shared" si="0"/>
        <v>74.848793189531492</v>
      </c>
      <c r="E12" s="133"/>
      <c r="F12" s="10" t="s">
        <v>428</v>
      </c>
      <c r="G12" s="72">
        <v>0.73</v>
      </c>
      <c r="H12" s="2">
        <v>810.16260162601623</v>
      </c>
      <c r="I12" s="12">
        <f t="shared" si="1"/>
        <v>1109.8117830493372</v>
      </c>
      <c r="J12" s="2">
        <f t="shared" si="2"/>
        <v>84.308380029403622</v>
      </c>
    </row>
    <row r="13" spans="1:10" x14ac:dyDescent="0.35">
      <c r="A13" s="69" t="s">
        <v>308</v>
      </c>
      <c r="B13" s="70">
        <v>1400.33</v>
      </c>
      <c r="C13" s="70">
        <f t="shared" si="0"/>
        <v>88.501330367130763</v>
      </c>
      <c r="E13" s="133"/>
      <c r="F13" s="10" t="s">
        <v>308</v>
      </c>
      <c r="G13" s="72">
        <v>0.61</v>
      </c>
      <c r="H13" s="7">
        <v>828.97196261682245</v>
      </c>
      <c r="I13" s="12">
        <f t="shared" si="1"/>
        <v>1358.9704305193811</v>
      </c>
      <c r="J13" s="2">
        <f t="shared" si="2"/>
        <v>68.850970900576314</v>
      </c>
    </row>
    <row r="14" spans="1:10" x14ac:dyDescent="0.35">
      <c r="A14" s="69" t="s">
        <v>430</v>
      </c>
      <c r="B14" s="70">
        <v>1306.6500000000001</v>
      </c>
      <c r="C14" s="70">
        <f t="shared" si="0"/>
        <v>82.580722632673314</v>
      </c>
      <c r="E14" s="133"/>
      <c r="F14" s="10" t="s">
        <v>430</v>
      </c>
      <c r="G14" s="72">
        <v>0.48</v>
      </c>
      <c r="H14" s="2">
        <v>712.64772727272725</v>
      </c>
      <c r="I14" s="12">
        <f t="shared" si="1"/>
        <v>1484.6827651515152</v>
      </c>
      <c r="J14" s="2">
        <f t="shared" si="2"/>
        <v>63.021162340282778</v>
      </c>
    </row>
    <row r="15" spans="1:10" x14ac:dyDescent="0.35">
      <c r="A15" s="69" t="s">
        <v>427</v>
      </c>
      <c r="B15" s="70">
        <v>1332.9</v>
      </c>
      <c r="C15" s="70">
        <f t="shared" si="0"/>
        <v>84.239731524960987</v>
      </c>
      <c r="E15" s="133"/>
      <c r="F15" s="10" t="s">
        <v>427</v>
      </c>
      <c r="G15" s="72">
        <v>0.33</v>
      </c>
      <c r="H15" s="7">
        <v>308.76923076923077</v>
      </c>
      <c r="I15" s="12">
        <f t="shared" si="1"/>
        <v>935.66433566433568</v>
      </c>
      <c r="J15" s="2">
        <f t="shared" si="2"/>
        <v>100</v>
      </c>
    </row>
    <row r="16" spans="1:10" x14ac:dyDescent="0.35">
      <c r="A16" s="69" t="s">
        <v>429</v>
      </c>
      <c r="B16" s="70">
        <v>1138.52</v>
      </c>
      <c r="C16" s="70">
        <f t="shared" si="0"/>
        <v>71.954849677994275</v>
      </c>
      <c r="E16" s="133"/>
      <c r="F16" s="10" t="s">
        <v>429</v>
      </c>
      <c r="G16" s="72">
        <v>0.13</v>
      </c>
      <c r="H16" s="2">
        <v>180</v>
      </c>
      <c r="I16" s="12">
        <f t="shared" si="1"/>
        <v>1384.6153846153845</v>
      </c>
      <c r="J16" s="2">
        <f t="shared" si="2"/>
        <v>67.575757575757578</v>
      </c>
    </row>
    <row r="18" spans="1:13" x14ac:dyDescent="0.35">
      <c r="A18" s="1" t="s">
        <v>501</v>
      </c>
      <c r="B18" s="594" t="s">
        <v>463</v>
      </c>
      <c r="C18" s="594"/>
      <c r="F18" s="1" t="s">
        <v>497</v>
      </c>
      <c r="G18" s="598" t="s">
        <v>494</v>
      </c>
      <c r="H18" s="599"/>
      <c r="I18" s="599"/>
      <c r="J18" s="599"/>
    </row>
    <row r="19" spans="1:13" x14ac:dyDescent="0.35">
      <c r="A19" s="9" t="s">
        <v>458</v>
      </c>
      <c r="B19" s="22" t="s">
        <v>487</v>
      </c>
      <c r="C19" s="22" t="s">
        <v>459</v>
      </c>
      <c r="F19" s="9" t="s">
        <v>227</v>
      </c>
      <c r="G19" s="22" t="s">
        <v>487</v>
      </c>
      <c r="H19" s="24" t="s">
        <v>502</v>
      </c>
      <c r="I19" s="24" t="s">
        <v>466</v>
      </c>
      <c r="J19" s="24" t="s">
        <v>459</v>
      </c>
    </row>
    <row r="20" spans="1:13" x14ac:dyDescent="0.35">
      <c r="A20" s="10" t="s">
        <v>306</v>
      </c>
      <c r="B20" s="129">
        <v>1.2557870370370001E-2</v>
      </c>
      <c r="C20" s="2">
        <f t="shared" ref="C20:C26" si="3">+B20/(MAX($B$20:$B$26))*100</f>
        <v>100</v>
      </c>
      <c r="D20" s="141"/>
      <c r="E20" s="141"/>
      <c r="F20" s="10" t="s">
        <v>308</v>
      </c>
      <c r="G20" s="72">
        <v>6.42</v>
      </c>
      <c r="H20" s="91">
        <v>6.37</v>
      </c>
      <c r="I20" s="128">
        <f t="shared" ref="I20:I26" si="4">+G20/H20*100</f>
        <v>100.78492935635792</v>
      </c>
      <c r="J20" s="2">
        <f t="shared" ref="J20:J26" si="5">+I20/(MAX($I$20:$I$26))*100</f>
        <v>100</v>
      </c>
      <c r="M20" s="161"/>
    </row>
    <row r="21" spans="1:13" x14ac:dyDescent="0.35">
      <c r="A21" s="10" t="s">
        <v>307</v>
      </c>
      <c r="B21" s="129">
        <v>8.4837962962959999E-3</v>
      </c>
      <c r="C21" s="127">
        <f t="shared" si="3"/>
        <v>67.557603686635574</v>
      </c>
      <c r="D21" s="141"/>
      <c r="E21" s="141"/>
      <c r="F21" s="10" t="s">
        <v>427</v>
      </c>
      <c r="G21" s="72">
        <v>3.43</v>
      </c>
      <c r="H21" s="91">
        <v>3.42</v>
      </c>
      <c r="I21" s="128">
        <f t="shared" si="4"/>
        <v>100.29239766081872</v>
      </c>
      <c r="J21" s="2">
        <f t="shared" si="5"/>
        <v>99.511304221092729</v>
      </c>
      <c r="M21" s="161"/>
    </row>
    <row r="22" spans="1:13" x14ac:dyDescent="0.35">
      <c r="A22" s="10" t="s">
        <v>428</v>
      </c>
      <c r="B22" s="129">
        <v>1.0300925925926E-2</v>
      </c>
      <c r="C22" s="2">
        <f t="shared" si="3"/>
        <v>82.027649769588251</v>
      </c>
      <c r="D22" s="141"/>
      <c r="E22" s="141"/>
      <c r="F22" s="10" t="s">
        <v>307</v>
      </c>
      <c r="G22" s="72">
        <v>7.18</v>
      </c>
      <c r="H22" s="91">
        <v>7.26</v>
      </c>
      <c r="I22" s="128">
        <f t="shared" si="4"/>
        <v>98.898071625344357</v>
      </c>
      <c r="J22" s="2">
        <f t="shared" si="5"/>
        <v>98.127837422654764</v>
      </c>
      <c r="M22" s="161"/>
    </row>
    <row r="23" spans="1:13" x14ac:dyDescent="0.35">
      <c r="A23" s="10" t="s">
        <v>308</v>
      </c>
      <c r="B23" s="129">
        <v>9.1319444444440002E-3</v>
      </c>
      <c r="C23" s="2">
        <f t="shared" si="3"/>
        <v>72.718894009215191</v>
      </c>
      <c r="D23" s="141"/>
      <c r="E23" s="141"/>
      <c r="F23" s="10" t="s">
        <v>428</v>
      </c>
      <c r="G23" s="72">
        <v>7.72</v>
      </c>
      <c r="H23" s="91">
        <v>8.4600000000000009</v>
      </c>
      <c r="I23" s="128">
        <f t="shared" si="4"/>
        <v>91.252955082742304</v>
      </c>
      <c r="J23" s="2">
        <f t="shared" si="5"/>
        <v>90.542262286147746</v>
      </c>
      <c r="M23" s="161"/>
    </row>
    <row r="24" spans="1:13" x14ac:dyDescent="0.35">
      <c r="A24" s="10" t="s">
        <v>430</v>
      </c>
      <c r="B24" s="129">
        <v>7.9629629629629998E-3</v>
      </c>
      <c r="C24" s="2">
        <f t="shared" si="3"/>
        <v>63.410138248850089</v>
      </c>
      <c r="D24" s="141"/>
      <c r="E24" s="141"/>
      <c r="F24" s="10" t="s">
        <v>429</v>
      </c>
      <c r="G24" s="72">
        <v>1.41</v>
      </c>
      <c r="H24" s="91">
        <v>1.59</v>
      </c>
      <c r="I24" s="128">
        <f t="shared" si="4"/>
        <v>88.679245283018858</v>
      </c>
      <c r="J24" s="2">
        <f t="shared" si="5"/>
        <v>87.9885969552695</v>
      </c>
      <c r="M24" s="161"/>
    </row>
    <row r="25" spans="1:13" x14ac:dyDescent="0.35">
      <c r="A25" s="10" t="s">
        <v>427</v>
      </c>
      <c r="B25" s="129">
        <v>6.4814814814809999E-3</v>
      </c>
      <c r="C25" s="2">
        <f t="shared" si="3"/>
        <v>51.612903225804139</v>
      </c>
      <c r="D25" s="141"/>
      <c r="E25" s="141"/>
      <c r="F25" s="10" t="s">
        <v>306</v>
      </c>
      <c r="G25" s="72">
        <v>23.12</v>
      </c>
      <c r="H25" s="91">
        <v>26.43</v>
      </c>
      <c r="I25" s="128">
        <f t="shared" si="4"/>
        <v>87.476352629587595</v>
      </c>
      <c r="J25" s="2">
        <f t="shared" si="5"/>
        <v>86.795072624684266</v>
      </c>
      <c r="M25" s="161"/>
    </row>
    <row r="26" spans="1:13" x14ac:dyDescent="0.35">
      <c r="A26" s="10" t="s">
        <v>429</v>
      </c>
      <c r="B26" s="129">
        <v>5.4398148148149996E-3</v>
      </c>
      <c r="C26" s="2">
        <f t="shared" si="3"/>
        <v>43.317972350233163</v>
      </c>
      <c r="D26" s="141"/>
      <c r="E26" s="141"/>
      <c r="F26" s="10" t="s">
        <v>430</v>
      </c>
      <c r="G26" s="72">
        <v>5.0199999999999996</v>
      </c>
      <c r="H26" s="91">
        <v>6.77</v>
      </c>
      <c r="I26" s="128">
        <f t="shared" si="4"/>
        <v>74.150664697193506</v>
      </c>
      <c r="J26" s="2">
        <f t="shared" si="5"/>
        <v>73.573167308586079</v>
      </c>
      <c r="M26" s="161"/>
    </row>
    <row r="27" spans="1:13" ht="16" thickBot="1" x14ac:dyDescent="0.4"/>
    <row r="28" spans="1:13" ht="16" thickBot="1" x14ac:dyDescent="0.4">
      <c r="A28" s="142" t="s">
        <v>467</v>
      </c>
      <c r="B28" s="143">
        <v>0.25</v>
      </c>
      <c r="C28" s="143">
        <v>0.25</v>
      </c>
      <c r="D28" s="143">
        <v>0.25</v>
      </c>
      <c r="E28" s="143">
        <v>0.25</v>
      </c>
      <c r="F28" s="144"/>
    </row>
    <row r="29" spans="1:13" ht="16" thickBot="1" x14ac:dyDescent="0.4">
      <c r="A29" s="145" t="s">
        <v>458</v>
      </c>
      <c r="B29" s="146" t="s">
        <v>36</v>
      </c>
      <c r="C29" s="147" t="s">
        <v>468</v>
      </c>
      <c r="D29" s="147" t="s">
        <v>456</v>
      </c>
      <c r="E29" s="148" t="s">
        <v>469</v>
      </c>
      <c r="F29" s="149" t="s">
        <v>470</v>
      </c>
    </row>
    <row r="30" spans="1:13" x14ac:dyDescent="0.35">
      <c r="A30" s="132" t="s">
        <v>427</v>
      </c>
      <c r="B30" s="150">
        <f t="shared" ref="B30:B36" si="6">VLOOKUP(A30,$A$10:$C$16,3,0)</f>
        <v>84.239731524960987</v>
      </c>
      <c r="C30" s="151">
        <f t="shared" ref="C30:C36" si="7">VLOOKUP(A30,$A$20:$C$26,3,0)</f>
        <v>51.612903225804139</v>
      </c>
      <c r="D30" s="151">
        <f t="shared" ref="D30:D36" si="8">VLOOKUP(A30,$F$10:$J$16,5,0)</f>
        <v>100</v>
      </c>
      <c r="E30" s="152">
        <f t="shared" ref="E30:E36" si="9">VLOOKUP(A30,$F$20:$J$26,5,0)</f>
        <v>99.511304221092729</v>
      </c>
      <c r="F30" s="135">
        <f t="shared" ref="F30:F36" si="10">+B30*$B$28+C30*$C$28+D30*$D$28+E30*$E$28</f>
        <v>83.840984742964466</v>
      </c>
    </row>
    <row r="31" spans="1:13" x14ac:dyDescent="0.35">
      <c r="A31" s="153" t="s">
        <v>428</v>
      </c>
      <c r="B31" s="154">
        <f t="shared" si="6"/>
        <v>74.848793189531492</v>
      </c>
      <c r="C31" s="155">
        <f t="shared" si="7"/>
        <v>82.027649769588251</v>
      </c>
      <c r="D31" s="155">
        <f t="shared" si="8"/>
        <v>84.308380029403622</v>
      </c>
      <c r="E31" s="156">
        <f t="shared" si="9"/>
        <v>90.542262286147746</v>
      </c>
      <c r="F31" s="135">
        <f t="shared" si="10"/>
        <v>82.931771318667785</v>
      </c>
    </row>
    <row r="32" spans="1:13" x14ac:dyDescent="0.35">
      <c r="A32" s="153" t="s">
        <v>308</v>
      </c>
      <c r="B32" s="154">
        <f t="shared" si="6"/>
        <v>88.501330367130763</v>
      </c>
      <c r="C32" s="155">
        <f t="shared" si="7"/>
        <v>72.718894009215191</v>
      </c>
      <c r="D32" s="155">
        <f t="shared" si="8"/>
        <v>68.850970900576314</v>
      </c>
      <c r="E32" s="156">
        <f t="shared" si="9"/>
        <v>100</v>
      </c>
      <c r="F32" s="135">
        <f t="shared" si="10"/>
        <v>82.517798819230563</v>
      </c>
    </row>
    <row r="33" spans="1:6" x14ac:dyDescent="0.35">
      <c r="A33" s="153" t="s">
        <v>306</v>
      </c>
      <c r="B33" s="154">
        <f t="shared" si="6"/>
        <v>100</v>
      </c>
      <c r="C33" s="155">
        <f t="shared" si="7"/>
        <v>100</v>
      </c>
      <c r="D33" s="155">
        <f t="shared" si="8"/>
        <v>39.281604665825981</v>
      </c>
      <c r="E33" s="156">
        <f t="shared" si="9"/>
        <v>86.795072624684266</v>
      </c>
      <c r="F33" s="135">
        <f t="shared" si="10"/>
        <v>81.519169322627562</v>
      </c>
    </row>
    <row r="34" spans="1:6" x14ac:dyDescent="0.35">
      <c r="A34" s="153" t="s">
        <v>307</v>
      </c>
      <c r="B34" s="154">
        <f t="shared" si="6"/>
        <v>97.779140096190915</v>
      </c>
      <c r="C34" s="155">
        <f t="shared" si="7"/>
        <v>67.557603686635574</v>
      </c>
      <c r="D34" s="155">
        <f t="shared" si="8"/>
        <v>60.213650006849704</v>
      </c>
      <c r="E34" s="156">
        <f t="shared" si="9"/>
        <v>98.127837422654764</v>
      </c>
      <c r="F34" s="135">
        <f t="shared" si="10"/>
        <v>80.919557803082739</v>
      </c>
    </row>
    <row r="35" spans="1:6" x14ac:dyDescent="0.35">
      <c r="A35" s="153" t="s">
        <v>430</v>
      </c>
      <c r="B35" s="154">
        <f t="shared" si="6"/>
        <v>82.580722632673314</v>
      </c>
      <c r="C35" s="155">
        <f t="shared" si="7"/>
        <v>63.410138248850089</v>
      </c>
      <c r="D35" s="155">
        <f t="shared" si="8"/>
        <v>63.021162340282778</v>
      </c>
      <c r="E35" s="156">
        <f t="shared" si="9"/>
        <v>73.573167308586079</v>
      </c>
      <c r="F35" s="135">
        <f t="shared" si="10"/>
        <v>70.646297632598078</v>
      </c>
    </row>
    <row r="36" spans="1:6" ht="16" thickBot="1" x14ac:dyDescent="0.4">
      <c r="A36" s="157" t="s">
        <v>429</v>
      </c>
      <c r="B36" s="158">
        <f t="shared" si="6"/>
        <v>71.954849677994275</v>
      </c>
      <c r="C36" s="159">
        <f t="shared" si="7"/>
        <v>43.317972350233163</v>
      </c>
      <c r="D36" s="159">
        <f t="shared" si="8"/>
        <v>67.575757575757578</v>
      </c>
      <c r="E36" s="160">
        <f t="shared" si="9"/>
        <v>87.9885969552695</v>
      </c>
      <c r="F36" s="137">
        <f t="shared" si="10"/>
        <v>67.709294139813622</v>
      </c>
    </row>
  </sheetData>
  <sortState xmlns:xlrd2="http://schemas.microsoft.com/office/spreadsheetml/2017/richdata2" ref="A30:F36">
    <sortCondition descending="1" ref="F30:F36"/>
  </sortState>
  <mergeCells count="4">
    <mergeCell ref="B8:C8"/>
    <mergeCell ref="G8:J8"/>
    <mergeCell ref="B18:C18"/>
    <mergeCell ref="G18:J18"/>
  </mergeCells>
  <conditionalFormatting sqref="F30:F3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5:F3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1200" verticalDpi="120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BC1A3-2C0D-45B1-A972-945D9E154A27}">
  <sheetPr>
    <tabColor theme="9" tint="0.79998168889431442"/>
  </sheetPr>
  <dimension ref="A1:J24"/>
  <sheetViews>
    <sheetView showGridLines="0" zoomScale="70" zoomScaleNormal="70" workbookViewId="0">
      <selection activeCell="M21" sqref="M21"/>
    </sheetView>
  </sheetViews>
  <sheetFormatPr defaultColWidth="9.08984375" defaultRowHeight="15.5" x14ac:dyDescent="0.35"/>
  <cols>
    <col min="1" max="1" width="21.54296875" style="138" bestFit="1" customWidth="1"/>
    <col min="2" max="2" width="13.90625" style="131" bestFit="1" customWidth="1"/>
    <col min="3" max="3" width="13.08984375" style="131" bestFit="1" customWidth="1"/>
    <col min="4" max="4" width="8.54296875" style="131" bestFit="1" customWidth="1"/>
    <col min="5" max="5" width="12.54296875" style="131" bestFit="1" customWidth="1"/>
    <col min="6" max="6" width="18.54296875" style="130" bestFit="1" customWidth="1"/>
    <col min="7" max="7" width="13.6328125" style="131" bestFit="1" customWidth="1"/>
    <col min="8" max="8" width="8.90625" style="131" bestFit="1" customWidth="1"/>
    <col min="9" max="9" width="7.08984375" style="131" bestFit="1" customWidth="1"/>
    <col min="10" max="10" width="6.90625" style="131" bestFit="1" customWidth="1"/>
    <col min="11" max="16384" width="9.08984375" style="131"/>
  </cols>
  <sheetData>
    <row r="1" spans="1:10" x14ac:dyDescent="0.35">
      <c r="A1" s="1" t="s">
        <v>225</v>
      </c>
    </row>
    <row r="2" spans="1:10" x14ac:dyDescent="0.35">
      <c r="A2" s="1" t="s">
        <v>471</v>
      </c>
    </row>
    <row r="3" spans="1:10" x14ac:dyDescent="0.35">
      <c r="A3" s="1" t="s">
        <v>29</v>
      </c>
    </row>
    <row r="4" spans="1:10" x14ac:dyDescent="0.35">
      <c r="A4" s="23" t="s">
        <v>226</v>
      </c>
    </row>
    <row r="5" spans="1:10" x14ac:dyDescent="0.35">
      <c r="A5" s="8" t="s">
        <v>499</v>
      </c>
    </row>
    <row r="6" spans="1:10" x14ac:dyDescent="0.35">
      <c r="A6" s="8"/>
    </row>
    <row r="7" spans="1:10" ht="16" thickBot="1" x14ac:dyDescent="0.4"/>
    <row r="8" spans="1:10" x14ac:dyDescent="0.35">
      <c r="A8" s="65" t="s">
        <v>454</v>
      </c>
      <c r="B8" s="590" t="s">
        <v>455</v>
      </c>
      <c r="C8" s="591"/>
      <c r="F8" s="1" t="s">
        <v>500</v>
      </c>
      <c r="G8" s="595" t="s">
        <v>457</v>
      </c>
      <c r="H8" s="595"/>
      <c r="I8" s="595"/>
      <c r="J8" s="595"/>
    </row>
    <row r="9" spans="1:10" x14ac:dyDescent="0.35">
      <c r="A9" s="67" t="s">
        <v>458</v>
      </c>
      <c r="B9" s="68" t="s">
        <v>487</v>
      </c>
      <c r="C9" s="68" t="s">
        <v>459</v>
      </c>
      <c r="F9" s="9" t="s">
        <v>458</v>
      </c>
      <c r="G9" s="22" t="s">
        <v>487</v>
      </c>
      <c r="H9" s="22" t="s">
        <v>460</v>
      </c>
      <c r="I9" s="22" t="s">
        <v>456</v>
      </c>
      <c r="J9" s="22" t="s">
        <v>459</v>
      </c>
    </row>
    <row r="10" spans="1:10" x14ac:dyDescent="0.35">
      <c r="A10" s="69" t="s">
        <v>309</v>
      </c>
      <c r="B10" s="70">
        <v>1337.36</v>
      </c>
      <c r="C10" s="70">
        <f>+B10/(MAX($B$10:$B$12))*100</f>
        <v>100</v>
      </c>
      <c r="E10" s="133"/>
      <c r="F10" s="10" t="s">
        <v>431</v>
      </c>
      <c r="G10" s="72">
        <v>0.2</v>
      </c>
      <c r="H10" s="2">
        <v>675</v>
      </c>
      <c r="I10" s="12">
        <f>H10/G10</f>
        <v>3375</v>
      </c>
      <c r="J10" s="2">
        <f>(MIN($I$10:$I$12))/I10*100</f>
        <v>36.488127979464608</v>
      </c>
    </row>
    <row r="11" spans="1:10" x14ac:dyDescent="0.35">
      <c r="A11" s="75" t="s">
        <v>310</v>
      </c>
      <c r="B11" s="70">
        <v>1278.46</v>
      </c>
      <c r="C11" s="70">
        <f>+B11/(MAX($B$10:$B$12))*100</f>
        <v>95.595800681940545</v>
      </c>
      <c r="E11" s="133"/>
      <c r="F11" s="10" t="s">
        <v>309</v>
      </c>
      <c r="G11" s="72">
        <v>0.51</v>
      </c>
      <c r="H11" s="2">
        <v>1174.2268041237114</v>
      </c>
      <c r="I11" s="2">
        <f>H11/G11</f>
        <v>2302.405498281787</v>
      </c>
      <c r="J11" s="2">
        <f>(MIN($I$10:$I$12))/I11*100</f>
        <v>53.486421928106978</v>
      </c>
    </row>
    <row r="12" spans="1:10" x14ac:dyDescent="0.35">
      <c r="A12" s="69" t="s">
        <v>431</v>
      </c>
      <c r="B12" s="70">
        <v>1224.77</v>
      </c>
      <c r="C12" s="70">
        <f>+B12/(MAX($B$10:$B$12))*100</f>
        <v>91.581174851947125</v>
      </c>
      <c r="E12" s="133"/>
      <c r="F12" s="10" t="s">
        <v>310</v>
      </c>
      <c r="G12" s="72">
        <v>0.32</v>
      </c>
      <c r="H12" s="2">
        <v>394.0717821782178</v>
      </c>
      <c r="I12" s="12">
        <f>H12/G12</f>
        <v>1231.4743193069305</v>
      </c>
      <c r="J12" s="2">
        <f>(MIN($I$10:$I$12))/I12*100</f>
        <v>100</v>
      </c>
    </row>
    <row r="13" spans="1:10" x14ac:dyDescent="0.35">
      <c r="E13" s="133"/>
      <c r="F13" s="138"/>
    </row>
    <row r="14" spans="1:10" x14ac:dyDescent="0.35">
      <c r="A14" s="1" t="s">
        <v>501</v>
      </c>
      <c r="B14" s="594" t="s">
        <v>463</v>
      </c>
      <c r="C14" s="594"/>
      <c r="F14" s="1" t="s">
        <v>497</v>
      </c>
      <c r="G14" s="598" t="s">
        <v>494</v>
      </c>
      <c r="H14" s="599"/>
      <c r="I14" s="599"/>
      <c r="J14" s="599"/>
    </row>
    <row r="15" spans="1:10" x14ac:dyDescent="0.35">
      <c r="A15" s="9" t="s">
        <v>458</v>
      </c>
      <c r="B15" s="22" t="s">
        <v>487</v>
      </c>
      <c r="C15" s="22" t="s">
        <v>459</v>
      </c>
      <c r="F15" s="9" t="s">
        <v>227</v>
      </c>
      <c r="G15" s="22" t="s">
        <v>487</v>
      </c>
      <c r="H15" s="24" t="s">
        <v>503</v>
      </c>
      <c r="I15" s="24" t="s">
        <v>466</v>
      </c>
      <c r="J15" s="24" t="s">
        <v>459</v>
      </c>
    </row>
    <row r="16" spans="1:10" x14ac:dyDescent="0.35">
      <c r="A16" s="10" t="s">
        <v>309</v>
      </c>
      <c r="B16" s="129">
        <v>7.5578703703699998E-3</v>
      </c>
      <c r="C16" s="2">
        <f>+B16/(MAX($B$16:$B$18))*100</f>
        <v>100</v>
      </c>
      <c r="D16" s="141"/>
      <c r="F16" s="10" t="s">
        <v>309</v>
      </c>
      <c r="G16" s="72">
        <v>5.38</v>
      </c>
      <c r="H16" s="91">
        <v>4.49</v>
      </c>
      <c r="I16" s="128">
        <f>+G16/H16*100</f>
        <v>119.82182628062358</v>
      </c>
      <c r="J16" s="2">
        <f>+I16/(MAX($I$16:$I$18))*100</f>
        <v>100</v>
      </c>
    </row>
    <row r="17" spans="1:10" x14ac:dyDescent="0.35">
      <c r="A17" s="10" t="s">
        <v>310</v>
      </c>
      <c r="B17" s="129">
        <v>6.5740740740739996E-3</v>
      </c>
      <c r="C17" s="127">
        <f>+B17/(MAX($B$16:$B$18))*100</f>
        <v>86.983154670753663</v>
      </c>
      <c r="D17" s="141"/>
      <c r="E17" s="133"/>
      <c r="F17" s="10" t="s">
        <v>310</v>
      </c>
      <c r="G17" s="72">
        <v>3.33</v>
      </c>
      <c r="H17" s="91">
        <v>3.09</v>
      </c>
      <c r="I17" s="128">
        <f t="shared" ref="I17:I18" si="0">+G17/H17*100</f>
        <v>107.76699029126213</v>
      </c>
      <c r="J17" s="2">
        <f>+I17/(MAX($I$16:$I$18))*100</f>
        <v>89.939365503302426</v>
      </c>
    </row>
    <row r="18" spans="1:10" x14ac:dyDescent="0.35">
      <c r="A18" s="10" t="s">
        <v>431</v>
      </c>
      <c r="B18" s="129">
        <v>6.7824074074070003E-3</v>
      </c>
      <c r="C18" s="2">
        <f>+B18/(MAX($B$16:$B$18))*100</f>
        <v>89.739663093414023</v>
      </c>
      <c r="D18" s="141"/>
      <c r="E18" s="133"/>
      <c r="F18" s="10" t="s">
        <v>431</v>
      </c>
      <c r="G18" s="72">
        <v>2.09</v>
      </c>
      <c r="H18" s="91">
        <v>2.38</v>
      </c>
      <c r="I18" s="128">
        <f t="shared" si="0"/>
        <v>87.815126050420162</v>
      </c>
      <c r="J18" s="2">
        <f>+I18/(MAX($I$16:$I$18))*100</f>
        <v>73.288088469588587</v>
      </c>
    </row>
    <row r="19" spans="1:10" ht="16" thickBot="1" x14ac:dyDescent="0.4">
      <c r="D19" s="141"/>
      <c r="E19" s="133"/>
    </row>
    <row r="20" spans="1:10" ht="16" thickBot="1" x14ac:dyDescent="0.4">
      <c r="A20" s="142" t="s">
        <v>467</v>
      </c>
      <c r="B20" s="163">
        <v>0.25</v>
      </c>
      <c r="C20" s="163">
        <v>0.25</v>
      </c>
      <c r="D20" s="163">
        <v>0.25</v>
      </c>
      <c r="E20" s="163">
        <v>0.25</v>
      </c>
      <c r="F20" s="164"/>
    </row>
    <row r="21" spans="1:10" ht="16" thickBot="1" x14ac:dyDescent="0.4">
      <c r="A21" s="165" t="s">
        <v>458</v>
      </c>
      <c r="B21" s="166" t="s">
        <v>36</v>
      </c>
      <c r="C21" s="167" t="s">
        <v>468</v>
      </c>
      <c r="D21" s="167" t="s">
        <v>456</v>
      </c>
      <c r="E21" s="168" t="s">
        <v>469</v>
      </c>
      <c r="F21" s="169" t="s">
        <v>470</v>
      </c>
    </row>
    <row r="22" spans="1:10" x14ac:dyDescent="0.35">
      <c r="A22" s="170" t="s">
        <v>310</v>
      </c>
      <c r="B22" s="171">
        <f>VLOOKUP(A22,$A$10:$C$12,3,0)</f>
        <v>95.595800681940545</v>
      </c>
      <c r="C22" s="172">
        <f>VLOOKUP(A22,$A$16:$C$18,3,0)</f>
        <v>86.983154670753663</v>
      </c>
      <c r="D22" s="172">
        <f>VLOOKUP(A22,$F$10:$J$12,5,0)</f>
        <v>100</v>
      </c>
      <c r="E22" s="173">
        <f>VLOOKUP(A22,$F$16:$J$18,5,0)</f>
        <v>89.939365503302426</v>
      </c>
      <c r="F22" s="174">
        <f>+B22*$B$20+C22*$C$20+D22*$D$20+E22*$E$20</f>
        <v>93.129580213999162</v>
      </c>
    </row>
    <row r="23" spans="1:10" x14ac:dyDescent="0.35">
      <c r="A23" s="175" t="s">
        <v>309</v>
      </c>
      <c r="B23" s="154">
        <f>VLOOKUP(A23,$A$10:$C$12,3,0)</f>
        <v>100</v>
      </c>
      <c r="C23" s="155">
        <f>VLOOKUP(A23,$A$16:$C$18,3,0)</f>
        <v>100</v>
      </c>
      <c r="D23" s="155">
        <f>VLOOKUP(A23,$F$10:$J$12,5,0)</f>
        <v>53.486421928106978</v>
      </c>
      <c r="E23" s="176">
        <f>VLOOKUP(A23,$F$16:$J$18,5,0)</f>
        <v>100</v>
      </c>
      <c r="F23" s="162">
        <f>+B23*$B$20+C23*$C$20+D23*$D$20+E23*$E$20</f>
        <v>88.371605482026752</v>
      </c>
    </row>
    <row r="24" spans="1:10" ht="16" thickBot="1" x14ac:dyDescent="0.4">
      <c r="A24" s="177" t="s">
        <v>431</v>
      </c>
      <c r="B24" s="158">
        <f>VLOOKUP(A24,$A$10:$C$12,3,0)</f>
        <v>91.581174851947125</v>
      </c>
      <c r="C24" s="159">
        <f>VLOOKUP(A24,$A$16:$C$18,3,0)</f>
        <v>89.739663093414023</v>
      </c>
      <c r="D24" s="159">
        <f>VLOOKUP(A24,$F$10:$J$12,5,0)</f>
        <v>36.488127979464608</v>
      </c>
      <c r="E24" s="178">
        <f>VLOOKUP(A24,$F$16:$J$18,5,0)</f>
        <v>73.288088469588587</v>
      </c>
      <c r="F24" s="179">
        <f>+B24*$B$20+C24*$C$20+D24*$D$20+E24*$E$20</f>
        <v>72.774263598603596</v>
      </c>
      <c r="G24" s="180"/>
    </row>
  </sheetData>
  <mergeCells count="4">
    <mergeCell ref="B8:C8"/>
    <mergeCell ref="G8:J8"/>
    <mergeCell ref="B14:C14"/>
    <mergeCell ref="G14:J14"/>
  </mergeCells>
  <conditionalFormatting sqref="F2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2:F2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3:F2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1A882-808A-4B81-9748-80F380986D05}">
  <sheetPr>
    <tabColor theme="9" tint="0.79998168889431442"/>
  </sheetPr>
  <dimension ref="A1:J33"/>
  <sheetViews>
    <sheetView showGridLines="0" topLeftCell="A7" zoomScale="70" zoomScaleNormal="70" workbookViewId="0">
      <selection activeCell="M21" sqref="M21"/>
    </sheetView>
  </sheetViews>
  <sheetFormatPr defaultColWidth="9.08984375" defaultRowHeight="15.5" x14ac:dyDescent="0.35"/>
  <cols>
    <col min="1" max="1" width="21.54296875" style="138" bestFit="1" customWidth="1"/>
    <col min="2" max="2" width="13.90625" style="131" bestFit="1" customWidth="1"/>
    <col min="3" max="3" width="13.08984375" style="131" bestFit="1" customWidth="1"/>
    <col min="4" max="4" width="8.54296875" style="131" bestFit="1" customWidth="1"/>
    <col min="5" max="5" width="12.54296875" style="131" bestFit="1" customWidth="1"/>
    <col min="6" max="6" width="21.6328125" style="138" bestFit="1" customWidth="1"/>
    <col min="7" max="7" width="13.6328125" style="131" bestFit="1" customWidth="1"/>
    <col min="8" max="8" width="8.90625" style="131" bestFit="1" customWidth="1"/>
    <col min="9" max="9" width="7.08984375" style="130" bestFit="1" customWidth="1"/>
    <col min="10" max="10" width="6.90625" style="131" bestFit="1" customWidth="1"/>
    <col min="11" max="16384" width="9.08984375" style="131"/>
  </cols>
  <sheetData>
    <row r="1" spans="1:10" x14ac:dyDescent="0.35">
      <c r="A1" s="1" t="s">
        <v>225</v>
      </c>
    </row>
    <row r="2" spans="1:10" x14ac:dyDescent="0.35">
      <c r="A2" s="1" t="s">
        <v>471</v>
      </c>
    </row>
    <row r="3" spans="1:10" x14ac:dyDescent="0.35">
      <c r="A3" s="1" t="s">
        <v>29</v>
      </c>
    </row>
    <row r="4" spans="1:10" x14ac:dyDescent="0.35">
      <c r="A4" s="23" t="s">
        <v>226</v>
      </c>
    </row>
    <row r="5" spans="1:10" x14ac:dyDescent="0.35">
      <c r="A5" s="8" t="s">
        <v>499</v>
      </c>
    </row>
    <row r="6" spans="1:10" x14ac:dyDescent="0.35">
      <c r="A6" s="8"/>
    </row>
    <row r="8" spans="1:10" x14ac:dyDescent="0.35">
      <c r="A8" s="1" t="s">
        <v>454</v>
      </c>
      <c r="B8" s="594" t="s">
        <v>455</v>
      </c>
      <c r="C8" s="594"/>
      <c r="F8" s="1" t="s">
        <v>500</v>
      </c>
      <c r="G8" s="595" t="s">
        <v>457</v>
      </c>
      <c r="H8" s="595"/>
      <c r="I8" s="595"/>
      <c r="J8" s="595"/>
    </row>
    <row r="9" spans="1:10" x14ac:dyDescent="0.35">
      <c r="A9" s="9" t="s">
        <v>458</v>
      </c>
      <c r="B9" s="22" t="s">
        <v>487</v>
      </c>
      <c r="C9" s="22" t="s">
        <v>459</v>
      </c>
      <c r="F9" s="9" t="s">
        <v>458</v>
      </c>
      <c r="G9" s="22" t="s">
        <v>487</v>
      </c>
      <c r="H9" s="22" t="s">
        <v>460</v>
      </c>
      <c r="I9" s="22" t="s">
        <v>456</v>
      </c>
      <c r="J9" s="22" t="s">
        <v>459</v>
      </c>
    </row>
    <row r="10" spans="1:10" x14ac:dyDescent="0.35">
      <c r="A10" s="10" t="s">
        <v>311</v>
      </c>
      <c r="B10" s="70">
        <v>1416.72</v>
      </c>
      <c r="C10" s="2">
        <f t="shared" ref="C10:C15" si="0">+B10/(MAX($B$10:$B$15))*100</f>
        <v>100</v>
      </c>
      <c r="E10" s="133"/>
      <c r="F10" s="10" t="s">
        <v>311</v>
      </c>
      <c r="G10" s="72">
        <v>0.38</v>
      </c>
      <c r="H10" s="2">
        <v>1200</v>
      </c>
      <c r="I10" s="12">
        <f t="shared" ref="I10:I15" si="1">H10/G10</f>
        <v>3157.8947368421054</v>
      </c>
      <c r="J10" s="2">
        <f t="shared" ref="J10:J15" si="2">(MIN($I$10:$I$15))/I10*100</f>
        <v>99.976190476190467</v>
      </c>
    </row>
    <row r="11" spans="1:10" x14ac:dyDescent="0.35">
      <c r="A11" s="10" t="s">
        <v>312</v>
      </c>
      <c r="B11" s="70">
        <v>1275.74</v>
      </c>
      <c r="C11" s="2">
        <f t="shared" si="0"/>
        <v>90.048845219944667</v>
      </c>
      <c r="E11" s="133"/>
      <c r="F11" s="10" t="s">
        <v>312</v>
      </c>
      <c r="G11" s="72">
        <v>0.19</v>
      </c>
      <c r="H11" s="2">
        <v>1000</v>
      </c>
      <c r="I11" s="2">
        <f t="shared" si="1"/>
        <v>5263.1578947368416</v>
      </c>
      <c r="J11" s="2">
        <f t="shared" si="2"/>
        <v>59.985714285714288</v>
      </c>
    </row>
    <row r="12" spans="1:10" x14ac:dyDescent="0.35">
      <c r="A12" s="10" t="s">
        <v>313</v>
      </c>
      <c r="B12" s="70">
        <v>1361.52</v>
      </c>
      <c r="C12" s="2">
        <f t="shared" si="0"/>
        <v>96.103676096899875</v>
      </c>
      <c r="E12" s="133"/>
      <c r="F12" s="10" t="s">
        <v>313</v>
      </c>
      <c r="G12" s="72">
        <v>0.14000000000000001</v>
      </c>
      <c r="H12" s="2">
        <v>442</v>
      </c>
      <c r="I12" s="12">
        <f t="shared" si="1"/>
        <v>3157.1428571428569</v>
      </c>
      <c r="J12" s="2">
        <f t="shared" si="2"/>
        <v>100</v>
      </c>
    </row>
    <row r="13" spans="1:10" x14ac:dyDescent="0.35">
      <c r="A13" s="10" t="s">
        <v>434</v>
      </c>
      <c r="B13" s="70">
        <v>1290.04</v>
      </c>
      <c r="C13" s="2">
        <f t="shared" si="0"/>
        <v>91.058218984697035</v>
      </c>
      <c r="E13" s="133"/>
      <c r="F13" s="10" t="s">
        <v>434</v>
      </c>
      <c r="G13" s="72">
        <v>0.11</v>
      </c>
      <c r="H13" s="7">
        <v>600</v>
      </c>
      <c r="I13" s="12">
        <f t="shared" si="1"/>
        <v>5454.545454545455</v>
      </c>
      <c r="J13" s="2">
        <f t="shared" si="2"/>
        <v>57.880952380952365</v>
      </c>
    </row>
    <row r="14" spans="1:10" x14ac:dyDescent="0.35">
      <c r="A14" s="10" t="s">
        <v>433</v>
      </c>
      <c r="B14" s="70">
        <v>919.16</v>
      </c>
      <c r="C14" s="2">
        <f t="shared" si="0"/>
        <v>64.87943983285335</v>
      </c>
      <c r="E14" s="133"/>
      <c r="F14" s="10" t="s">
        <v>433</v>
      </c>
      <c r="G14" s="72">
        <v>7.0000000000000007E-2</v>
      </c>
      <c r="H14" s="2">
        <v>500</v>
      </c>
      <c r="I14" s="12">
        <f t="shared" si="1"/>
        <v>7142.8571428571422</v>
      </c>
      <c r="J14" s="2">
        <f t="shared" si="2"/>
        <v>44.2</v>
      </c>
    </row>
    <row r="15" spans="1:10" x14ac:dyDescent="0.35">
      <c r="A15" s="10" t="s">
        <v>432</v>
      </c>
      <c r="B15" s="70">
        <v>929.28</v>
      </c>
      <c r="C15" s="2">
        <f t="shared" si="0"/>
        <v>65.593765881755033</v>
      </c>
      <c r="E15" s="133"/>
      <c r="F15" s="10" t="s">
        <v>432</v>
      </c>
      <c r="G15" s="72">
        <v>0.03</v>
      </c>
      <c r="H15" s="7">
        <v>440</v>
      </c>
      <c r="I15" s="12">
        <f t="shared" si="1"/>
        <v>14666.666666666668</v>
      </c>
      <c r="J15" s="2">
        <f t="shared" si="2"/>
        <v>21.525974025974023</v>
      </c>
    </row>
    <row r="16" spans="1:10" x14ac:dyDescent="0.35">
      <c r="E16" s="133"/>
    </row>
    <row r="17" spans="1:10" x14ac:dyDescent="0.35">
      <c r="A17" s="1" t="s">
        <v>501</v>
      </c>
      <c r="B17" s="594" t="s">
        <v>463</v>
      </c>
      <c r="C17" s="594"/>
      <c r="E17" s="133"/>
      <c r="F17" s="1" t="s">
        <v>497</v>
      </c>
      <c r="G17" s="598" t="s">
        <v>494</v>
      </c>
      <c r="H17" s="599"/>
      <c r="I17" s="599"/>
      <c r="J17" s="599"/>
    </row>
    <row r="18" spans="1:10" x14ac:dyDescent="0.35">
      <c r="A18" s="9" t="s">
        <v>458</v>
      </c>
      <c r="B18" s="22" t="s">
        <v>487</v>
      </c>
      <c r="C18" s="22" t="s">
        <v>459</v>
      </c>
      <c r="F18" s="9" t="s">
        <v>227</v>
      </c>
      <c r="G18" s="22" t="s">
        <v>487</v>
      </c>
      <c r="H18" s="24" t="s">
        <v>503</v>
      </c>
      <c r="I18" s="24" t="s">
        <v>466</v>
      </c>
      <c r="J18" s="24" t="s">
        <v>459</v>
      </c>
    </row>
    <row r="19" spans="1:10" x14ac:dyDescent="0.35">
      <c r="A19" s="10" t="s">
        <v>311</v>
      </c>
      <c r="B19" s="129">
        <v>5.6365740740739996E-3</v>
      </c>
      <c r="C19" s="2">
        <f t="shared" ref="C19:C24" si="3">+B19/(MAX($B$19:$B$24))*100</f>
        <v>100</v>
      </c>
      <c r="D19" s="141"/>
      <c r="F19" s="10" t="s">
        <v>311</v>
      </c>
      <c r="G19" s="72">
        <v>4</v>
      </c>
      <c r="H19" s="91">
        <v>3.19</v>
      </c>
      <c r="I19" s="128">
        <f>+G19/H19*100</f>
        <v>125.39184952978057</v>
      </c>
      <c r="J19" s="2">
        <f t="shared" ref="J19:J24" si="4">+I19/(MAX($I$19:$I$24))*100</f>
        <v>100</v>
      </c>
    </row>
    <row r="20" spans="1:10" x14ac:dyDescent="0.35">
      <c r="A20" s="10" t="s">
        <v>312</v>
      </c>
      <c r="B20" s="129">
        <v>4.0277777777779997E-3</v>
      </c>
      <c r="C20" s="127">
        <f t="shared" si="3"/>
        <v>71.457905544152723</v>
      </c>
      <c r="D20" s="141"/>
      <c r="F20" s="10" t="s">
        <v>312</v>
      </c>
      <c r="G20" s="72">
        <v>1.97</v>
      </c>
      <c r="H20" s="91">
        <v>2.21</v>
      </c>
      <c r="I20" s="128">
        <f t="shared" ref="I20:I24" si="5">+G20/H20*100</f>
        <v>89.14027149321268</v>
      </c>
      <c r="J20" s="2">
        <f t="shared" si="4"/>
        <v>71.089366515837099</v>
      </c>
    </row>
    <row r="21" spans="1:10" x14ac:dyDescent="0.35">
      <c r="A21" s="10" t="s">
        <v>313</v>
      </c>
      <c r="B21" s="129">
        <v>3.1134259259259999E-3</v>
      </c>
      <c r="C21" s="2">
        <f t="shared" si="3"/>
        <v>55.236139630392188</v>
      </c>
      <c r="D21" s="141"/>
      <c r="F21" s="10" t="s">
        <v>313</v>
      </c>
      <c r="G21" s="72">
        <v>1.51</v>
      </c>
      <c r="H21" s="91">
        <v>1.61</v>
      </c>
      <c r="I21" s="128">
        <f t="shared" si="5"/>
        <v>93.788819875776397</v>
      </c>
      <c r="J21" s="2">
        <f t="shared" si="4"/>
        <v>74.796583850931668</v>
      </c>
    </row>
    <row r="22" spans="1:10" x14ac:dyDescent="0.35">
      <c r="A22" s="10" t="s">
        <v>434</v>
      </c>
      <c r="B22" s="129">
        <v>2.6273148148150001E-3</v>
      </c>
      <c r="C22" s="2">
        <f t="shared" si="3"/>
        <v>46.611909650927927</v>
      </c>
      <c r="D22" s="141"/>
      <c r="E22" s="133"/>
      <c r="F22" s="10" t="s">
        <v>434</v>
      </c>
      <c r="G22" s="72">
        <v>1.1499999999999999</v>
      </c>
      <c r="H22" s="91">
        <v>1.79</v>
      </c>
      <c r="I22" s="128">
        <f t="shared" si="5"/>
        <v>64.245810055865917</v>
      </c>
      <c r="J22" s="2">
        <f t="shared" si="4"/>
        <v>51.236033519553068</v>
      </c>
    </row>
    <row r="23" spans="1:10" x14ac:dyDescent="0.35">
      <c r="A23" s="10" t="s">
        <v>433</v>
      </c>
      <c r="B23" s="129">
        <v>2.604166666667E-3</v>
      </c>
      <c r="C23" s="2">
        <f t="shared" si="3"/>
        <v>46.201232032860737</v>
      </c>
      <c r="D23" s="141"/>
      <c r="E23" s="133"/>
      <c r="F23" s="10" t="s">
        <v>433</v>
      </c>
      <c r="G23" s="72">
        <v>0.7</v>
      </c>
      <c r="H23" s="91">
        <v>0.97</v>
      </c>
      <c r="I23" s="128">
        <f t="shared" si="5"/>
        <v>72.164948453608247</v>
      </c>
      <c r="J23" s="2">
        <f t="shared" si="4"/>
        <v>57.551546391752574</v>
      </c>
    </row>
    <row r="24" spans="1:10" x14ac:dyDescent="0.35">
      <c r="A24" s="10" t="s">
        <v>432</v>
      </c>
      <c r="B24" s="129">
        <v>1.805555555556E-3</v>
      </c>
      <c r="C24" s="2">
        <f t="shared" si="3"/>
        <v>32.032854209453895</v>
      </c>
      <c r="D24" s="141"/>
      <c r="E24" s="133"/>
      <c r="F24" s="10" t="s">
        <v>432</v>
      </c>
      <c r="G24" s="72">
        <v>0.36</v>
      </c>
      <c r="H24" s="91">
        <v>0.43</v>
      </c>
      <c r="I24" s="128">
        <f t="shared" si="5"/>
        <v>83.720930232558132</v>
      </c>
      <c r="J24" s="2">
        <f t="shared" si="4"/>
        <v>66.767441860465098</v>
      </c>
    </row>
    <row r="25" spans="1:10" ht="16" thickBot="1" x14ac:dyDescent="0.4">
      <c r="D25" s="141"/>
      <c r="E25" s="133"/>
    </row>
    <row r="26" spans="1:10" ht="16" thickBot="1" x14ac:dyDescent="0.4">
      <c r="A26" s="142" t="s">
        <v>467</v>
      </c>
      <c r="B26" s="143">
        <v>0.2</v>
      </c>
      <c r="C26" s="163">
        <v>0.3</v>
      </c>
      <c r="D26" s="163">
        <v>0.2</v>
      </c>
      <c r="E26" s="181">
        <v>0.3</v>
      </c>
      <c r="F26" s="144"/>
    </row>
    <row r="27" spans="1:10" ht="16" thickBot="1" x14ac:dyDescent="0.4">
      <c r="A27" s="165" t="s">
        <v>458</v>
      </c>
      <c r="B27" s="166" t="s">
        <v>36</v>
      </c>
      <c r="C27" s="167" t="s">
        <v>468</v>
      </c>
      <c r="D27" s="167" t="s">
        <v>456</v>
      </c>
      <c r="E27" s="168" t="s">
        <v>469</v>
      </c>
      <c r="F27" s="145" t="s">
        <v>470</v>
      </c>
    </row>
    <row r="28" spans="1:10" x14ac:dyDescent="0.35">
      <c r="A28" s="175" t="s">
        <v>311</v>
      </c>
      <c r="B28" s="171">
        <f t="shared" ref="B28:B33" si="6">VLOOKUP(A28,$A$10:$C$15,3,0)</f>
        <v>100</v>
      </c>
      <c r="C28" s="172">
        <f t="shared" ref="C28:C33" si="7">VLOOKUP(A28,$A$19:$C$24,3,0)</f>
        <v>100</v>
      </c>
      <c r="D28" s="182">
        <f t="shared" ref="D28:D33" si="8">VLOOKUP(A28,$F$10:$J$15,5,0)</f>
        <v>99.976190476190467</v>
      </c>
      <c r="E28" s="183">
        <f t="shared" ref="E28:E33" si="9">VLOOKUP(A28,$F$19:$J$24,5,0)</f>
        <v>100</v>
      </c>
      <c r="F28" s="140">
        <f t="shared" ref="F28:F33" si="10">+B28*$B$26+C28*$C$26+D28*$D$26+E28*$E$26</f>
        <v>99.995238095238093</v>
      </c>
    </row>
    <row r="29" spans="1:10" x14ac:dyDescent="0.35">
      <c r="A29" s="175" t="s">
        <v>313</v>
      </c>
      <c r="B29" s="154">
        <f t="shared" si="6"/>
        <v>96.103676096899875</v>
      </c>
      <c r="C29" s="155">
        <f t="shared" si="7"/>
        <v>55.236139630392188</v>
      </c>
      <c r="D29" s="184">
        <f t="shared" si="8"/>
        <v>100</v>
      </c>
      <c r="E29" s="156">
        <f t="shared" si="9"/>
        <v>74.796583850931668</v>
      </c>
      <c r="F29" s="135">
        <f t="shared" si="10"/>
        <v>78.230552263777128</v>
      </c>
    </row>
    <row r="30" spans="1:10" x14ac:dyDescent="0.35">
      <c r="A30" s="175" t="s">
        <v>312</v>
      </c>
      <c r="B30" s="154">
        <f t="shared" si="6"/>
        <v>90.048845219944667</v>
      </c>
      <c r="C30" s="155">
        <f t="shared" si="7"/>
        <v>71.457905544152723</v>
      </c>
      <c r="D30" s="184">
        <f t="shared" si="8"/>
        <v>59.985714285714288</v>
      </c>
      <c r="E30" s="156">
        <f t="shared" si="9"/>
        <v>71.089366515837099</v>
      </c>
      <c r="F30" s="135">
        <f t="shared" si="10"/>
        <v>72.77109351912874</v>
      </c>
    </row>
    <row r="31" spans="1:10" x14ac:dyDescent="0.35">
      <c r="A31" s="175" t="s">
        <v>434</v>
      </c>
      <c r="B31" s="154">
        <f t="shared" si="6"/>
        <v>91.058218984697035</v>
      </c>
      <c r="C31" s="155">
        <f t="shared" si="7"/>
        <v>46.611909650927927</v>
      </c>
      <c r="D31" s="184">
        <f t="shared" si="8"/>
        <v>57.880952380952365</v>
      </c>
      <c r="E31" s="156">
        <f t="shared" si="9"/>
        <v>51.236033519553068</v>
      </c>
      <c r="F31" s="135">
        <f t="shared" si="10"/>
        <v>59.142217224274177</v>
      </c>
      <c r="G31" s="185"/>
    </row>
    <row r="32" spans="1:10" x14ac:dyDescent="0.35">
      <c r="A32" s="134" t="s">
        <v>433</v>
      </c>
      <c r="B32" s="154">
        <f t="shared" si="6"/>
        <v>64.87943983285335</v>
      </c>
      <c r="C32" s="155">
        <f t="shared" si="7"/>
        <v>46.201232032860737</v>
      </c>
      <c r="D32" s="184">
        <f t="shared" si="8"/>
        <v>44.2</v>
      </c>
      <c r="E32" s="156">
        <f t="shared" si="9"/>
        <v>57.551546391752574</v>
      </c>
      <c r="F32" s="135">
        <f t="shared" si="10"/>
        <v>52.941721493954667</v>
      </c>
    </row>
    <row r="33" spans="1:6" ht="16" thickBot="1" x14ac:dyDescent="0.4">
      <c r="A33" s="136" t="s">
        <v>432</v>
      </c>
      <c r="B33" s="158">
        <f t="shared" si="6"/>
        <v>65.593765881755033</v>
      </c>
      <c r="C33" s="159">
        <f t="shared" si="7"/>
        <v>32.032854209453895</v>
      </c>
      <c r="D33" s="186">
        <f t="shared" si="8"/>
        <v>21.525974025974023</v>
      </c>
      <c r="E33" s="160">
        <f t="shared" si="9"/>
        <v>66.767441860465098</v>
      </c>
      <c r="F33" s="137">
        <f t="shared" si="10"/>
        <v>47.064036802521507</v>
      </c>
    </row>
  </sheetData>
  <mergeCells count="4">
    <mergeCell ref="B8:C8"/>
    <mergeCell ref="G8:J8"/>
    <mergeCell ref="B17:C17"/>
    <mergeCell ref="G17:J17"/>
  </mergeCells>
  <conditionalFormatting sqref="F28:F3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9:F3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158C8-9344-45FE-83BD-7DE79B86AEEB}">
  <sheetPr>
    <tabColor theme="9" tint="0.79998168889431442"/>
  </sheetPr>
  <dimension ref="A1:J27"/>
  <sheetViews>
    <sheetView showGridLines="0" zoomScale="70" zoomScaleNormal="70" workbookViewId="0">
      <selection activeCell="M21" sqref="M21"/>
    </sheetView>
  </sheetViews>
  <sheetFormatPr defaultColWidth="9.08984375" defaultRowHeight="15.5" x14ac:dyDescent="0.35"/>
  <cols>
    <col min="1" max="1" width="21.54296875" style="130" bestFit="1" customWidth="1"/>
    <col min="2" max="2" width="13.90625" style="131" bestFit="1" customWidth="1"/>
    <col min="3" max="3" width="13.08984375" style="131" bestFit="1" customWidth="1"/>
    <col min="4" max="4" width="8.08984375" style="131" bestFit="1" customWidth="1"/>
    <col min="5" max="5" width="12.54296875" style="131" bestFit="1" customWidth="1"/>
    <col min="6" max="6" width="18.54296875" style="130" bestFit="1" customWidth="1"/>
    <col min="7" max="7" width="13.6328125" style="131" bestFit="1" customWidth="1"/>
    <col min="8" max="8" width="8.90625" style="131" bestFit="1" customWidth="1"/>
    <col min="9" max="9" width="8.08984375" style="131" bestFit="1" customWidth="1"/>
    <col min="10" max="10" width="8.36328125" style="131" bestFit="1" customWidth="1"/>
    <col min="11" max="16384" width="9.08984375" style="131"/>
  </cols>
  <sheetData>
    <row r="1" spans="1:10" x14ac:dyDescent="0.35">
      <c r="A1" s="1" t="s">
        <v>225</v>
      </c>
    </row>
    <row r="2" spans="1:10" x14ac:dyDescent="0.35">
      <c r="A2" s="1" t="s">
        <v>471</v>
      </c>
    </row>
    <row r="3" spans="1:10" x14ac:dyDescent="0.35">
      <c r="A3" s="1" t="s">
        <v>29</v>
      </c>
    </row>
    <row r="4" spans="1:10" x14ac:dyDescent="0.35">
      <c r="A4" s="23" t="s">
        <v>226</v>
      </c>
    </row>
    <row r="5" spans="1:10" x14ac:dyDescent="0.35">
      <c r="A5" s="8" t="s">
        <v>499</v>
      </c>
    </row>
    <row r="6" spans="1:10" x14ac:dyDescent="0.35">
      <c r="A6" s="8"/>
    </row>
    <row r="8" spans="1:10" x14ac:dyDescent="0.35">
      <c r="A8" s="1" t="s">
        <v>454</v>
      </c>
      <c r="B8" s="594" t="s">
        <v>455</v>
      </c>
      <c r="C8" s="594"/>
      <c r="F8" s="1" t="s">
        <v>500</v>
      </c>
      <c r="G8" s="595" t="s">
        <v>457</v>
      </c>
      <c r="H8" s="595"/>
      <c r="I8" s="595"/>
      <c r="J8" s="595"/>
    </row>
    <row r="9" spans="1:10" x14ac:dyDescent="0.35">
      <c r="A9" s="9" t="s">
        <v>458</v>
      </c>
      <c r="B9" s="22" t="s">
        <v>487</v>
      </c>
      <c r="C9" s="22" t="s">
        <v>459</v>
      </c>
      <c r="F9" s="9" t="s">
        <v>458</v>
      </c>
      <c r="G9" s="22" t="s">
        <v>487</v>
      </c>
      <c r="H9" s="22" t="s">
        <v>460</v>
      </c>
      <c r="I9" s="22" t="s">
        <v>456</v>
      </c>
      <c r="J9" s="22" t="s">
        <v>459</v>
      </c>
    </row>
    <row r="10" spans="1:10" x14ac:dyDescent="0.35">
      <c r="A10" s="10" t="s">
        <v>314</v>
      </c>
      <c r="B10" s="70">
        <v>134.63</v>
      </c>
      <c r="C10" s="2">
        <f>+B10/(MAX($B$10:$B$13))*100</f>
        <v>100</v>
      </c>
      <c r="F10" s="10" t="s">
        <v>314</v>
      </c>
      <c r="G10" s="72">
        <v>0.12</v>
      </c>
      <c r="H10" s="2">
        <v>524.02684563758396</v>
      </c>
      <c r="I10" s="12">
        <f>H10/G10</f>
        <v>4366.8903803131998</v>
      </c>
      <c r="J10" s="2">
        <f>(MIN($I$10:$I$13))/I10*100</f>
        <v>40.646772540983598</v>
      </c>
    </row>
    <row r="11" spans="1:10" x14ac:dyDescent="0.35">
      <c r="A11" s="10" t="s">
        <v>436</v>
      </c>
      <c r="B11" s="70">
        <v>76.930000000000007</v>
      </c>
      <c r="C11" s="2">
        <f>+B11/(MAX($B$10:$B$13))*100</f>
        <v>57.141796033573499</v>
      </c>
      <c r="F11" s="10" t="s">
        <v>436</v>
      </c>
      <c r="G11" s="72">
        <v>0.03</v>
      </c>
      <c r="H11" s="2">
        <v>243.04878048780489</v>
      </c>
      <c r="I11" s="2">
        <f t="shared" ref="I11:I13" si="0">H11/G11</f>
        <v>8101.6260162601629</v>
      </c>
      <c r="J11" s="2">
        <f t="shared" ref="J11:J13" si="1">(MIN($I$10:$I$13))/I11*100</f>
        <v>21.909182137481185</v>
      </c>
    </row>
    <row r="12" spans="1:10" x14ac:dyDescent="0.35">
      <c r="A12" s="10" t="s">
        <v>435</v>
      </c>
      <c r="B12" s="70">
        <v>64.739999999999995</v>
      </c>
      <c r="C12" s="2">
        <f>+B12/(MAX($B$10:$B$13))*100</f>
        <v>48.087350516229662</v>
      </c>
      <c r="F12" s="10" t="s">
        <v>435</v>
      </c>
      <c r="G12" s="72">
        <v>0.04</v>
      </c>
      <c r="H12" s="2">
        <v>71</v>
      </c>
      <c r="I12" s="12">
        <f t="shared" si="0"/>
        <v>1775</v>
      </c>
      <c r="J12" s="2">
        <f t="shared" si="1"/>
        <v>100</v>
      </c>
    </row>
    <row r="13" spans="1:10" x14ac:dyDescent="0.35">
      <c r="A13" s="10" t="s">
        <v>437</v>
      </c>
      <c r="B13" s="70">
        <v>63.5</v>
      </c>
      <c r="C13" s="2">
        <f>+B13/(MAX($B$10:$B$13))*100</f>
        <v>47.166307658025701</v>
      </c>
      <c r="F13" s="10" t="s">
        <v>437</v>
      </c>
      <c r="G13" s="72">
        <v>0.01</v>
      </c>
      <c r="H13" s="70">
        <v>150</v>
      </c>
      <c r="I13" s="12">
        <f t="shared" si="0"/>
        <v>15000</v>
      </c>
      <c r="J13" s="2">
        <f t="shared" si="1"/>
        <v>11.833333333333334</v>
      </c>
    </row>
    <row r="14" spans="1:10" x14ac:dyDescent="0.35">
      <c r="A14" s="138"/>
      <c r="F14" s="138"/>
    </row>
    <row r="15" spans="1:10" x14ac:dyDescent="0.35">
      <c r="A15" s="1" t="s">
        <v>501</v>
      </c>
      <c r="B15" s="594" t="s">
        <v>463</v>
      </c>
      <c r="C15" s="594"/>
      <c r="F15" s="1" t="s">
        <v>497</v>
      </c>
      <c r="G15" s="598" t="s">
        <v>494</v>
      </c>
      <c r="H15" s="599"/>
      <c r="I15" s="599"/>
      <c r="J15" s="599"/>
    </row>
    <row r="16" spans="1:10" x14ac:dyDescent="0.35">
      <c r="A16" s="9" t="s">
        <v>458</v>
      </c>
      <c r="B16" s="22" t="s">
        <v>487</v>
      </c>
      <c r="C16" s="22" t="s">
        <v>459</v>
      </c>
      <c r="F16" s="9" t="s">
        <v>227</v>
      </c>
      <c r="G16" s="22" t="s">
        <v>487</v>
      </c>
      <c r="H16" s="24" t="s">
        <v>503</v>
      </c>
      <c r="I16" s="24" t="s">
        <v>466</v>
      </c>
      <c r="J16" s="24" t="s">
        <v>459</v>
      </c>
    </row>
    <row r="17" spans="1:10" x14ac:dyDescent="0.35">
      <c r="A17" s="10" t="s">
        <v>314</v>
      </c>
      <c r="B17" s="129">
        <v>1.0960648148148001E-2</v>
      </c>
      <c r="C17" s="2">
        <f>+B17/(MAX($B$17:$B$20))*100</f>
        <v>100</v>
      </c>
      <c r="F17" s="10" t="s">
        <v>314</v>
      </c>
      <c r="G17" s="72">
        <v>1.25</v>
      </c>
      <c r="H17" s="91">
        <v>1.57</v>
      </c>
      <c r="I17" s="128">
        <f>+G17/H17</f>
        <v>0.79617834394904452</v>
      </c>
      <c r="J17" s="2">
        <f>+I17/(MAX($I$17:$I$20))*100</f>
        <v>58.765544434334238</v>
      </c>
    </row>
    <row r="18" spans="1:10" x14ac:dyDescent="0.35">
      <c r="A18" s="10" t="s">
        <v>436</v>
      </c>
      <c r="B18" s="129">
        <v>6.076388888889E-3</v>
      </c>
      <c r="C18" s="127">
        <f>+B18/(MAX($B$17:$B$20))*100</f>
        <v>55.438225976770504</v>
      </c>
      <c r="F18" s="10" t="s">
        <v>436</v>
      </c>
      <c r="G18" s="72">
        <v>0.32</v>
      </c>
      <c r="H18" s="91">
        <v>0.5</v>
      </c>
      <c r="I18" s="128">
        <f t="shared" ref="I18:I20" si="2">+G18/H18</f>
        <v>0.64</v>
      </c>
      <c r="J18" s="2">
        <f>+I18/(MAX($I$17:$I$20))*100</f>
        <v>47.238095238095241</v>
      </c>
    </row>
    <row r="19" spans="1:10" x14ac:dyDescent="0.35">
      <c r="A19" s="10" t="s">
        <v>435</v>
      </c>
      <c r="B19" s="129">
        <v>7.3611111111109998E-3</v>
      </c>
      <c r="C19" s="2">
        <f>+B19/(MAX($B$17:$B$20))*100</f>
        <v>67.159450897571162</v>
      </c>
      <c r="F19" s="10" t="s">
        <v>435</v>
      </c>
      <c r="G19" s="72">
        <v>0.42</v>
      </c>
      <c r="H19" s="91">
        <v>0.31</v>
      </c>
      <c r="I19" s="128">
        <f t="shared" si="2"/>
        <v>1.3548387096774193</v>
      </c>
      <c r="J19" s="2">
        <f>+I19/(MAX($I$17:$I$20))*100</f>
        <v>100</v>
      </c>
    </row>
    <row r="20" spans="1:10" x14ac:dyDescent="0.35">
      <c r="A20" s="10" t="s">
        <v>437</v>
      </c>
      <c r="B20" s="129">
        <v>7.3263888888890003E-3</v>
      </c>
      <c r="C20" s="2">
        <f>+B20/(MAX($B$17:$B$20))*100</f>
        <v>66.842661034848803</v>
      </c>
      <c r="F20" s="10" t="s">
        <v>437</v>
      </c>
      <c r="G20" s="72">
        <v>0.06</v>
      </c>
      <c r="H20" s="91">
        <v>0.13</v>
      </c>
      <c r="I20" s="128">
        <f t="shared" si="2"/>
        <v>0.46153846153846151</v>
      </c>
      <c r="J20" s="2">
        <f>+I20/(MAX($I$17:$I$20))*100</f>
        <v>34.065934065934066</v>
      </c>
    </row>
    <row r="21" spans="1:10" ht="16" thickBot="1" x14ac:dyDescent="0.4"/>
    <row r="22" spans="1:10" ht="16" thickBot="1" x14ac:dyDescent="0.4">
      <c r="A22" s="142" t="s">
        <v>467</v>
      </c>
      <c r="B22" s="181">
        <v>0.25</v>
      </c>
      <c r="C22" s="181">
        <v>0.25</v>
      </c>
      <c r="D22" s="181">
        <v>0.25</v>
      </c>
      <c r="E22" s="181">
        <v>0.25</v>
      </c>
      <c r="F22" s="164"/>
    </row>
    <row r="23" spans="1:10" ht="16" thickBot="1" x14ac:dyDescent="0.4">
      <c r="A23" s="165" t="s">
        <v>458</v>
      </c>
      <c r="B23" s="166" t="s">
        <v>36</v>
      </c>
      <c r="C23" s="167" t="s">
        <v>468</v>
      </c>
      <c r="D23" s="167" t="s">
        <v>456</v>
      </c>
      <c r="E23" s="187" t="s">
        <v>469</v>
      </c>
      <c r="F23" s="165" t="s">
        <v>470</v>
      </c>
    </row>
    <row r="24" spans="1:10" x14ac:dyDescent="0.35">
      <c r="A24" s="139" t="s">
        <v>435</v>
      </c>
      <c r="B24" s="172">
        <f>VLOOKUP(A24,$A$10:$C$13,3,0)</f>
        <v>48.087350516229662</v>
      </c>
      <c r="C24" s="172">
        <f>VLOOKUP(A24,$A$17:$C$20,3,0)</f>
        <v>67.159450897571162</v>
      </c>
      <c r="D24" s="172">
        <f>VLOOKUP(A24,$F$10:$J$13,5,0)</f>
        <v>100</v>
      </c>
      <c r="E24" s="183">
        <f>VLOOKUP(A24,$F$17:$J$20,5,0)</f>
        <v>100</v>
      </c>
      <c r="F24" s="174">
        <f>+B24*$B$22+C24*$C$22+E24*$E$22+D24*$D$22</f>
        <v>78.811700353450206</v>
      </c>
    </row>
    <row r="25" spans="1:10" x14ac:dyDescent="0.35">
      <c r="A25" s="175" t="s">
        <v>314</v>
      </c>
      <c r="B25" s="155">
        <f>VLOOKUP(A25,$A$10:$C$13,3,0)</f>
        <v>100</v>
      </c>
      <c r="C25" s="155">
        <f>VLOOKUP(A25,$A$17:$C$20,3,0)</f>
        <v>100</v>
      </c>
      <c r="D25" s="155">
        <f>VLOOKUP(A25,$F$10:$J$13,5,0)</f>
        <v>40.646772540983598</v>
      </c>
      <c r="E25" s="156">
        <f>VLOOKUP(A25,$F$17:$J$20,5,0)</f>
        <v>58.765544434334238</v>
      </c>
      <c r="F25" s="162">
        <f>+B25*$B$22+C25*$C$22+E25*$E$22+D25*$D$22</f>
        <v>74.853079243829455</v>
      </c>
    </row>
    <row r="26" spans="1:10" ht="16" thickBot="1" x14ac:dyDescent="0.4">
      <c r="A26" s="136" t="s">
        <v>436</v>
      </c>
      <c r="B26" s="159">
        <f>VLOOKUP(A26,$A$10:$C$13,3,0)</f>
        <v>57.141796033573499</v>
      </c>
      <c r="C26" s="159">
        <f>VLOOKUP(A26,$A$17:$C$20,3,0)</f>
        <v>55.438225976770504</v>
      </c>
      <c r="D26" s="159">
        <f>VLOOKUP(A26,$F$10:$J$13,5,0)</f>
        <v>21.909182137481185</v>
      </c>
      <c r="E26" s="160">
        <f>VLOOKUP(A26,$F$17:$J$20,5,0)</f>
        <v>47.238095238095241</v>
      </c>
      <c r="F26" s="179">
        <f>+B26*$B$22+C26*$C$22+E26*$E$22+D26*$D$22</f>
        <v>45.431824846480112</v>
      </c>
    </row>
    <row r="27" spans="1:10" ht="16" thickBot="1" x14ac:dyDescent="0.4">
      <c r="A27" s="136" t="s">
        <v>437</v>
      </c>
      <c r="B27" s="159">
        <f>VLOOKUP(A27,$A$10:$C$13,3,0)</f>
        <v>47.166307658025701</v>
      </c>
      <c r="C27" s="159">
        <f>VLOOKUP(A27,$A$17:$C$20,3,0)</f>
        <v>66.842661034848803</v>
      </c>
      <c r="D27" s="159">
        <f>VLOOKUP(A27,$F$10:$J$13,5,0)</f>
        <v>11.833333333333334</v>
      </c>
      <c r="E27" s="160">
        <f>VLOOKUP(A27,$F$17:$J$20,5,0)</f>
        <v>34.065934065934066</v>
      </c>
      <c r="F27" s="179">
        <f>+B27*$B$22+C27*$C$22+E27*$E$22+D27*$D$22</f>
        <v>39.97705902303548</v>
      </c>
    </row>
  </sheetData>
  <mergeCells count="4">
    <mergeCell ref="B8:C8"/>
    <mergeCell ref="G8:J8"/>
    <mergeCell ref="B15:C15"/>
    <mergeCell ref="G15:J15"/>
  </mergeCells>
  <conditionalFormatting sqref="F24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4:F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5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5:F27">
    <cfRule type="colorScale" priority="1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26:F2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1200" verticalDpi="120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35D0E-8C7C-4C14-BBC8-EA423383CF0D}">
  <dimension ref="A1:AN1451"/>
  <sheetViews>
    <sheetView workbookViewId="0">
      <selection activeCell="A9" sqref="A9"/>
    </sheetView>
  </sheetViews>
  <sheetFormatPr defaultColWidth="8.90625" defaultRowHeight="14.5" x14ac:dyDescent="0.35"/>
  <cols>
    <col min="1" max="1" width="20.90625" style="6" bestFit="1" customWidth="1"/>
    <col min="2" max="2" width="9.453125" style="6" bestFit="1" customWidth="1"/>
    <col min="3" max="3" width="8.08984375" style="6" bestFit="1" customWidth="1"/>
    <col min="4" max="12" width="2.90625" style="6" bestFit="1" customWidth="1"/>
    <col min="13" max="13" width="3.90625" style="6" bestFit="1" customWidth="1"/>
    <col min="14" max="14" width="6.90625" style="6" customWidth="1"/>
    <col min="15" max="15" width="20.90625" style="6" bestFit="1" customWidth="1"/>
    <col min="16" max="16" width="9.453125" style="6" bestFit="1" customWidth="1"/>
    <col min="17" max="17" width="8.08984375" style="6" bestFit="1" customWidth="1"/>
    <col min="18" max="26" width="2.90625" bestFit="1" customWidth="1"/>
    <col min="27" max="27" width="3.90625" bestFit="1" customWidth="1"/>
    <col min="29" max="29" width="20.90625" bestFit="1" customWidth="1"/>
    <col min="30" max="30" width="8.08984375" bestFit="1" customWidth="1"/>
    <col min="31" max="39" width="2.90625" bestFit="1" customWidth="1"/>
    <col min="40" max="40" width="3.90625" bestFit="1" customWidth="1"/>
  </cols>
  <sheetData>
    <row r="1" spans="1:40" x14ac:dyDescent="0.35">
      <c r="A1" s="6" t="s">
        <v>504</v>
      </c>
    </row>
    <row r="2" spans="1:40" ht="12.75" customHeight="1" x14ac:dyDescent="0.35">
      <c r="A2" s="15" t="s">
        <v>505</v>
      </c>
      <c r="B2" s="15" t="s">
        <v>321</v>
      </c>
      <c r="C2" s="15" t="s">
        <v>322</v>
      </c>
      <c r="D2" s="15" t="s">
        <v>42</v>
      </c>
      <c r="E2" s="15" t="s">
        <v>324</v>
      </c>
      <c r="F2" s="15" t="s">
        <v>43</v>
      </c>
      <c r="G2" s="15" t="s">
        <v>325</v>
      </c>
      <c r="H2" s="15" t="s">
        <v>44</v>
      </c>
      <c r="I2" s="15" t="s">
        <v>326</v>
      </c>
      <c r="J2" s="15" t="s">
        <v>327</v>
      </c>
      <c r="K2" s="15" t="s">
        <v>328</v>
      </c>
      <c r="L2" s="15" t="s">
        <v>329</v>
      </c>
      <c r="M2" s="15" t="s">
        <v>330</v>
      </c>
      <c r="O2" s="15" t="s">
        <v>506</v>
      </c>
      <c r="P2" s="15" t="s">
        <v>321</v>
      </c>
      <c r="Q2" s="15" t="s">
        <v>322</v>
      </c>
      <c r="R2" s="15" t="s">
        <v>42</v>
      </c>
      <c r="S2" s="15" t="s">
        <v>324</v>
      </c>
      <c r="T2" s="15" t="s">
        <v>43</v>
      </c>
      <c r="U2" s="15" t="s">
        <v>325</v>
      </c>
      <c r="V2" s="15" t="s">
        <v>44</v>
      </c>
      <c r="W2" s="15" t="s">
        <v>326</v>
      </c>
      <c r="X2" s="15" t="s">
        <v>327</v>
      </c>
      <c r="Y2" s="15" t="s">
        <v>328</v>
      </c>
      <c r="Z2" s="15" t="s">
        <v>329</v>
      </c>
      <c r="AA2" s="15" t="s">
        <v>330</v>
      </c>
      <c r="AC2" s="15"/>
      <c r="AD2" s="15" t="s">
        <v>322</v>
      </c>
      <c r="AE2" s="15" t="s">
        <v>42</v>
      </c>
      <c r="AF2" s="15" t="s">
        <v>324</v>
      </c>
      <c r="AG2" s="15" t="s">
        <v>43</v>
      </c>
      <c r="AH2" s="15" t="s">
        <v>325</v>
      </c>
      <c r="AI2" s="15" t="s">
        <v>44</v>
      </c>
      <c r="AJ2" s="15" t="s">
        <v>326</v>
      </c>
      <c r="AK2" s="15" t="s">
        <v>327</v>
      </c>
      <c r="AL2" s="15" t="s">
        <v>328</v>
      </c>
      <c r="AM2" s="15" t="s">
        <v>329</v>
      </c>
      <c r="AN2" s="15" t="s">
        <v>330</v>
      </c>
    </row>
    <row r="3" spans="1:40" ht="12.75" customHeight="1" x14ac:dyDescent="0.35">
      <c r="A3" s="16" t="s">
        <v>20</v>
      </c>
      <c r="B3" s="17">
        <v>10400.8887</v>
      </c>
      <c r="C3" s="18">
        <v>966.41340000000002</v>
      </c>
      <c r="D3" s="18">
        <v>49.5929</v>
      </c>
      <c r="E3" s="18">
        <v>46.5732</v>
      </c>
      <c r="F3" s="18">
        <v>43.585500000000003</v>
      </c>
      <c r="G3" s="18">
        <v>40.753900000000002</v>
      </c>
      <c r="H3" s="18">
        <v>38.262900000000002</v>
      </c>
      <c r="I3" s="18">
        <v>36.000900000000001</v>
      </c>
      <c r="J3" s="18">
        <v>33.900799999999997</v>
      </c>
      <c r="K3" s="18">
        <v>31.913</v>
      </c>
      <c r="L3" s="18">
        <v>29.990600000000001</v>
      </c>
      <c r="M3" s="18">
        <v>28.147200000000002</v>
      </c>
      <c r="O3" s="16" t="s">
        <v>20</v>
      </c>
      <c r="P3" s="17">
        <v>10400.8887</v>
      </c>
      <c r="Q3" s="18">
        <v>942.16020000000003</v>
      </c>
      <c r="R3" s="18">
        <v>47.423499999999997</v>
      </c>
      <c r="S3" s="18">
        <v>44.579300000000003</v>
      </c>
      <c r="T3" s="18">
        <v>41.797499999999999</v>
      </c>
      <c r="U3" s="18">
        <v>39.188899999999997</v>
      </c>
      <c r="V3" s="18">
        <v>36.912100000000002</v>
      </c>
      <c r="W3" s="18">
        <v>34.842399999999998</v>
      </c>
      <c r="X3" s="18">
        <v>32.912599999999998</v>
      </c>
      <c r="Y3" s="18">
        <v>31.074100000000001</v>
      </c>
      <c r="Z3" s="18">
        <v>29.275200000000002</v>
      </c>
      <c r="AA3" s="18">
        <v>27.5246</v>
      </c>
      <c r="AC3" s="16" t="s">
        <v>20</v>
      </c>
      <c r="AD3" s="18">
        <f t="shared" ref="AD3:AN21" si="0">C3-Q3</f>
        <v>24.253199999999993</v>
      </c>
      <c r="AE3" s="18">
        <f t="shared" si="0"/>
        <v>2.1694000000000031</v>
      </c>
      <c r="AF3" s="18">
        <f t="shared" si="0"/>
        <v>1.9938999999999965</v>
      </c>
      <c r="AG3" s="18">
        <f t="shared" si="0"/>
        <v>1.7880000000000038</v>
      </c>
      <c r="AH3" s="18">
        <f t="shared" si="0"/>
        <v>1.5650000000000048</v>
      </c>
      <c r="AI3" s="18">
        <f t="shared" si="0"/>
        <v>1.3507999999999996</v>
      </c>
      <c r="AJ3" s="18">
        <f t="shared" si="0"/>
        <v>1.1585000000000036</v>
      </c>
      <c r="AK3" s="18">
        <f t="shared" si="0"/>
        <v>0.98819999999999908</v>
      </c>
      <c r="AL3" s="18">
        <f t="shared" si="0"/>
        <v>0.83889999999999887</v>
      </c>
      <c r="AM3" s="18">
        <f t="shared" si="0"/>
        <v>0.71539999999999893</v>
      </c>
      <c r="AN3" s="18">
        <f t="shared" si="0"/>
        <v>0.62260000000000204</v>
      </c>
    </row>
    <row r="4" spans="1:40" ht="12.75" customHeight="1" x14ac:dyDescent="0.35">
      <c r="A4" s="16" t="s">
        <v>21</v>
      </c>
      <c r="B4" s="17">
        <v>2949.3186000000001</v>
      </c>
      <c r="C4" s="18">
        <v>1031.204</v>
      </c>
      <c r="D4" s="18">
        <v>57.186500000000002</v>
      </c>
      <c r="E4" s="18">
        <v>53.554699999999997</v>
      </c>
      <c r="F4" s="18">
        <v>50.181699999999999</v>
      </c>
      <c r="G4" s="18">
        <v>47.033900000000003</v>
      </c>
      <c r="H4" s="18">
        <v>44.1648</v>
      </c>
      <c r="I4" s="18">
        <v>41.562899999999999</v>
      </c>
      <c r="J4" s="18">
        <v>39.198099999999997</v>
      </c>
      <c r="K4" s="18">
        <v>37.064900000000002</v>
      </c>
      <c r="L4" s="18">
        <v>34.997300000000003</v>
      </c>
      <c r="M4" s="18">
        <v>33.291699999999999</v>
      </c>
      <c r="O4" s="16" t="s">
        <v>21</v>
      </c>
      <c r="P4" s="17">
        <v>2949.3186000000001</v>
      </c>
      <c r="Q4" s="18">
        <v>1012.6376</v>
      </c>
      <c r="R4" s="18">
        <v>55.628500000000003</v>
      </c>
      <c r="S4" s="18">
        <v>52.249899999999997</v>
      </c>
      <c r="T4" s="18">
        <v>49.0105</v>
      </c>
      <c r="U4" s="18">
        <v>45.980499999999999</v>
      </c>
      <c r="V4" s="18">
        <v>43.270099999999999</v>
      </c>
      <c r="W4" s="18">
        <v>40.848999999999997</v>
      </c>
      <c r="X4" s="18">
        <v>38.6494</v>
      </c>
      <c r="Y4" s="18">
        <v>36.641800000000003</v>
      </c>
      <c r="Z4" s="18">
        <v>34.649900000000002</v>
      </c>
      <c r="AA4" s="18">
        <v>32.966999999999999</v>
      </c>
      <c r="AC4" s="16" t="s">
        <v>21</v>
      </c>
      <c r="AD4" s="18">
        <f t="shared" si="0"/>
        <v>18.566399999999931</v>
      </c>
      <c r="AE4" s="18">
        <f t="shared" si="0"/>
        <v>1.5579999999999998</v>
      </c>
      <c r="AF4" s="18">
        <f t="shared" si="0"/>
        <v>1.3048000000000002</v>
      </c>
      <c r="AG4" s="18">
        <f t="shared" si="0"/>
        <v>1.1711999999999989</v>
      </c>
      <c r="AH4" s="18">
        <f t="shared" si="0"/>
        <v>1.0534000000000034</v>
      </c>
      <c r="AI4" s="18">
        <f t="shared" si="0"/>
        <v>0.89470000000000027</v>
      </c>
      <c r="AJ4" s="18">
        <f t="shared" si="0"/>
        <v>0.71390000000000242</v>
      </c>
      <c r="AK4" s="18">
        <f t="shared" si="0"/>
        <v>0.54869999999999663</v>
      </c>
      <c r="AL4" s="18">
        <f t="shared" si="0"/>
        <v>0.42309999999999803</v>
      </c>
      <c r="AM4" s="18">
        <f t="shared" si="0"/>
        <v>0.34740000000000038</v>
      </c>
      <c r="AN4" s="18">
        <f t="shared" si="0"/>
        <v>0.32469999999999999</v>
      </c>
    </row>
    <row r="5" spans="1:40" ht="12.75" customHeight="1" x14ac:dyDescent="0.35">
      <c r="A5" s="16" t="s">
        <v>22</v>
      </c>
      <c r="B5" s="17">
        <v>8259.8637999999992</v>
      </c>
      <c r="C5" s="18">
        <v>1084.4449</v>
      </c>
      <c r="D5" s="18">
        <v>61.280200000000001</v>
      </c>
      <c r="E5" s="18">
        <v>56.791899999999998</v>
      </c>
      <c r="F5" s="18">
        <v>52.786000000000001</v>
      </c>
      <c r="G5" s="18">
        <v>49.245800000000003</v>
      </c>
      <c r="H5" s="18">
        <v>46.085799999999999</v>
      </c>
      <c r="I5" s="18">
        <v>43.213799999999999</v>
      </c>
      <c r="J5" s="18">
        <v>40.577399999999997</v>
      </c>
      <c r="K5" s="18">
        <v>38.1646</v>
      </c>
      <c r="L5" s="18">
        <v>35.967700000000001</v>
      </c>
      <c r="M5" s="18">
        <v>33.970399999999998</v>
      </c>
      <c r="O5" s="16" t="s">
        <v>22</v>
      </c>
      <c r="P5" s="17">
        <v>8259.8637999999992</v>
      </c>
      <c r="Q5" s="18">
        <v>1036.5900999999999</v>
      </c>
      <c r="R5" s="18">
        <v>58.065399999999997</v>
      </c>
      <c r="S5" s="18">
        <v>53.740499999999997</v>
      </c>
      <c r="T5" s="18">
        <v>49.933700000000002</v>
      </c>
      <c r="U5" s="18">
        <v>46.624499999999998</v>
      </c>
      <c r="V5" s="18">
        <v>43.7254</v>
      </c>
      <c r="W5" s="18">
        <v>41.1203</v>
      </c>
      <c r="X5" s="18">
        <v>38.732399999999998</v>
      </c>
      <c r="Y5" s="18">
        <v>36.528500000000001</v>
      </c>
      <c r="Z5" s="18">
        <v>34.495199999999997</v>
      </c>
      <c r="AA5" s="18">
        <v>32.6205</v>
      </c>
      <c r="AC5" s="16" t="s">
        <v>22</v>
      </c>
      <c r="AD5" s="18">
        <f t="shared" si="0"/>
        <v>47.854800000000068</v>
      </c>
      <c r="AE5" s="18">
        <f t="shared" si="0"/>
        <v>3.2148000000000039</v>
      </c>
      <c r="AF5" s="18">
        <f t="shared" si="0"/>
        <v>3.051400000000001</v>
      </c>
      <c r="AG5" s="18">
        <f t="shared" si="0"/>
        <v>2.8522999999999996</v>
      </c>
      <c r="AH5" s="18">
        <f t="shared" si="0"/>
        <v>2.6213000000000051</v>
      </c>
      <c r="AI5" s="18">
        <f t="shared" si="0"/>
        <v>2.3603999999999985</v>
      </c>
      <c r="AJ5" s="18">
        <f t="shared" si="0"/>
        <v>2.0934999999999988</v>
      </c>
      <c r="AK5" s="18">
        <f t="shared" si="0"/>
        <v>1.8449999999999989</v>
      </c>
      <c r="AL5" s="18">
        <f t="shared" si="0"/>
        <v>1.636099999999999</v>
      </c>
      <c r="AM5" s="18">
        <f t="shared" si="0"/>
        <v>1.4725000000000037</v>
      </c>
      <c r="AN5" s="18">
        <f t="shared" si="0"/>
        <v>1.3498999999999981</v>
      </c>
    </row>
    <row r="6" spans="1:40" ht="12.75" customHeight="1" x14ac:dyDescent="0.35">
      <c r="A6" s="16" t="s">
        <v>23</v>
      </c>
      <c r="B6" s="17">
        <v>3134.5054</v>
      </c>
      <c r="C6" s="18">
        <v>1286.0374999999999</v>
      </c>
      <c r="D6" s="18">
        <v>71.865099999999998</v>
      </c>
      <c r="E6" s="18">
        <v>67.730800000000002</v>
      </c>
      <c r="F6" s="18">
        <v>63.731499999999997</v>
      </c>
      <c r="G6" s="18">
        <v>59.967100000000002</v>
      </c>
      <c r="H6" s="18">
        <v>56.5154</v>
      </c>
      <c r="I6" s="18">
        <v>53.4101</v>
      </c>
      <c r="J6" s="18">
        <v>50.601399999999998</v>
      </c>
      <c r="K6" s="18">
        <v>48.006599999999999</v>
      </c>
      <c r="L6" s="18">
        <v>45.551600000000001</v>
      </c>
      <c r="M6" s="18">
        <v>43.186700000000002</v>
      </c>
      <c r="O6" s="16" t="s">
        <v>23</v>
      </c>
      <c r="P6" s="17">
        <v>3134.5054</v>
      </c>
      <c r="Q6" s="18">
        <v>1253.4575</v>
      </c>
      <c r="R6" s="18">
        <v>70.991200000000006</v>
      </c>
      <c r="S6" s="18">
        <v>66.429599999999994</v>
      </c>
      <c r="T6" s="18">
        <v>62.2744</v>
      </c>
      <c r="U6" s="18">
        <v>58.558100000000003</v>
      </c>
      <c r="V6" s="18">
        <v>55.21</v>
      </c>
      <c r="W6" s="18">
        <v>52.182299999999998</v>
      </c>
      <c r="X6" s="18">
        <v>49.405299999999997</v>
      </c>
      <c r="Y6" s="18">
        <v>46.8063</v>
      </c>
      <c r="Z6" s="18">
        <v>44.332700000000003</v>
      </c>
      <c r="AA6" s="18">
        <v>41.961799999999997</v>
      </c>
      <c r="AC6" s="16" t="s">
        <v>23</v>
      </c>
      <c r="AD6" s="18">
        <f t="shared" si="0"/>
        <v>32.579999999999927</v>
      </c>
      <c r="AE6" s="18">
        <f t="shared" si="0"/>
        <v>0.87389999999999191</v>
      </c>
      <c r="AF6" s="18">
        <f t="shared" si="0"/>
        <v>1.3012000000000086</v>
      </c>
      <c r="AG6" s="18">
        <f t="shared" si="0"/>
        <v>1.457099999999997</v>
      </c>
      <c r="AH6" s="18">
        <f t="shared" si="0"/>
        <v>1.4089999999999989</v>
      </c>
      <c r="AI6" s="18">
        <f t="shared" si="0"/>
        <v>1.3053999999999988</v>
      </c>
      <c r="AJ6" s="18">
        <f t="shared" si="0"/>
        <v>1.227800000000002</v>
      </c>
      <c r="AK6" s="18">
        <f t="shared" si="0"/>
        <v>1.1961000000000013</v>
      </c>
      <c r="AL6" s="18">
        <f t="shared" si="0"/>
        <v>1.2002999999999986</v>
      </c>
      <c r="AM6" s="18">
        <f t="shared" si="0"/>
        <v>1.2188999999999979</v>
      </c>
      <c r="AN6" s="18">
        <f t="shared" si="0"/>
        <v>1.2249000000000052</v>
      </c>
    </row>
    <row r="7" spans="1:40" ht="12" customHeight="1" x14ac:dyDescent="0.35">
      <c r="A7" s="16" t="s">
        <v>24</v>
      </c>
      <c r="B7" s="17">
        <v>3797.5873000000001</v>
      </c>
      <c r="C7" s="18">
        <v>1345.6876</v>
      </c>
      <c r="D7" s="18">
        <v>69.197199999999995</v>
      </c>
      <c r="E7" s="18">
        <v>65.248699999999999</v>
      </c>
      <c r="F7" s="18">
        <v>61.603400000000001</v>
      </c>
      <c r="G7" s="18">
        <v>58.164499999999997</v>
      </c>
      <c r="H7" s="18">
        <v>54.925600000000003</v>
      </c>
      <c r="I7" s="18">
        <v>51.879100000000001</v>
      </c>
      <c r="J7" s="18">
        <v>48.938000000000002</v>
      </c>
      <c r="K7" s="18">
        <v>46.292499999999997</v>
      </c>
      <c r="L7" s="18">
        <v>43.831400000000002</v>
      </c>
      <c r="M7" s="18">
        <v>41.512799999999999</v>
      </c>
      <c r="O7" s="16" t="s">
        <v>24</v>
      </c>
      <c r="P7" s="17">
        <v>3797.5873000000001</v>
      </c>
      <c r="Q7" s="18">
        <v>1317.4672</v>
      </c>
      <c r="R7" s="18">
        <v>68.225499999999997</v>
      </c>
      <c r="S7" s="18">
        <v>64.114400000000003</v>
      </c>
      <c r="T7" s="18">
        <v>60.362099999999998</v>
      </c>
      <c r="U7" s="18">
        <v>56.813000000000002</v>
      </c>
      <c r="V7" s="18">
        <v>53.631599999999999</v>
      </c>
      <c r="W7" s="18">
        <v>50.697800000000001</v>
      </c>
      <c r="X7" s="18">
        <v>47.895699999999998</v>
      </c>
      <c r="Y7" s="18">
        <v>45.379100000000001</v>
      </c>
      <c r="Z7" s="18">
        <v>43.018799999999999</v>
      </c>
      <c r="AA7" s="18">
        <v>40.778599999999997</v>
      </c>
      <c r="AC7" s="16" t="s">
        <v>24</v>
      </c>
      <c r="AD7" s="18">
        <f t="shared" si="0"/>
        <v>28.220399999999927</v>
      </c>
      <c r="AE7" s="18">
        <f t="shared" si="0"/>
        <v>0.97169999999999845</v>
      </c>
      <c r="AF7" s="18">
        <f t="shared" si="0"/>
        <v>1.1342999999999961</v>
      </c>
      <c r="AG7" s="18">
        <f t="shared" si="0"/>
        <v>1.2413000000000025</v>
      </c>
      <c r="AH7" s="18">
        <f t="shared" si="0"/>
        <v>1.3514999999999944</v>
      </c>
      <c r="AI7" s="18">
        <f t="shared" si="0"/>
        <v>1.294000000000004</v>
      </c>
      <c r="AJ7" s="18">
        <f t="shared" si="0"/>
        <v>1.1813000000000002</v>
      </c>
      <c r="AK7" s="18">
        <f t="shared" si="0"/>
        <v>1.0423000000000044</v>
      </c>
      <c r="AL7" s="18">
        <f t="shared" si="0"/>
        <v>0.91339999999999577</v>
      </c>
      <c r="AM7" s="18">
        <f t="shared" si="0"/>
        <v>0.81260000000000332</v>
      </c>
      <c r="AN7" s="18">
        <f t="shared" si="0"/>
        <v>0.7342000000000013</v>
      </c>
    </row>
    <row r="8" spans="1:40" ht="12.75" customHeight="1" x14ac:dyDescent="0.35">
      <c r="A8" s="16" t="s">
        <v>25</v>
      </c>
      <c r="B8" s="17">
        <v>3595.2157999999999</v>
      </c>
      <c r="C8" s="18">
        <v>1181.8847000000001</v>
      </c>
      <c r="D8" s="18">
        <v>68.349900000000005</v>
      </c>
      <c r="E8" s="18">
        <v>64.691199999999995</v>
      </c>
      <c r="F8" s="18">
        <v>61.276000000000003</v>
      </c>
      <c r="G8" s="18">
        <v>57.900100000000002</v>
      </c>
      <c r="H8" s="18">
        <v>54.5351</v>
      </c>
      <c r="I8" s="18">
        <v>51.142699999999998</v>
      </c>
      <c r="J8" s="18">
        <v>47.794199999999996</v>
      </c>
      <c r="K8" s="18">
        <v>44.601500000000001</v>
      </c>
      <c r="L8" s="18">
        <v>41.667099999999998</v>
      </c>
      <c r="M8" s="18">
        <v>39.035299999999999</v>
      </c>
      <c r="O8" s="16" t="s">
        <v>25</v>
      </c>
      <c r="P8" s="17">
        <v>3595.2157999999999</v>
      </c>
      <c r="Q8" s="18">
        <v>1152.8375000000001</v>
      </c>
      <c r="R8" s="18">
        <v>67.501400000000004</v>
      </c>
      <c r="S8" s="18">
        <v>63.724499999999999</v>
      </c>
      <c r="T8" s="18">
        <v>60.092799999999997</v>
      </c>
      <c r="U8" s="18">
        <v>56.553800000000003</v>
      </c>
      <c r="V8" s="18">
        <v>53.113199999999999</v>
      </c>
      <c r="W8" s="18">
        <v>49.715600000000002</v>
      </c>
      <c r="X8" s="18">
        <v>46.4026</v>
      </c>
      <c r="Y8" s="18">
        <v>43.263100000000001</v>
      </c>
      <c r="Z8" s="18">
        <v>40.386200000000002</v>
      </c>
      <c r="AA8" s="18">
        <v>37.809899999999999</v>
      </c>
      <c r="AC8" s="16" t="s">
        <v>25</v>
      </c>
      <c r="AD8" s="18">
        <f t="shared" si="0"/>
        <v>29.047199999999975</v>
      </c>
      <c r="AE8" s="18">
        <f t="shared" si="0"/>
        <v>0.84850000000000136</v>
      </c>
      <c r="AF8" s="18">
        <f t="shared" si="0"/>
        <v>0.9666999999999959</v>
      </c>
      <c r="AG8" s="18">
        <f t="shared" si="0"/>
        <v>1.1832000000000065</v>
      </c>
      <c r="AH8" s="18">
        <f t="shared" si="0"/>
        <v>1.3462999999999994</v>
      </c>
      <c r="AI8" s="18">
        <f t="shared" si="0"/>
        <v>1.4219000000000008</v>
      </c>
      <c r="AJ8" s="18">
        <f t="shared" si="0"/>
        <v>1.4270999999999958</v>
      </c>
      <c r="AK8" s="18">
        <f t="shared" si="0"/>
        <v>1.3915999999999968</v>
      </c>
      <c r="AL8" s="18">
        <f t="shared" si="0"/>
        <v>1.3384</v>
      </c>
      <c r="AM8" s="18">
        <f t="shared" si="0"/>
        <v>1.2808999999999955</v>
      </c>
      <c r="AN8" s="18">
        <f t="shared" si="0"/>
        <v>1.2254000000000005</v>
      </c>
    </row>
    <row r="9" spans="1:40" ht="12.75" customHeight="1" x14ac:dyDescent="0.35">
      <c r="A9" s="16" t="s">
        <v>26</v>
      </c>
      <c r="B9" s="17">
        <v>118859.9047</v>
      </c>
      <c r="C9" s="18">
        <v>800.53719999999998</v>
      </c>
      <c r="D9" s="18">
        <v>49.562899999999999</v>
      </c>
      <c r="E9" s="18">
        <v>45.787100000000002</v>
      </c>
      <c r="F9" s="18">
        <v>42.389800000000001</v>
      </c>
      <c r="G9" s="18">
        <v>39.319000000000003</v>
      </c>
      <c r="H9" s="18">
        <v>36.552999999999997</v>
      </c>
      <c r="I9" s="18">
        <v>34.024099999999997</v>
      </c>
      <c r="J9" s="18">
        <v>31.6967</v>
      </c>
      <c r="K9" s="18">
        <v>29.556799999999999</v>
      </c>
      <c r="L9" s="18">
        <v>27.577000000000002</v>
      </c>
      <c r="M9" s="18">
        <v>25.767499999999998</v>
      </c>
      <c r="O9" s="16" t="s">
        <v>26</v>
      </c>
      <c r="P9" s="17">
        <v>118859.9047</v>
      </c>
      <c r="Q9" s="18">
        <v>772.84479999999996</v>
      </c>
      <c r="R9" s="18">
        <v>47.160499999999999</v>
      </c>
      <c r="S9" s="18">
        <v>43.681899999999999</v>
      </c>
      <c r="T9" s="18">
        <v>40.526899999999998</v>
      </c>
      <c r="U9" s="18">
        <v>37.6648</v>
      </c>
      <c r="V9" s="18">
        <v>35.089599999999997</v>
      </c>
      <c r="W9" s="18">
        <v>32.727699999999999</v>
      </c>
      <c r="X9" s="18">
        <v>30.5488</v>
      </c>
      <c r="Y9" s="18">
        <v>28.531700000000001</v>
      </c>
      <c r="Z9" s="18">
        <v>26.653199999999998</v>
      </c>
      <c r="AA9" s="18">
        <v>24.925899999999999</v>
      </c>
      <c r="AC9" s="16" t="s">
        <v>26</v>
      </c>
      <c r="AD9" s="18">
        <f t="shared" si="0"/>
        <v>27.692400000000021</v>
      </c>
      <c r="AE9" s="18">
        <f t="shared" si="0"/>
        <v>2.4024000000000001</v>
      </c>
      <c r="AF9" s="18">
        <f t="shared" si="0"/>
        <v>2.1052000000000035</v>
      </c>
      <c r="AG9" s="18">
        <f t="shared" si="0"/>
        <v>1.8629000000000033</v>
      </c>
      <c r="AH9" s="18">
        <f t="shared" si="0"/>
        <v>1.654200000000003</v>
      </c>
      <c r="AI9" s="18">
        <f t="shared" si="0"/>
        <v>1.4634</v>
      </c>
      <c r="AJ9" s="18">
        <f t="shared" si="0"/>
        <v>1.2963999999999984</v>
      </c>
      <c r="AK9" s="18">
        <f t="shared" si="0"/>
        <v>1.1478999999999999</v>
      </c>
      <c r="AL9" s="18">
        <f t="shared" si="0"/>
        <v>1.0250999999999983</v>
      </c>
      <c r="AM9" s="18">
        <f t="shared" si="0"/>
        <v>0.92380000000000351</v>
      </c>
      <c r="AN9" s="18">
        <f t="shared" si="0"/>
        <v>0.84159999999999968</v>
      </c>
    </row>
    <row r="10" spans="1:40" ht="12.75" customHeight="1" x14ac:dyDescent="0.35">
      <c r="A10" s="16" t="s">
        <v>331</v>
      </c>
      <c r="B10" s="17">
        <v>32137.3796</v>
      </c>
      <c r="C10" s="18">
        <v>1102.827</v>
      </c>
      <c r="D10" s="18">
        <v>59.880899999999997</v>
      </c>
      <c r="E10" s="18">
        <v>56.137900000000002</v>
      </c>
      <c r="F10" s="18">
        <v>52.628999999999998</v>
      </c>
      <c r="G10" s="18">
        <v>49.362699999999997</v>
      </c>
      <c r="H10" s="18">
        <v>46.385199999999998</v>
      </c>
      <c r="I10" s="18">
        <v>43.633899999999997</v>
      </c>
      <c r="J10" s="18">
        <v>41.063600000000001</v>
      </c>
      <c r="K10" s="18">
        <v>38.681600000000003</v>
      </c>
      <c r="L10" s="18">
        <v>36.4465</v>
      </c>
      <c r="M10" s="18">
        <v>34.380899999999997</v>
      </c>
      <c r="O10" s="16" t="s">
        <v>331</v>
      </c>
      <c r="P10" s="17">
        <v>32137.3796</v>
      </c>
      <c r="Q10" s="18">
        <v>1071.2154</v>
      </c>
      <c r="R10" s="18">
        <v>57.914999999999999</v>
      </c>
      <c r="S10" s="18">
        <v>54.219799999999999</v>
      </c>
      <c r="T10" s="18">
        <v>50.788899999999998</v>
      </c>
      <c r="U10" s="18">
        <v>47.638300000000001</v>
      </c>
      <c r="V10" s="18">
        <v>44.8202</v>
      </c>
      <c r="W10" s="18">
        <v>42.236600000000003</v>
      </c>
      <c r="X10" s="18">
        <v>39.823900000000002</v>
      </c>
      <c r="Y10" s="18">
        <v>37.576099999999997</v>
      </c>
      <c r="Z10" s="18">
        <v>35.4465</v>
      </c>
      <c r="AA10" s="18">
        <v>33.459400000000002</v>
      </c>
      <c r="AC10" s="16" t="s">
        <v>331</v>
      </c>
      <c r="AD10" s="18">
        <f t="shared" si="0"/>
        <v>31.611599999999953</v>
      </c>
      <c r="AE10" s="18">
        <f t="shared" si="0"/>
        <v>1.9658999999999978</v>
      </c>
      <c r="AF10" s="18">
        <f t="shared" si="0"/>
        <v>1.9181000000000026</v>
      </c>
      <c r="AG10" s="18">
        <f t="shared" si="0"/>
        <v>1.8400999999999996</v>
      </c>
      <c r="AH10" s="18">
        <f t="shared" si="0"/>
        <v>1.7243999999999957</v>
      </c>
      <c r="AI10" s="18">
        <f t="shared" si="0"/>
        <v>1.5649999999999977</v>
      </c>
      <c r="AJ10" s="18">
        <f t="shared" si="0"/>
        <v>1.3972999999999942</v>
      </c>
      <c r="AK10" s="18">
        <f t="shared" si="0"/>
        <v>1.2396999999999991</v>
      </c>
      <c r="AL10" s="18">
        <f t="shared" si="0"/>
        <v>1.1055000000000064</v>
      </c>
      <c r="AM10" s="18">
        <f t="shared" si="0"/>
        <v>1</v>
      </c>
      <c r="AN10" s="18">
        <f t="shared" si="0"/>
        <v>0.92149999999999466</v>
      </c>
    </row>
    <row r="11" spans="1:40" ht="12.75" customHeight="1" x14ac:dyDescent="0.35">
      <c r="A11" s="16" t="s">
        <v>332</v>
      </c>
      <c r="B11" s="17">
        <v>8817.5635999999995</v>
      </c>
      <c r="C11" s="18">
        <v>1209.5358000000001</v>
      </c>
      <c r="D11" s="18">
        <v>71.656400000000005</v>
      </c>
      <c r="E11" s="18">
        <v>67.441800000000001</v>
      </c>
      <c r="F11" s="18">
        <v>63.422600000000003</v>
      </c>
      <c r="G11" s="18">
        <v>59.666699999999999</v>
      </c>
      <c r="H11" s="18">
        <v>56.136400000000002</v>
      </c>
      <c r="I11" s="18">
        <v>52.9452</v>
      </c>
      <c r="J11" s="18">
        <v>49.995899999999999</v>
      </c>
      <c r="K11" s="18">
        <v>47.240900000000003</v>
      </c>
      <c r="L11" s="18">
        <v>44.652700000000003</v>
      </c>
      <c r="M11" s="18">
        <v>42.195</v>
      </c>
      <c r="O11" s="16" t="s">
        <v>332</v>
      </c>
      <c r="P11" s="17">
        <v>8817.5635999999995</v>
      </c>
      <c r="Q11" s="18">
        <v>1181.3861999999999</v>
      </c>
      <c r="R11" s="18">
        <v>70.6661</v>
      </c>
      <c r="S11" s="18">
        <v>66.259699999999995</v>
      </c>
      <c r="T11" s="18">
        <v>62.188099999999999</v>
      </c>
      <c r="U11" s="18">
        <v>58.455399999999997</v>
      </c>
      <c r="V11" s="18">
        <v>54.9666</v>
      </c>
      <c r="W11" s="18">
        <v>51.810400000000001</v>
      </c>
      <c r="X11" s="18">
        <v>48.881300000000003</v>
      </c>
      <c r="Y11" s="18">
        <v>46.1327</v>
      </c>
      <c r="Z11" s="18">
        <v>43.546900000000001</v>
      </c>
      <c r="AA11" s="18">
        <v>41.102899999999998</v>
      </c>
      <c r="AC11" s="16" t="s">
        <v>332</v>
      </c>
      <c r="AD11" s="18">
        <f t="shared" si="0"/>
        <v>28.149600000000191</v>
      </c>
      <c r="AE11" s="18">
        <f t="shared" si="0"/>
        <v>0.99030000000000484</v>
      </c>
      <c r="AF11" s="18">
        <f t="shared" si="0"/>
        <v>1.1821000000000055</v>
      </c>
      <c r="AG11" s="18">
        <f t="shared" si="0"/>
        <v>1.2345000000000041</v>
      </c>
      <c r="AH11" s="18">
        <f t="shared" si="0"/>
        <v>1.2113000000000014</v>
      </c>
      <c r="AI11" s="18">
        <f t="shared" si="0"/>
        <v>1.1698000000000022</v>
      </c>
      <c r="AJ11" s="18">
        <f t="shared" si="0"/>
        <v>1.1347999999999985</v>
      </c>
      <c r="AK11" s="18">
        <f t="shared" si="0"/>
        <v>1.1145999999999958</v>
      </c>
      <c r="AL11" s="18">
        <f t="shared" si="0"/>
        <v>1.1082000000000036</v>
      </c>
      <c r="AM11" s="18">
        <f t="shared" si="0"/>
        <v>1.1058000000000021</v>
      </c>
      <c r="AN11" s="18">
        <f t="shared" si="0"/>
        <v>1.0921000000000021</v>
      </c>
    </row>
    <row r="12" spans="1:40" ht="12.75" customHeight="1" x14ac:dyDescent="0.35">
      <c r="A12" s="16" t="s">
        <v>333</v>
      </c>
      <c r="B12" s="17">
        <v>8973.0627999999997</v>
      </c>
      <c r="C12" s="18">
        <v>898.17449999999997</v>
      </c>
      <c r="D12" s="18">
        <v>52.595500000000001</v>
      </c>
      <c r="E12" s="18">
        <v>49.044899999999998</v>
      </c>
      <c r="F12" s="18">
        <v>45.587600000000002</v>
      </c>
      <c r="G12" s="18">
        <v>42.440899999999999</v>
      </c>
      <c r="H12" s="18">
        <v>39.65</v>
      </c>
      <c r="I12" s="18">
        <v>37.128900000000002</v>
      </c>
      <c r="J12" s="18">
        <v>34.808199999999999</v>
      </c>
      <c r="K12" s="18">
        <v>32.6511</v>
      </c>
      <c r="L12" s="18">
        <v>30.633199999999999</v>
      </c>
      <c r="M12" s="18">
        <v>28.741099999999999</v>
      </c>
      <c r="O12" s="16" t="s">
        <v>333</v>
      </c>
      <c r="P12" s="17">
        <v>8973.0627999999997</v>
      </c>
      <c r="Q12" s="18">
        <v>857.09249999999997</v>
      </c>
      <c r="R12" s="18">
        <v>49.362200000000001</v>
      </c>
      <c r="S12" s="18">
        <v>46.268799999999999</v>
      </c>
      <c r="T12" s="18">
        <v>43.159300000000002</v>
      </c>
      <c r="U12" s="18">
        <v>40.269599999999997</v>
      </c>
      <c r="V12" s="18">
        <v>37.7029</v>
      </c>
      <c r="W12" s="18">
        <v>35.364600000000003</v>
      </c>
      <c r="X12" s="18">
        <v>33.186599999999999</v>
      </c>
      <c r="Y12" s="18">
        <v>31.141100000000002</v>
      </c>
      <c r="Z12" s="18">
        <v>29.215399999999999</v>
      </c>
      <c r="AA12" s="18">
        <v>27.409199999999998</v>
      </c>
      <c r="AC12" s="16" t="s">
        <v>333</v>
      </c>
      <c r="AD12" s="18">
        <f t="shared" si="0"/>
        <v>41.081999999999994</v>
      </c>
      <c r="AE12" s="18">
        <f t="shared" si="0"/>
        <v>3.2332999999999998</v>
      </c>
      <c r="AF12" s="18">
        <f t="shared" si="0"/>
        <v>2.7760999999999996</v>
      </c>
      <c r="AG12" s="18">
        <f t="shared" si="0"/>
        <v>2.4283000000000001</v>
      </c>
      <c r="AH12" s="18">
        <f t="shared" si="0"/>
        <v>2.1713000000000022</v>
      </c>
      <c r="AI12" s="18">
        <f t="shared" si="0"/>
        <v>1.9470999999999989</v>
      </c>
      <c r="AJ12" s="18">
        <f t="shared" si="0"/>
        <v>1.7642999999999986</v>
      </c>
      <c r="AK12" s="18">
        <f t="shared" si="0"/>
        <v>1.6216000000000008</v>
      </c>
      <c r="AL12" s="18">
        <f t="shared" si="0"/>
        <v>1.509999999999998</v>
      </c>
      <c r="AM12" s="18">
        <f t="shared" si="0"/>
        <v>1.4177999999999997</v>
      </c>
      <c r="AN12" s="18">
        <f t="shared" si="0"/>
        <v>1.331900000000001</v>
      </c>
    </row>
    <row r="13" spans="1:40" ht="12.75" customHeight="1" x14ac:dyDescent="0.35">
      <c r="A13" s="16" t="s">
        <v>334</v>
      </c>
      <c r="B13" s="17">
        <v>8368.7633999999998</v>
      </c>
      <c r="C13" s="18">
        <v>1148.9163000000001</v>
      </c>
      <c r="D13" s="18">
        <v>66.542699999999996</v>
      </c>
      <c r="E13" s="18">
        <v>62.213299999999997</v>
      </c>
      <c r="F13" s="18">
        <v>58.262599999999999</v>
      </c>
      <c r="G13" s="18">
        <v>54.562899999999999</v>
      </c>
      <c r="H13" s="18">
        <v>51.0655</v>
      </c>
      <c r="I13" s="18">
        <v>47.884300000000003</v>
      </c>
      <c r="J13" s="18">
        <v>44.942599999999999</v>
      </c>
      <c r="K13" s="18">
        <v>42.249499999999998</v>
      </c>
      <c r="L13" s="18">
        <v>39.782499999999999</v>
      </c>
      <c r="M13" s="18">
        <v>37.5122</v>
      </c>
      <c r="O13" s="16" t="s">
        <v>334</v>
      </c>
      <c r="P13" s="17">
        <v>8368.7633999999998</v>
      </c>
      <c r="Q13" s="18">
        <v>1119.9938999999999</v>
      </c>
      <c r="R13" s="18">
        <v>64.842799999999997</v>
      </c>
      <c r="S13" s="18">
        <v>60.491</v>
      </c>
      <c r="T13" s="18">
        <v>56.620699999999999</v>
      </c>
      <c r="U13" s="18">
        <v>53.0349</v>
      </c>
      <c r="V13" s="18">
        <v>49.715800000000002</v>
      </c>
      <c r="W13" s="18">
        <v>46.709000000000003</v>
      </c>
      <c r="X13" s="18">
        <v>43.918599999999998</v>
      </c>
      <c r="Y13" s="18">
        <v>41.335799999999999</v>
      </c>
      <c r="Z13" s="18">
        <v>38.934600000000003</v>
      </c>
      <c r="AA13" s="18">
        <v>36.699599999999997</v>
      </c>
      <c r="AC13" s="16" t="s">
        <v>334</v>
      </c>
      <c r="AD13" s="18">
        <f t="shared" si="0"/>
        <v>28.922400000000152</v>
      </c>
      <c r="AE13" s="18">
        <f t="shared" si="0"/>
        <v>1.6998999999999995</v>
      </c>
      <c r="AF13" s="18">
        <f t="shared" si="0"/>
        <v>1.7222999999999971</v>
      </c>
      <c r="AG13" s="18">
        <f t="shared" si="0"/>
        <v>1.6418999999999997</v>
      </c>
      <c r="AH13" s="18">
        <f t="shared" si="0"/>
        <v>1.5279999999999987</v>
      </c>
      <c r="AI13" s="18">
        <f t="shared" si="0"/>
        <v>1.3496999999999986</v>
      </c>
      <c r="AJ13" s="18">
        <f t="shared" si="0"/>
        <v>1.1753</v>
      </c>
      <c r="AK13" s="18">
        <f t="shared" si="0"/>
        <v>1.0240000000000009</v>
      </c>
      <c r="AL13" s="18">
        <f t="shared" si="0"/>
        <v>0.91369999999999862</v>
      </c>
      <c r="AM13" s="18">
        <f t="shared" si="0"/>
        <v>0.84789999999999566</v>
      </c>
      <c r="AN13" s="18">
        <f t="shared" si="0"/>
        <v>0.81260000000000332</v>
      </c>
    </row>
    <row r="14" spans="1:40" x14ac:dyDescent="0.35">
      <c r="A14" s="16" t="s">
        <v>335</v>
      </c>
      <c r="B14" s="17">
        <v>18696.440699999999</v>
      </c>
      <c r="C14" s="18">
        <v>962.19349999999997</v>
      </c>
      <c r="D14" s="18">
        <v>59.072800000000001</v>
      </c>
      <c r="E14" s="18">
        <v>54.344799999999999</v>
      </c>
      <c r="F14" s="18">
        <v>50.183399999999999</v>
      </c>
      <c r="G14" s="18">
        <v>46.448500000000003</v>
      </c>
      <c r="H14" s="18">
        <v>43.106099999999998</v>
      </c>
      <c r="I14" s="18">
        <v>40.027999999999999</v>
      </c>
      <c r="J14" s="18">
        <v>37.218400000000003</v>
      </c>
      <c r="K14" s="18">
        <v>34.644599999999997</v>
      </c>
      <c r="L14" s="18">
        <v>32.285899999999998</v>
      </c>
      <c r="M14" s="18">
        <v>30.1389</v>
      </c>
      <c r="O14" s="16" t="s">
        <v>335</v>
      </c>
      <c r="P14" s="17">
        <v>18696.440699999999</v>
      </c>
      <c r="Q14" s="18">
        <v>920.25109999999995</v>
      </c>
      <c r="R14" s="18">
        <v>56.3247</v>
      </c>
      <c r="S14" s="18">
        <v>51.700899999999997</v>
      </c>
      <c r="T14" s="18">
        <v>47.666699999999999</v>
      </c>
      <c r="U14" s="18">
        <v>44.097999999999999</v>
      </c>
      <c r="V14" s="18">
        <v>40.957999999999998</v>
      </c>
      <c r="W14" s="18">
        <v>38.0901</v>
      </c>
      <c r="X14" s="18">
        <v>35.482900000000001</v>
      </c>
      <c r="Y14" s="18">
        <v>33.092599999999997</v>
      </c>
      <c r="Z14" s="18">
        <v>30.891400000000001</v>
      </c>
      <c r="AA14" s="18">
        <v>28.875599999999999</v>
      </c>
      <c r="AC14" s="16" t="s">
        <v>335</v>
      </c>
      <c r="AD14" s="18">
        <f t="shared" si="0"/>
        <v>41.942400000000021</v>
      </c>
      <c r="AE14" s="18">
        <f t="shared" si="0"/>
        <v>2.7481000000000009</v>
      </c>
      <c r="AF14" s="18">
        <f t="shared" si="0"/>
        <v>2.6439000000000021</v>
      </c>
      <c r="AG14" s="18">
        <f t="shared" si="0"/>
        <v>2.5167000000000002</v>
      </c>
      <c r="AH14" s="18">
        <f t="shared" si="0"/>
        <v>2.3505000000000038</v>
      </c>
      <c r="AI14" s="18">
        <f t="shared" si="0"/>
        <v>2.1480999999999995</v>
      </c>
      <c r="AJ14" s="18">
        <f t="shared" si="0"/>
        <v>1.9378999999999991</v>
      </c>
      <c r="AK14" s="18">
        <f t="shared" si="0"/>
        <v>1.7355000000000018</v>
      </c>
      <c r="AL14" s="18">
        <f t="shared" si="0"/>
        <v>1.5519999999999996</v>
      </c>
      <c r="AM14" s="18">
        <f t="shared" si="0"/>
        <v>1.3944999999999972</v>
      </c>
      <c r="AN14" s="18">
        <f t="shared" si="0"/>
        <v>1.263300000000001</v>
      </c>
    </row>
    <row r="15" spans="1:40" x14ac:dyDescent="0.35">
      <c r="A15" s="16" t="s">
        <v>336</v>
      </c>
      <c r="B15" s="17">
        <v>5513.8926000000001</v>
      </c>
      <c r="C15" s="18">
        <v>475.41399999999999</v>
      </c>
      <c r="D15" s="18">
        <v>34.436900000000001</v>
      </c>
      <c r="E15" s="18">
        <v>31.061900000000001</v>
      </c>
      <c r="F15" s="18">
        <v>28.0854</v>
      </c>
      <c r="G15" s="18">
        <v>25.4497</v>
      </c>
      <c r="H15" s="18">
        <v>23.160900000000002</v>
      </c>
      <c r="I15" s="18">
        <v>21.132899999999999</v>
      </c>
      <c r="J15" s="18">
        <v>19.289200000000001</v>
      </c>
      <c r="K15" s="18">
        <v>17.598600000000001</v>
      </c>
      <c r="L15" s="18">
        <v>16.066700000000001</v>
      </c>
      <c r="M15" s="18">
        <v>14.701700000000001</v>
      </c>
      <c r="O15" s="16" t="s">
        <v>336</v>
      </c>
      <c r="P15" s="17">
        <v>5513.8926000000001</v>
      </c>
      <c r="Q15" s="18">
        <v>459.18639999999999</v>
      </c>
      <c r="R15" s="18">
        <v>31.695599999999999</v>
      </c>
      <c r="S15" s="18">
        <v>28.7315</v>
      </c>
      <c r="T15" s="18">
        <v>26.150200000000002</v>
      </c>
      <c r="U15" s="18">
        <v>23.916699999999999</v>
      </c>
      <c r="V15" s="18">
        <v>21.9558</v>
      </c>
      <c r="W15" s="18">
        <v>20.173500000000001</v>
      </c>
      <c r="X15" s="18">
        <v>18.527899999999999</v>
      </c>
      <c r="Y15" s="18">
        <v>17.0063</v>
      </c>
      <c r="Z15" s="18">
        <v>15.6168</v>
      </c>
      <c r="AA15" s="18">
        <v>14.3658</v>
      </c>
      <c r="AC15" s="16" t="s">
        <v>336</v>
      </c>
      <c r="AD15" s="18">
        <f t="shared" si="0"/>
        <v>16.227599999999995</v>
      </c>
      <c r="AE15" s="18">
        <f t="shared" si="0"/>
        <v>2.7413000000000025</v>
      </c>
      <c r="AF15" s="18">
        <f t="shared" si="0"/>
        <v>2.3304000000000009</v>
      </c>
      <c r="AG15" s="18">
        <f t="shared" si="0"/>
        <v>1.9351999999999983</v>
      </c>
      <c r="AH15" s="18">
        <f t="shared" si="0"/>
        <v>1.5330000000000013</v>
      </c>
      <c r="AI15" s="18">
        <f t="shared" si="0"/>
        <v>1.2051000000000016</v>
      </c>
      <c r="AJ15" s="18">
        <f t="shared" si="0"/>
        <v>0.9593999999999987</v>
      </c>
      <c r="AK15" s="18">
        <f t="shared" si="0"/>
        <v>0.76130000000000209</v>
      </c>
      <c r="AL15" s="18">
        <f t="shared" si="0"/>
        <v>0.5923000000000016</v>
      </c>
      <c r="AM15" s="18">
        <f t="shared" si="0"/>
        <v>0.4499000000000013</v>
      </c>
      <c r="AN15" s="18">
        <f t="shared" si="0"/>
        <v>0.33590000000000053</v>
      </c>
    </row>
    <row r="16" spans="1:40" x14ac:dyDescent="0.35">
      <c r="A16" s="16" t="s">
        <v>337</v>
      </c>
      <c r="B16" s="17">
        <v>12478.870999999999</v>
      </c>
      <c r="C16" s="18">
        <v>1031.5916999999999</v>
      </c>
      <c r="D16" s="18">
        <v>66.429699999999997</v>
      </c>
      <c r="E16" s="18">
        <v>61.754399999999997</v>
      </c>
      <c r="F16" s="18">
        <v>57.340400000000002</v>
      </c>
      <c r="G16" s="18">
        <v>53.361400000000003</v>
      </c>
      <c r="H16" s="18">
        <v>49.648699999999998</v>
      </c>
      <c r="I16" s="18">
        <v>46.057299999999998</v>
      </c>
      <c r="J16" s="18">
        <v>42.736400000000003</v>
      </c>
      <c r="K16" s="18">
        <v>39.666800000000002</v>
      </c>
      <c r="L16" s="18">
        <v>36.8825</v>
      </c>
      <c r="M16" s="18">
        <v>34.372900000000001</v>
      </c>
      <c r="O16" s="16" t="s">
        <v>337</v>
      </c>
      <c r="P16" s="17">
        <v>12478.870999999999</v>
      </c>
      <c r="Q16" s="18">
        <v>1003.9413</v>
      </c>
      <c r="R16" s="18">
        <v>64.7286</v>
      </c>
      <c r="S16" s="18">
        <v>60.040900000000001</v>
      </c>
      <c r="T16" s="18">
        <v>55.668700000000001</v>
      </c>
      <c r="U16" s="18">
        <v>51.737900000000003</v>
      </c>
      <c r="V16" s="18">
        <v>48.071599999999997</v>
      </c>
      <c r="W16" s="18">
        <v>44.531799999999997</v>
      </c>
      <c r="X16" s="18">
        <v>41.330300000000001</v>
      </c>
      <c r="Y16" s="18">
        <v>38.3932</v>
      </c>
      <c r="Z16" s="18">
        <v>35.734000000000002</v>
      </c>
      <c r="AA16" s="18">
        <v>33.334499999999998</v>
      </c>
      <c r="AC16" s="16" t="s">
        <v>337</v>
      </c>
      <c r="AD16" s="18">
        <f t="shared" si="0"/>
        <v>27.650399999999991</v>
      </c>
      <c r="AE16" s="18">
        <f t="shared" si="0"/>
        <v>1.7010999999999967</v>
      </c>
      <c r="AF16" s="18">
        <f t="shared" si="0"/>
        <v>1.7134999999999962</v>
      </c>
      <c r="AG16" s="18">
        <f t="shared" si="0"/>
        <v>1.6717000000000013</v>
      </c>
      <c r="AH16" s="18">
        <f t="shared" si="0"/>
        <v>1.6234999999999999</v>
      </c>
      <c r="AI16" s="18">
        <f t="shared" si="0"/>
        <v>1.5771000000000015</v>
      </c>
      <c r="AJ16" s="18">
        <f t="shared" si="0"/>
        <v>1.525500000000001</v>
      </c>
      <c r="AK16" s="18">
        <f t="shared" si="0"/>
        <v>1.4061000000000021</v>
      </c>
      <c r="AL16" s="18">
        <f t="shared" si="0"/>
        <v>1.2736000000000018</v>
      </c>
      <c r="AM16" s="18">
        <f t="shared" si="0"/>
        <v>1.1484999999999985</v>
      </c>
      <c r="AN16" s="18">
        <f t="shared" si="0"/>
        <v>1.0384000000000029</v>
      </c>
    </row>
    <row r="17" spans="1:40" x14ac:dyDescent="0.35">
      <c r="A17" s="16" t="s">
        <v>338</v>
      </c>
      <c r="B17" s="17">
        <v>11202.2847</v>
      </c>
      <c r="C17" s="18">
        <v>438.27350000000001</v>
      </c>
      <c r="D17" s="18">
        <v>32.550800000000002</v>
      </c>
      <c r="E17" s="18">
        <v>29.6434</v>
      </c>
      <c r="F17" s="18">
        <v>27.186599999999999</v>
      </c>
      <c r="G17" s="18">
        <v>24.914999999999999</v>
      </c>
      <c r="H17" s="18">
        <v>22.833300000000001</v>
      </c>
      <c r="I17" s="18">
        <v>20.906400000000001</v>
      </c>
      <c r="J17" s="18">
        <v>19.117699999999999</v>
      </c>
      <c r="K17" s="18">
        <v>17.479800000000001</v>
      </c>
      <c r="L17" s="18">
        <v>16.011099999999999</v>
      </c>
      <c r="M17" s="18">
        <v>14.7118</v>
      </c>
      <c r="O17" s="16" t="s">
        <v>338</v>
      </c>
      <c r="P17" s="17">
        <v>11202.2847</v>
      </c>
      <c r="Q17" s="18">
        <v>419.89190000000002</v>
      </c>
      <c r="R17" s="18">
        <v>30.539100000000001</v>
      </c>
      <c r="S17" s="18">
        <v>27.871400000000001</v>
      </c>
      <c r="T17" s="18">
        <v>25.634</v>
      </c>
      <c r="U17" s="18">
        <v>23.5671</v>
      </c>
      <c r="V17" s="18">
        <v>21.683</v>
      </c>
      <c r="W17" s="18">
        <v>19.935199999999998</v>
      </c>
      <c r="X17" s="18">
        <v>18.295000000000002</v>
      </c>
      <c r="Y17" s="18">
        <v>16.769400000000001</v>
      </c>
      <c r="Z17" s="18">
        <v>15.3813</v>
      </c>
      <c r="AA17" s="18">
        <v>14.135400000000001</v>
      </c>
      <c r="AC17" s="16" t="s">
        <v>338</v>
      </c>
      <c r="AD17" s="18">
        <f t="shared" si="0"/>
        <v>18.381599999999992</v>
      </c>
      <c r="AE17" s="18">
        <f t="shared" si="0"/>
        <v>2.0117000000000012</v>
      </c>
      <c r="AF17" s="18">
        <f t="shared" si="0"/>
        <v>1.7719999999999985</v>
      </c>
      <c r="AG17" s="18">
        <f t="shared" si="0"/>
        <v>1.5525999999999982</v>
      </c>
      <c r="AH17" s="18">
        <f t="shared" si="0"/>
        <v>1.3478999999999992</v>
      </c>
      <c r="AI17" s="18">
        <f t="shared" si="0"/>
        <v>1.1503000000000014</v>
      </c>
      <c r="AJ17" s="18">
        <f t="shared" si="0"/>
        <v>0.97120000000000317</v>
      </c>
      <c r="AK17" s="18">
        <f t="shared" si="0"/>
        <v>0.82269999999999754</v>
      </c>
      <c r="AL17" s="18">
        <f t="shared" si="0"/>
        <v>0.71039999999999992</v>
      </c>
      <c r="AM17" s="18">
        <f t="shared" si="0"/>
        <v>0.62979999999999947</v>
      </c>
      <c r="AN17" s="18">
        <f t="shared" si="0"/>
        <v>0.57639999999999958</v>
      </c>
    </row>
    <row r="18" spans="1:40" x14ac:dyDescent="0.35">
      <c r="A18" s="16" t="s">
        <v>339</v>
      </c>
      <c r="B18" s="17">
        <v>5745.2992999999997</v>
      </c>
      <c r="C18" s="18">
        <v>840.66800000000001</v>
      </c>
      <c r="D18" s="18">
        <v>52.002400000000002</v>
      </c>
      <c r="E18" s="18">
        <v>48.0657</v>
      </c>
      <c r="F18" s="18">
        <v>44.612200000000001</v>
      </c>
      <c r="G18" s="18">
        <v>41.455100000000002</v>
      </c>
      <c r="H18" s="18">
        <v>38.590699999999998</v>
      </c>
      <c r="I18" s="18">
        <v>36.002899999999997</v>
      </c>
      <c r="J18" s="18">
        <v>33.531700000000001</v>
      </c>
      <c r="K18" s="18">
        <v>31.359100000000002</v>
      </c>
      <c r="L18" s="18">
        <v>29.209499999999998</v>
      </c>
      <c r="M18" s="18">
        <v>27.471499999999999</v>
      </c>
      <c r="O18" s="16" t="s">
        <v>339</v>
      </c>
      <c r="P18" s="17">
        <v>5745.2992999999997</v>
      </c>
      <c r="Q18" s="18">
        <v>824.2088</v>
      </c>
      <c r="R18" s="18">
        <v>50.677399999999999</v>
      </c>
      <c r="S18" s="18">
        <v>46.991999999999997</v>
      </c>
      <c r="T18" s="18">
        <v>43.642099999999999</v>
      </c>
      <c r="U18" s="18">
        <v>40.5443</v>
      </c>
      <c r="V18" s="18">
        <v>37.753900000000002</v>
      </c>
      <c r="W18" s="18">
        <v>35.256</v>
      </c>
      <c r="X18" s="18">
        <v>32.875500000000002</v>
      </c>
      <c r="Y18" s="18">
        <v>30.783799999999999</v>
      </c>
      <c r="Z18" s="18">
        <v>28.698899999999998</v>
      </c>
      <c r="AA18" s="18">
        <v>27.004300000000001</v>
      </c>
      <c r="AC18" s="16" t="s">
        <v>339</v>
      </c>
      <c r="AD18" s="18">
        <f t="shared" si="0"/>
        <v>16.45920000000001</v>
      </c>
      <c r="AE18" s="18">
        <f t="shared" si="0"/>
        <v>1.3250000000000028</v>
      </c>
      <c r="AF18" s="18">
        <f t="shared" si="0"/>
        <v>1.0737000000000023</v>
      </c>
      <c r="AG18" s="18">
        <f t="shared" si="0"/>
        <v>0.97010000000000218</v>
      </c>
      <c r="AH18" s="18">
        <f t="shared" si="0"/>
        <v>0.91080000000000183</v>
      </c>
      <c r="AI18" s="18">
        <f t="shared" si="0"/>
        <v>0.83679999999999666</v>
      </c>
      <c r="AJ18" s="18">
        <f t="shared" si="0"/>
        <v>0.74689999999999657</v>
      </c>
      <c r="AK18" s="18">
        <f t="shared" si="0"/>
        <v>0.65619999999999834</v>
      </c>
      <c r="AL18" s="18">
        <f t="shared" si="0"/>
        <v>0.57530000000000214</v>
      </c>
      <c r="AM18" s="18">
        <f t="shared" si="0"/>
        <v>0.51060000000000016</v>
      </c>
      <c r="AN18" s="18">
        <f t="shared" si="0"/>
        <v>0.46719999999999828</v>
      </c>
    </row>
    <row r="19" spans="1:40" x14ac:dyDescent="0.35">
      <c r="A19" s="16" t="s">
        <v>318</v>
      </c>
      <c r="B19" s="17">
        <v>18660.752400000001</v>
      </c>
      <c r="C19" s="18">
        <v>1018.7154</v>
      </c>
      <c r="D19" s="18">
        <v>54.761200000000002</v>
      </c>
      <c r="E19" s="18">
        <v>51.092100000000002</v>
      </c>
      <c r="F19" s="18">
        <v>47.6541</v>
      </c>
      <c r="G19" s="18">
        <v>44.509099999999997</v>
      </c>
      <c r="H19" s="18">
        <v>41.722299999999997</v>
      </c>
      <c r="I19" s="18">
        <v>39.1905</v>
      </c>
      <c r="J19" s="18">
        <v>36.853299999999997</v>
      </c>
      <c r="K19" s="18">
        <v>34.677500000000002</v>
      </c>
      <c r="L19" s="18">
        <v>32.633800000000001</v>
      </c>
      <c r="M19" s="18">
        <v>30.722300000000001</v>
      </c>
      <c r="O19" s="16" t="s">
        <v>318</v>
      </c>
      <c r="P19" s="17">
        <v>18660.752400000001</v>
      </c>
      <c r="Q19" s="18">
        <v>984.01139999999998</v>
      </c>
      <c r="R19" s="18">
        <v>52.1295</v>
      </c>
      <c r="S19" s="18">
        <v>48.630499999999998</v>
      </c>
      <c r="T19" s="18">
        <v>45.395400000000002</v>
      </c>
      <c r="U19" s="18">
        <v>42.476999999999997</v>
      </c>
      <c r="V19" s="18">
        <v>39.924999999999997</v>
      </c>
      <c r="W19" s="18">
        <v>37.618600000000001</v>
      </c>
      <c r="X19" s="18">
        <v>35.486199999999997</v>
      </c>
      <c r="Y19" s="18">
        <v>33.4861</v>
      </c>
      <c r="Z19" s="18">
        <v>31.583600000000001</v>
      </c>
      <c r="AA19" s="18">
        <v>29.778099999999998</v>
      </c>
      <c r="AC19" s="16" t="s">
        <v>318</v>
      </c>
      <c r="AD19" s="18">
        <f t="shared" si="0"/>
        <v>34.704000000000065</v>
      </c>
      <c r="AE19" s="18">
        <f t="shared" si="0"/>
        <v>2.6317000000000021</v>
      </c>
      <c r="AF19" s="18">
        <f t="shared" si="0"/>
        <v>2.4616000000000042</v>
      </c>
      <c r="AG19" s="18">
        <f t="shared" si="0"/>
        <v>2.2586999999999975</v>
      </c>
      <c r="AH19" s="18">
        <f t="shared" si="0"/>
        <v>2.0320999999999998</v>
      </c>
      <c r="AI19" s="18">
        <f t="shared" si="0"/>
        <v>1.7972999999999999</v>
      </c>
      <c r="AJ19" s="18">
        <f t="shared" si="0"/>
        <v>1.5718999999999994</v>
      </c>
      <c r="AK19" s="18">
        <f t="shared" si="0"/>
        <v>1.3671000000000006</v>
      </c>
      <c r="AL19" s="18">
        <f t="shared" si="0"/>
        <v>1.1914000000000016</v>
      </c>
      <c r="AM19" s="18">
        <f t="shared" si="0"/>
        <v>1.0502000000000002</v>
      </c>
      <c r="AN19" s="18">
        <f t="shared" si="0"/>
        <v>0.94420000000000215</v>
      </c>
    </row>
    <row r="20" spans="1:40" x14ac:dyDescent="0.35">
      <c r="A20" s="16" t="s">
        <v>507</v>
      </c>
      <c r="B20" s="17">
        <v>86338.747700000007</v>
      </c>
      <c r="C20" s="18">
        <v>876.66319999999996</v>
      </c>
      <c r="D20" s="18">
        <v>52.255400000000002</v>
      </c>
      <c r="E20" s="18">
        <v>48.476700000000001</v>
      </c>
      <c r="F20" s="18">
        <v>45.027099999999997</v>
      </c>
      <c r="G20" s="18">
        <v>41.907899999999998</v>
      </c>
      <c r="H20" s="18">
        <v>39.097200000000001</v>
      </c>
      <c r="I20" s="18">
        <v>36.523000000000003</v>
      </c>
      <c r="J20" s="18">
        <v>34.153199999999998</v>
      </c>
      <c r="K20" s="18">
        <v>31.9634</v>
      </c>
      <c r="L20" s="18">
        <v>29.9313</v>
      </c>
      <c r="M20" s="18">
        <v>28.0578</v>
      </c>
      <c r="O20" s="16" t="s">
        <v>507</v>
      </c>
      <c r="P20" s="17">
        <v>86338.747700000007</v>
      </c>
      <c r="Q20" s="18">
        <v>847.904</v>
      </c>
      <c r="R20" s="18">
        <v>49.847099999999998</v>
      </c>
      <c r="S20" s="18">
        <v>46.355899999999998</v>
      </c>
      <c r="T20" s="18">
        <v>43.139099999999999</v>
      </c>
      <c r="U20" s="18">
        <v>40.222200000000001</v>
      </c>
      <c r="V20" s="18">
        <v>37.597799999999999</v>
      </c>
      <c r="W20" s="18">
        <v>35.186100000000003</v>
      </c>
      <c r="X20" s="18">
        <v>32.963000000000001</v>
      </c>
      <c r="Y20" s="18">
        <v>30.896799999999999</v>
      </c>
      <c r="Z20" s="18">
        <v>28.9663</v>
      </c>
      <c r="AA20" s="18">
        <v>27.178000000000001</v>
      </c>
      <c r="AC20" s="16" t="s">
        <v>507</v>
      </c>
      <c r="AD20" s="18">
        <f t="shared" si="0"/>
        <v>28.759199999999964</v>
      </c>
      <c r="AE20" s="18">
        <f t="shared" si="0"/>
        <v>2.4083000000000041</v>
      </c>
      <c r="AF20" s="18">
        <f t="shared" si="0"/>
        <v>2.1208000000000027</v>
      </c>
      <c r="AG20" s="18">
        <f t="shared" si="0"/>
        <v>1.8879999999999981</v>
      </c>
      <c r="AH20" s="18">
        <f t="shared" si="0"/>
        <v>1.6856999999999971</v>
      </c>
      <c r="AI20" s="18">
        <f t="shared" si="0"/>
        <v>1.4994000000000014</v>
      </c>
      <c r="AJ20" s="18">
        <f t="shared" si="0"/>
        <v>1.3369</v>
      </c>
      <c r="AK20" s="18">
        <f t="shared" si="0"/>
        <v>1.1901999999999973</v>
      </c>
      <c r="AL20" s="18">
        <f t="shared" si="0"/>
        <v>1.0666000000000011</v>
      </c>
      <c r="AM20" s="18">
        <f t="shared" si="0"/>
        <v>0.96499999999999986</v>
      </c>
      <c r="AN20" s="18">
        <f t="shared" si="0"/>
        <v>0.87979999999999947</v>
      </c>
    </row>
    <row r="21" spans="1:40" x14ac:dyDescent="0.35">
      <c r="A21" s="16" t="s">
        <v>508</v>
      </c>
      <c r="B21" s="17">
        <v>60554.324099999998</v>
      </c>
      <c r="C21" s="18">
        <v>698.20719999999994</v>
      </c>
      <c r="D21" s="18">
        <v>46.781500000000001</v>
      </c>
      <c r="E21" s="18">
        <v>42.899900000000002</v>
      </c>
      <c r="F21" s="18">
        <v>39.471699999999998</v>
      </c>
      <c r="G21" s="18">
        <v>36.405799999999999</v>
      </c>
      <c r="H21" s="18">
        <v>33.643599999999999</v>
      </c>
      <c r="I21" s="18">
        <v>31.1035</v>
      </c>
      <c r="J21" s="18">
        <v>28.766100000000002</v>
      </c>
      <c r="K21" s="18">
        <v>26.6311</v>
      </c>
      <c r="L21" s="18">
        <v>24.667300000000001</v>
      </c>
      <c r="M21" s="18">
        <v>22.8887</v>
      </c>
      <c r="O21" s="16" t="s">
        <v>508</v>
      </c>
      <c r="P21" s="17">
        <v>60554.324099999998</v>
      </c>
      <c r="Q21" s="18">
        <v>671.98</v>
      </c>
      <c r="R21" s="18">
        <v>44.262</v>
      </c>
      <c r="S21" s="18">
        <v>40.750700000000002</v>
      </c>
      <c r="T21" s="18">
        <v>37.6081</v>
      </c>
      <c r="U21" s="18">
        <v>34.762700000000002</v>
      </c>
      <c r="V21" s="18">
        <v>32.185699999999997</v>
      </c>
      <c r="W21" s="18">
        <v>29.802600000000002</v>
      </c>
      <c r="X21" s="18">
        <v>27.610499999999998</v>
      </c>
      <c r="Y21" s="18">
        <v>25.600999999999999</v>
      </c>
      <c r="Z21" s="18">
        <v>23.743500000000001</v>
      </c>
      <c r="AA21" s="18">
        <v>22.0565</v>
      </c>
      <c r="AC21" s="16" t="s">
        <v>508</v>
      </c>
      <c r="AD21" s="18">
        <f t="shared" si="0"/>
        <v>26.227199999999925</v>
      </c>
      <c r="AE21" s="18">
        <f t="shared" si="0"/>
        <v>2.5195000000000007</v>
      </c>
      <c r="AF21" s="18">
        <f t="shared" si="0"/>
        <v>2.1492000000000004</v>
      </c>
      <c r="AG21" s="18">
        <f t="shared" si="0"/>
        <v>1.8635999999999981</v>
      </c>
      <c r="AH21" s="18">
        <f t="shared" si="0"/>
        <v>1.6430999999999969</v>
      </c>
      <c r="AI21" s="18">
        <f t="shared" si="0"/>
        <v>1.4579000000000022</v>
      </c>
      <c r="AJ21" s="18">
        <f t="shared" si="0"/>
        <v>1.3008999999999986</v>
      </c>
      <c r="AK21" s="18">
        <f t="shared" si="0"/>
        <v>1.1556000000000033</v>
      </c>
      <c r="AL21" s="18">
        <f t="shared" si="0"/>
        <v>1.0301000000000009</v>
      </c>
      <c r="AM21" s="18">
        <f t="shared" si="0"/>
        <v>0.92379999999999995</v>
      </c>
      <c r="AN21" s="18">
        <f t="shared" si="0"/>
        <v>0.83220000000000027</v>
      </c>
    </row>
    <row r="22" spans="1:40" x14ac:dyDescent="0.35">
      <c r="A22" s="16" t="s">
        <v>509</v>
      </c>
      <c r="B22" s="17"/>
      <c r="C22" s="18">
        <f>AVERAGE(C3,C14)</f>
        <v>964.30345</v>
      </c>
      <c r="D22" s="18">
        <f t="shared" ref="D22:M22" si="1">AVERAGE(D3,D14)</f>
        <v>54.332850000000001</v>
      </c>
      <c r="E22" s="18">
        <f t="shared" si="1"/>
        <v>50.459000000000003</v>
      </c>
      <c r="F22" s="18">
        <f t="shared" si="1"/>
        <v>46.884450000000001</v>
      </c>
      <c r="G22" s="18">
        <f t="shared" si="1"/>
        <v>43.601200000000006</v>
      </c>
      <c r="H22" s="18">
        <f t="shared" si="1"/>
        <v>40.6845</v>
      </c>
      <c r="I22" s="18">
        <f t="shared" si="1"/>
        <v>38.014449999999997</v>
      </c>
      <c r="J22" s="18">
        <f t="shared" si="1"/>
        <v>35.559600000000003</v>
      </c>
      <c r="K22" s="18">
        <f t="shared" si="1"/>
        <v>33.278799999999997</v>
      </c>
      <c r="L22" s="18">
        <f t="shared" si="1"/>
        <v>31.138249999999999</v>
      </c>
      <c r="M22" s="18">
        <f t="shared" si="1"/>
        <v>29.143050000000002</v>
      </c>
      <c r="O22" s="16" t="s">
        <v>509</v>
      </c>
      <c r="P22" s="17"/>
      <c r="Q22" s="18">
        <f>AVERAGE(Q3,Q14)</f>
        <v>931.20564999999999</v>
      </c>
      <c r="R22" s="18">
        <f t="shared" ref="R22:AA22" si="2">AVERAGE(R3,R14)</f>
        <v>51.874099999999999</v>
      </c>
      <c r="S22" s="18">
        <f t="shared" si="2"/>
        <v>48.140100000000004</v>
      </c>
      <c r="T22" s="18">
        <f t="shared" si="2"/>
        <v>44.732100000000003</v>
      </c>
      <c r="U22" s="18">
        <f t="shared" si="2"/>
        <v>41.643450000000001</v>
      </c>
      <c r="V22" s="18">
        <f t="shared" si="2"/>
        <v>38.935050000000004</v>
      </c>
      <c r="W22" s="18">
        <f t="shared" si="2"/>
        <v>36.466250000000002</v>
      </c>
      <c r="X22" s="18">
        <f t="shared" si="2"/>
        <v>34.197749999999999</v>
      </c>
      <c r="Y22" s="18">
        <f t="shared" si="2"/>
        <v>32.083349999999996</v>
      </c>
      <c r="Z22" s="18">
        <f t="shared" si="2"/>
        <v>30.083300000000001</v>
      </c>
      <c r="AA22" s="18">
        <f t="shared" si="2"/>
        <v>28.200099999999999</v>
      </c>
      <c r="AC22" s="16" t="s">
        <v>509</v>
      </c>
      <c r="AD22" s="18">
        <f t="shared" ref="AD22:AN22" si="3">C22-Q22</f>
        <v>33.097800000000007</v>
      </c>
      <c r="AE22" s="18">
        <f t="shared" si="3"/>
        <v>2.458750000000002</v>
      </c>
      <c r="AF22" s="18">
        <f t="shared" si="3"/>
        <v>2.3188999999999993</v>
      </c>
      <c r="AG22" s="18">
        <f t="shared" si="3"/>
        <v>2.1523499999999984</v>
      </c>
      <c r="AH22" s="18">
        <f t="shared" si="3"/>
        <v>1.9577500000000043</v>
      </c>
      <c r="AI22" s="18">
        <f t="shared" si="3"/>
        <v>1.749449999999996</v>
      </c>
      <c r="AJ22" s="18">
        <f t="shared" si="3"/>
        <v>1.5481999999999942</v>
      </c>
      <c r="AK22" s="18">
        <f t="shared" si="3"/>
        <v>1.361850000000004</v>
      </c>
      <c r="AL22" s="18">
        <f t="shared" si="3"/>
        <v>1.195450000000001</v>
      </c>
      <c r="AM22" s="18">
        <f t="shared" si="3"/>
        <v>1.0549499999999981</v>
      </c>
      <c r="AN22" s="18">
        <f t="shared" si="3"/>
        <v>0.94295000000000329</v>
      </c>
    </row>
    <row r="23" spans="1:40" ht="12.75" customHeight="1" x14ac:dyDescent="0.35"/>
    <row r="24" spans="1:40" ht="12.75" customHeight="1" x14ac:dyDescent="0.35">
      <c r="A24" s="6" t="s">
        <v>510</v>
      </c>
    </row>
    <row r="25" spans="1:40" ht="12.75" customHeight="1" x14ac:dyDescent="0.35">
      <c r="A25" s="15" t="s">
        <v>511</v>
      </c>
      <c r="B25" s="15" t="s">
        <v>321</v>
      </c>
      <c r="C25" s="15" t="s">
        <v>322</v>
      </c>
      <c r="D25" s="15" t="s">
        <v>42</v>
      </c>
      <c r="E25" s="15" t="s">
        <v>324</v>
      </c>
      <c r="F25" s="15" t="s">
        <v>43</v>
      </c>
      <c r="G25" s="15" t="s">
        <v>325</v>
      </c>
      <c r="H25" s="15" t="s">
        <v>44</v>
      </c>
      <c r="I25" s="15" t="s">
        <v>326</v>
      </c>
      <c r="J25" s="15" t="s">
        <v>327</v>
      </c>
      <c r="K25" s="15" t="s">
        <v>328</v>
      </c>
      <c r="L25" s="15" t="s">
        <v>329</v>
      </c>
      <c r="M25" s="15" t="s">
        <v>330</v>
      </c>
      <c r="O25" s="15" t="s">
        <v>512</v>
      </c>
      <c r="P25" s="15" t="s">
        <v>321</v>
      </c>
      <c r="Q25" s="15" t="s">
        <v>322</v>
      </c>
      <c r="R25" s="15" t="s">
        <v>42</v>
      </c>
      <c r="S25" s="15" t="s">
        <v>324</v>
      </c>
      <c r="T25" s="15" t="s">
        <v>43</v>
      </c>
      <c r="U25" s="15" t="s">
        <v>325</v>
      </c>
      <c r="V25" s="15" t="s">
        <v>44</v>
      </c>
      <c r="W25" s="15" t="s">
        <v>326</v>
      </c>
      <c r="X25" s="15" t="s">
        <v>327</v>
      </c>
      <c r="Y25" s="15" t="s">
        <v>328</v>
      </c>
      <c r="Z25" s="15" t="s">
        <v>329</v>
      </c>
      <c r="AA25" s="15" t="s">
        <v>330</v>
      </c>
      <c r="AC25" s="15" t="s">
        <v>513</v>
      </c>
      <c r="AD25" s="15" t="s">
        <v>322</v>
      </c>
      <c r="AE25" s="15" t="s">
        <v>42</v>
      </c>
      <c r="AF25" s="15" t="s">
        <v>324</v>
      </c>
      <c r="AG25" s="15" t="s">
        <v>43</v>
      </c>
      <c r="AH25" s="15" t="s">
        <v>325</v>
      </c>
      <c r="AI25" s="15" t="s">
        <v>44</v>
      </c>
      <c r="AJ25" s="15" t="s">
        <v>326</v>
      </c>
      <c r="AK25" s="15" t="s">
        <v>327</v>
      </c>
      <c r="AL25" s="15" t="s">
        <v>328</v>
      </c>
      <c r="AM25" s="15" t="s">
        <v>329</v>
      </c>
      <c r="AN25" s="15" t="s">
        <v>330</v>
      </c>
    </row>
    <row r="26" spans="1:40" ht="12.75" customHeight="1" x14ac:dyDescent="0.35">
      <c r="A26" s="16" t="s">
        <v>20</v>
      </c>
      <c r="B26" s="17">
        <v>10404.734</v>
      </c>
      <c r="C26" s="18">
        <v>1140.9440999999999</v>
      </c>
      <c r="D26" s="18">
        <v>64.448800000000006</v>
      </c>
      <c r="E26" s="18">
        <v>58.595399999999998</v>
      </c>
      <c r="F26" s="18">
        <v>53.747399999999999</v>
      </c>
      <c r="G26" s="18">
        <v>49.595300000000002</v>
      </c>
      <c r="H26" s="18">
        <v>45.976599999999998</v>
      </c>
      <c r="I26" s="18">
        <v>42.779800000000002</v>
      </c>
      <c r="J26" s="18">
        <v>39.873800000000003</v>
      </c>
      <c r="K26" s="18">
        <v>37.293399999999998</v>
      </c>
      <c r="L26" s="18">
        <v>34.962899999999998</v>
      </c>
      <c r="M26" s="18">
        <v>32.837200000000003</v>
      </c>
      <c r="O26" s="16" t="s">
        <v>20</v>
      </c>
      <c r="P26" s="17">
        <v>10404.734</v>
      </c>
      <c r="Q26" s="18">
        <v>1107.3128999999999</v>
      </c>
      <c r="R26" s="18">
        <v>63.006799999999998</v>
      </c>
      <c r="S26" s="18">
        <v>57.091700000000003</v>
      </c>
      <c r="T26" s="18">
        <v>52.212800000000001</v>
      </c>
      <c r="U26" s="18">
        <v>48.088299999999997</v>
      </c>
      <c r="V26" s="18">
        <v>44.535800000000002</v>
      </c>
      <c r="W26" s="18">
        <v>41.4285</v>
      </c>
      <c r="X26" s="18">
        <v>38.624699999999997</v>
      </c>
      <c r="Y26" s="18">
        <v>36.146700000000003</v>
      </c>
      <c r="Z26" s="18">
        <v>33.9071</v>
      </c>
      <c r="AA26" s="18">
        <v>31.8552</v>
      </c>
      <c r="AC26" s="16" t="s">
        <v>20</v>
      </c>
      <c r="AD26" s="18">
        <f t="shared" ref="AD26:AD45" si="4">C26-Q26</f>
        <v>33.631200000000035</v>
      </c>
      <c r="AE26" s="18">
        <f t="shared" ref="AE26:AE45" si="5">D26-R26</f>
        <v>1.4420000000000073</v>
      </c>
      <c r="AF26" s="18">
        <f t="shared" ref="AF26:AF45" si="6">E26-S26</f>
        <v>1.5036999999999949</v>
      </c>
      <c r="AG26" s="18">
        <f t="shared" ref="AG26:AG45" si="7">F26-T26</f>
        <v>1.5345999999999975</v>
      </c>
      <c r="AH26" s="18">
        <f t="shared" ref="AH26:AH45" si="8">G26-U26</f>
        <v>1.507000000000005</v>
      </c>
      <c r="AI26" s="18">
        <f t="shared" ref="AI26:AI45" si="9">H26-V26</f>
        <v>1.4407999999999959</v>
      </c>
      <c r="AJ26" s="18">
        <f t="shared" ref="AJ26:AJ45" si="10">I26-W26</f>
        <v>1.3513000000000019</v>
      </c>
      <c r="AK26" s="18">
        <f t="shared" ref="AK26:AK45" si="11">J26-X26</f>
        <v>1.2491000000000057</v>
      </c>
      <c r="AL26" s="18">
        <f t="shared" ref="AL26:AL45" si="12">K26-Y26</f>
        <v>1.1466999999999956</v>
      </c>
      <c r="AM26" s="18">
        <f t="shared" ref="AM26:AM45" si="13">L26-Z26</f>
        <v>1.0557999999999979</v>
      </c>
      <c r="AN26" s="18">
        <f t="shared" ref="AN26:AN45" si="14">M26-AA26</f>
        <v>0.98200000000000287</v>
      </c>
    </row>
    <row r="27" spans="1:40" ht="12.75" customHeight="1" x14ac:dyDescent="0.35">
      <c r="A27" s="16" t="s">
        <v>21</v>
      </c>
      <c r="B27" s="17">
        <v>2955.7977999999998</v>
      </c>
      <c r="C27" s="18">
        <v>1033.9282000000001</v>
      </c>
      <c r="D27" s="18">
        <v>66.191500000000005</v>
      </c>
      <c r="E27" s="18">
        <v>60.686999999999998</v>
      </c>
      <c r="F27" s="18">
        <v>56.096499999999999</v>
      </c>
      <c r="G27" s="18">
        <v>52.320700000000002</v>
      </c>
      <c r="H27" s="18">
        <v>49.065399999999997</v>
      </c>
      <c r="I27" s="18">
        <v>46.121899999999997</v>
      </c>
      <c r="J27" s="18">
        <v>43.3767</v>
      </c>
      <c r="K27" s="18">
        <v>40.779499999999999</v>
      </c>
      <c r="L27" s="18">
        <v>38.194600000000001</v>
      </c>
      <c r="M27" s="18">
        <v>35.673900000000003</v>
      </c>
      <c r="O27" s="16" t="s">
        <v>21</v>
      </c>
      <c r="P27" s="17">
        <v>2955.7977999999998</v>
      </c>
      <c r="Q27" s="18">
        <v>1000.5658</v>
      </c>
      <c r="R27" s="18">
        <v>64.217799999999997</v>
      </c>
      <c r="S27" s="18">
        <v>58.725200000000001</v>
      </c>
      <c r="T27" s="18">
        <v>54.318399999999997</v>
      </c>
      <c r="U27" s="18">
        <v>50.742600000000003</v>
      </c>
      <c r="V27" s="18">
        <v>47.6753</v>
      </c>
      <c r="W27" s="18">
        <v>44.904699999999998</v>
      </c>
      <c r="X27" s="18">
        <v>42.304600000000001</v>
      </c>
      <c r="Y27" s="18">
        <v>39.794600000000003</v>
      </c>
      <c r="Z27" s="18">
        <v>37.1357</v>
      </c>
      <c r="AA27" s="18">
        <v>34.572600000000001</v>
      </c>
      <c r="AC27" s="16" t="s">
        <v>21</v>
      </c>
      <c r="AD27" s="18">
        <f t="shared" si="4"/>
        <v>33.362400000000093</v>
      </c>
      <c r="AE27" s="18">
        <f t="shared" si="5"/>
        <v>1.973700000000008</v>
      </c>
      <c r="AF27" s="18">
        <f t="shared" si="6"/>
        <v>1.9617999999999967</v>
      </c>
      <c r="AG27" s="18">
        <f t="shared" si="7"/>
        <v>1.778100000000002</v>
      </c>
      <c r="AH27" s="18">
        <f t="shared" si="8"/>
        <v>1.5780999999999992</v>
      </c>
      <c r="AI27" s="18">
        <f t="shared" si="9"/>
        <v>1.3900999999999968</v>
      </c>
      <c r="AJ27" s="18">
        <f t="shared" si="10"/>
        <v>1.2171999999999983</v>
      </c>
      <c r="AK27" s="18">
        <f t="shared" si="11"/>
        <v>1.0720999999999989</v>
      </c>
      <c r="AL27" s="18">
        <f t="shared" si="12"/>
        <v>0.98489999999999611</v>
      </c>
      <c r="AM27" s="18">
        <f t="shared" si="13"/>
        <v>1.0589000000000013</v>
      </c>
      <c r="AN27" s="18">
        <f t="shared" si="14"/>
        <v>1.1013000000000019</v>
      </c>
    </row>
    <row r="28" spans="1:40" ht="12.75" customHeight="1" x14ac:dyDescent="0.35">
      <c r="A28" s="16" t="s">
        <v>22</v>
      </c>
      <c r="B28" s="17">
        <v>8127.1594999999998</v>
      </c>
      <c r="C28" s="18">
        <v>1235.4731999999999</v>
      </c>
      <c r="D28" s="18">
        <v>70.924899999999994</v>
      </c>
      <c r="E28" s="18">
        <v>65.390100000000004</v>
      </c>
      <c r="F28" s="18">
        <v>60.584299999999999</v>
      </c>
      <c r="G28" s="18">
        <v>56.367199999999997</v>
      </c>
      <c r="H28" s="18">
        <v>52.562600000000003</v>
      </c>
      <c r="I28" s="18">
        <v>49.072099999999999</v>
      </c>
      <c r="J28" s="18">
        <v>45.8324</v>
      </c>
      <c r="K28" s="18">
        <v>42.808500000000002</v>
      </c>
      <c r="L28" s="18">
        <v>39.989800000000002</v>
      </c>
      <c r="M28" s="18">
        <v>37.374200000000002</v>
      </c>
      <c r="O28" s="16" t="s">
        <v>22</v>
      </c>
      <c r="P28" s="17">
        <v>8127.1594999999998</v>
      </c>
      <c r="Q28" s="18">
        <v>1177.5504000000001</v>
      </c>
      <c r="R28" s="18">
        <v>68.501199999999997</v>
      </c>
      <c r="S28" s="18">
        <v>62.608699999999999</v>
      </c>
      <c r="T28" s="18">
        <v>57.620199999999997</v>
      </c>
      <c r="U28" s="18">
        <v>53.3917</v>
      </c>
      <c r="V28" s="18">
        <v>49.704599999999999</v>
      </c>
      <c r="W28" s="18">
        <v>46.387500000000003</v>
      </c>
      <c r="X28" s="18">
        <v>43.3232</v>
      </c>
      <c r="Y28" s="18">
        <v>40.456699999999998</v>
      </c>
      <c r="Z28" s="18">
        <v>37.778799999999997</v>
      </c>
      <c r="AA28" s="18">
        <v>35.292099999999998</v>
      </c>
      <c r="AC28" s="16" t="s">
        <v>22</v>
      </c>
      <c r="AD28" s="18">
        <f t="shared" si="4"/>
        <v>57.922799999999825</v>
      </c>
      <c r="AE28" s="18">
        <f t="shared" si="5"/>
        <v>2.4236999999999966</v>
      </c>
      <c r="AF28" s="18">
        <f t="shared" si="6"/>
        <v>2.781400000000005</v>
      </c>
      <c r="AG28" s="18">
        <f t="shared" si="7"/>
        <v>2.964100000000002</v>
      </c>
      <c r="AH28" s="18">
        <f t="shared" si="8"/>
        <v>2.9754999999999967</v>
      </c>
      <c r="AI28" s="18">
        <f t="shared" si="9"/>
        <v>2.8580000000000041</v>
      </c>
      <c r="AJ28" s="18">
        <f t="shared" si="10"/>
        <v>2.6845999999999961</v>
      </c>
      <c r="AK28" s="18">
        <f t="shared" si="11"/>
        <v>2.5091999999999999</v>
      </c>
      <c r="AL28" s="18">
        <f t="shared" si="12"/>
        <v>2.3518000000000043</v>
      </c>
      <c r="AM28" s="18">
        <f t="shared" si="13"/>
        <v>2.2110000000000056</v>
      </c>
      <c r="AN28" s="18">
        <f t="shared" si="14"/>
        <v>2.0821000000000041</v>
      </c>
    </row>
    <row r="29" spans="1:40" ht="12.75" customHeight="1" x14ac:dyDescent="0.35">
      <c r="A29" s="16" t="s">
        <v>23</v>
      </c>
      <c r="B29" s="17">
        <v>3100.6723000000002</v>
      </c>
      <c r="C29" s="18">
        <v>1455.9806000000001</v>
      </c>
      <c r="D29" s="18">
        <v>79.942499999999995</v>
      </c>
      <c r="E29" s="18">
        <v>75.4953</v>
      </c>
      <c r="F29" s="18">
        <v>71.257800000000003</v>
      </c>
      <c r="G29" s="18">
        <v>67.426199999999994</v>
      </c>
      <c r="H29" s="18">
        <v>63.981900000000003</v>
      </c>
      <c r="I29" s="18">
        <v>60.807200000000002</v>
      </c>
      <c r="J29" s="18">
        <v>57.776699999999998</v>
      </c>
      <c r="K29" s="18">
        <v>54.829099999999997</v>
      </c>
      <c r="L29" s="18">
        <v>51.944400000000002</v>
      </c>
      <c r="M29" s="18">
        <v>49.131</v>
      </c>
      <c r="O29" s="16" t="s">
        <v>23</v>
      </c>
      <c r="P29" s="17">
        <v>3100.6723000000002</v>
      </c>
      <c r="Q29" s="18">
        <v>1407.317</v>
      </c>
      <c r="R29" s="18">
        <v>79.261499999999998</v>
      </c>
      <c r="S29" s="18">
        <v>74.608699999999999</v>
      </c>
      <c r="T29" s="18">
        <v>70.190899999999999</v>
      </c>
      <c r="U29" s="18">
        <v>66.211299999999994</v>
      </c>
      <c r="V29" s="18">
        <v>62.6843</v>
      </c>
      <c r="W29" s="18">
        <v>59.493899999999996</v>
      </c>
      <c r="X29" s="18">
        <v>56.479599999999998</v>
      </c>
      <c r="Y29" s="18">
        <v>53.540999999999997</v>
      </c>
      <c r="Z29" s="18">
        <v>50.639000000000003</v>
      </c>
      <c r="AA29" s="18">
        <v>47.784399999999998</v>
      </c>
      <c r="AC29" s="16" t="s">
        <v>23</v>
      </c>
      <c r="AD29" s="18">
        <f t="shared" si="4"/>
        <v>48.663600000000088</v>
      </c>
      <c r="AE29" s="18">
        <f t="shared" si="5"/>
        <v>0.68099999999999739</v>
      </c>
      <c r="AF29" s="18">
        <f t="shared" si="6"/>
        <v>0.88660000000000139</v>
      </c>
      <c r="AG29" s="18">
        <f t="shared" si="7"/>
        <v>1.066900000000004</v>
      </c>
      <c r="AH29" s="18">
        <f t="shared" si="8"/>
        <v>1.2149000000000001</v>
      </c>
      <c r="AI29" s="18">
        <f t="shared" si="9"/>
        <v>1.2976000000000028</v>
      </c>
      <c r="AJ29" s="18">
        <f t="shared" si="10"/>
        <v>1.3133000000000052</v>
      </c>
      <c r="AK29" s="18">
        <f t="shared" si="11"/>
        <v>1.2971000000000004</v>
      </c>
      <c r="AL29" s="18">
        <f t="shared" si="12"/>
        <v>1.2881</v>
      </c>
      <c r="AM29" s="18">
        <f t="shared" si="13"/>
        <v>1.3053999999999988</v>
      </c>
      <c r="AN29" s="18">
        <f t="shared" si="14"/>
        <v>1.3466000000000022</v>
      </c>
    </row>
    <row r="30" spans="1:40" ht="12.75" customHeight="1" x14ac:dyDescent="0.35">
      <c r="A30" s="16" t="s">
        <v>24</v>
      </c>
      <c r="B30" s="17">
        <v>3792.4243000000001</v>
      </c>
      <c r="C30" s="18">
        <v>1285.9507000000001</v>
      </c>
      <c r="D30" s="18">
        <v>78.015699999999995</v>
      </c>
      <c r="E30" s="18">
        <v>72.241799999999998</v>
      </c>
      <c r="F30" s="18">
        <v>67.408199999999994</v>
      </c>
      <c r="G30" s="18">
        <v>63.143999999999998</v>
      </c>
      <c r="H30" s="18">
        <v>59.185200000000002</v>
      </c>
      <c r="I30" s="18">
        <v>55.424100000000003</v>
      </c>
      <c r="J30" s="18">
        <v>51.872199999999999</v>
      </c>
      <c r="K30" s="18">
        <v>48.583300000000001</v>
      </c>
      <c r="L30" s="18">
        <v>45.579700000000003</v>
      </c>
      <c r="M30" s="18">
        <v>42.836500000000001</v>
      </c>
      <c r="O30" s="16" t="s">
        <v>24</v>
      </c>
      <c r="P30" s="17">
        <v>3792.4243000000001</v>
      </c>
      <c r="Q30" s="18">
        <v>1233.1831</v>
      </c>
      <c r="R30" s="18">
        <v>76.0398</v>
      </c>
      <c r="S30" s="18">
        <v>70.187299999999993</v>
      </c>
      <c r="T30" s="18">
        <v>65.398700000000005</v>
      </c>
      <c r="U30" s="18">
        <v>61.188800000000001</v>
      </c>
      <c r="V30" s="18">
        <v>57.250300000000003</v>
      </c>
      <c r="W30" s="18">
        <v>53.4726</v>
      </c>
      <c r="X30" s="18">
        <v>49.897199999999998</v>
      </c>
      <c r="Y30" s="18">
        <v>46.607900000000001</v>
      </c>
      <c r="Z30" s="18">
        <v>43.636899999999997</v>
      </c>
      <c r="AA30" s="18">
        <v>40.951000000000001</v>
      </c>
      <c r="AC30" s="16" t="s">
        <v>24</v>
      </c>
      <c r="AD30" s="18">
        <f t="shared" si="4"/>
        <v>52.76760000000013</v>
      </c>
      <c r="AE30" s="18">
        <f t="shared" si="5"/>
        <v>1.9758999999999958</v>
      </c>
      <c r="AF30" s="18">
        <f t="shared" si="6"/>
        <v>2.0545000000000044</v>
      </c>
      <c r="AG30" s="18">
        <f t="shared" si="7"/>
        <v>2.0094999999999885</v>
      </c>
      <c r="AH30" s="18">
        <f t="shared" si="8"/>
        <v>1.9551999999999978</v>
      </c>
      <c r="AI30" s="18">
        <f t="shared" si="9"/>
        <v>1.934899999999999</v>
      </c>
      <c r="AJ30" s="18">
        <f t="shared" si="10"/>
        <v>1.9515000000000029</v>
      </c>
      <c r="AK30" s="18">
        <f t="shared" si="11"/>
        <v>1.9750000000000014</v>
      </c>
      <c r="AL30" s="18">
        <f t="shared" si="12"/>
        <v>1.9754000000000005</v>
      </c>
      <c r="AM30" s="18">
        <f t="shared" si="13"/>
        <v>1.9428000000000054</v>
      </c>
      <c r="AN30" s="18">
        <f t="shared" si="14"/>
        <v>1.8855000000000004</v>
      </c>
    </row>
    <row r="31" spans="1:40" ht="12.75" customHeight="1" x14ac:dyDescent="0.35">
      <c r="A31" s="16" t="s">
        <v>25</v>
      </c>
      <c r="B31" s="17">
        <v>3567.7473</v>
      </c>
      <c r="C31" s="18">
        <v>1139.4656</v>
      </c>
      <c r="D31" s="18">
        <v>77.088300000000004</v>
      </c>
      <c r="E31" s="18">
        <v>71.412400000000005</v>
      </c>
      <c r="F31" s="18">
        <v>66.045400000000001</v>
      </c>
      <c r="G31" s="18">
        <v>61.114899999999999</v>
      </c>
      <c r="H31" s="18">
        <v>56.628399999999999</v>
      </c>
      <c r="I31" s="18">
        <v>52.502200000000002</v>
      </c>
      <c r="J31" s="18">
        <v>48.693399999999997</v>
      </c>
      <c r="K31" s="18">
        <v>45.166899999999998</v>
      </c>
      <c r="L31" s="18">
        <v>41.9086</v>
      </c>
      <c r="M31" s="18">
        <v>38.919899999999998</v>
      </c>
      <c r="O31" s="16" t="s">
        <v>25</v>
      </c>
      <c r="P31" s="17">
        <v>3567.7473</v>
      </c>
      <c r="Q31" s="18">
        <v>1091.4944</v>
      </c>
      <c r="R31" s="18">
        <v>74.947100000000006</v>
      </c>
      <c r="S31" s="18">
        <v>69.295100000000005</v>
      </c>
      <c r="T31" s="18">
        <v>63.783700000000003</v>
      </c>
      <c r="U31" s="18">
        <v>58.777700000000003</v>
      </c>
      <c r="V31" s="18">
        <v>54.2776</v>
      </c>
      <c r="W31" s="18">
        <v>50.201700000000002</v>
      </c>
      <c r="X31" s="18">
        <v>46.490699999999997</v>
      </c>
      <c r="Y31" s="18">
        <v>43.093200000000003</v>
      </c>
      <c r="Z31" s="18">
        <v>39.981499999999997</v>
      </c>
      <c r="AA31" s="18">
        <v>37.143999999999998</v>
      </c>
      <c r="AC31" s="16" t="s">
        <v>25</v>
      </c>
      <c r="AD31" s="18">
        <f t="shared" si="4"/>
        <v>47.971199999999953</v>
      </c>
      <c r="AE31" s="18">
        <f t="shared" si="5"/>
        <v>2.1411999999999978</v>
      </c>
      <c r="AF31" s="18">
        <f t="shared" si="6"/>
        <v>2.1173000000000002</v>
      </c>
      <c r="AG31" s="18">
        <f t="shared" si="7"/>
        <v>2.2616999999999976</v>
      </c>
      <c r="AH31" s="18">
        <f t="shared" si="8"/>
        <v>2.3371999999999957</v>
      </c>
      <c r="AI31" s="18">
        <f t="shared" si="9"/>
        <v>2.3507999999999996</v>
      </c>
      <c r="AJ31" s="18">
        <f t="shared" si="10"/>
        <v>2.3004999999999995</v>
      </c>
      <c r="AK31" s="18">
        <f t="shared" si="11"/>
        <v>2.2027000000000001</v>
      </c>
      <c r="AL31" s="18">
        <f t="shared" si="12"/>
        <v>2.0736999999999952</v>
      </c>
      <c r="AM31" s="18">
        <f t="shared" si="13"/>
        <v>1.9271000000000029</v>
      </c>
      <c r="AN31" s="18">
        <f t="shared" si="14"/>
        <v>1.7759</v>
      </c>
    </row>
    <row r="32" spans="1:40" ht="12.75" customHeight="1" x14ac:dyDescent="0.35">
      <c r="A32" s="16" t="s">
        <v>26</v>
      </c>
      <c r="B32" s="17">
        <v>118745.38830000001</v>
      </c>
      <c r="C32" s="18">
        <v>897.21529999999996</v>
      </c>
      <c r="D32" s="18">
        <v>60.744700000000002</v>
      </c>
      <c r="E32" s="18">
        <v>54.768700000000003</v>
      </c>
      <c r="F32" s="18">
        <v>49.899099999999997</v>
      </c>
      <c r="G32" s="18">
        <v>45.771999999999998</v>
      </c>
      <c r="H32" s="18">
        <v>42.165999999999997</v>
      </c>
      <c r="I32" s="18">
        <v>38.9557</v>
      </c>
      <c r="J32" s="18">
        <v>36.054900000000004</v>
      </c>
      <c r="K32" s="18">
        <v>33.418199999999999</v>
      </c>
      <c r="L32" s="18">
        <v>30.998799999999999</v>
      </c>
      <c r="M32" s="18">
        <v>28.782800000000002</v>
      </c>
      <c r="O32" s="16" t="s">
        <v>26</v>
      </c>
      <c r="P32" s="17">
        <v>118745.38830000001</v>
      </c>
      <c r="Q32" s="18">
        <v>860.03570000000002</v>
      </c>
      <c r="R32" s="18">
        <v>58.387500000000003</v>
      </c>
      <c r="S32" s="18">
        <v>52.609299999999998</v>
      </c>
      <c r="T32" s="18">
        <v>47.877600000000001</v>
      </c>
      <c r="U32" s="18">
        <v>43.873199999999997</v>
      </c>
      <c r="V32" s="18">
        <v>40.388300000000001</v>
      </c>
      <c r="W32" s="18">
        <v>37.296399999999998</v>
      </c>
      <c r="X32" s="18">
        <v>34.507199999999997</v>
      </c>
      <c r="Y32" s="18">
        <v>31.974799999999998</v>
      </c>
      <c r="Z32" s="18">
        <v>29.651399999999999</v>
      </c>
      <c r="AA32" s="18">
        <v>27.528600000000001</v>
      </c>
      <c r="AC32" s="16" t="s">
        <v>26</v>
      </c>
      <c r="AD32" s="18">
        <f t="shared" si="4"/>
        <v>37.179599999999937</v>
      </c>
      <c r="AE32" s="18">
        <f t="shared" si="5"/>
        <v>2.3571999999999989</v>
      </c>
      <c r="AF32" s="18">
        <f t="shared" si="6"/>
        <v>2.1594000000000051</v>
      </c>
      <c r="AG32" s="18">
        <f t="shared" si="7"/>
        <v>2.0214999999999961</v>
      </c>
      <c r="AH32" s="18">
        <f t="shared" si="8"/>
        <v>1.8988000000000014</v>
      </c>
      <c r="AI32" s="18">
        <f t="shared" si="9"/>
        <v>1.7776999999999958</v>
      </c>
      <c r="AJ32" s="18">
        <f t="shared" si="10"/>
        <v>1.6593000000000018</v>
      </c>
      <c r="AK32" s="18">
        <f t="shared" si="11"/>
        <v>1.5477000000000061</v>
      </c>
      <c r="AL32" s="18">
        <f t="shared" si="12"/>
        <v>1.4434000000000005</v>
      </c>
      <c r="AM32" s="18">
        <f t="shared" si="13"/>
        <v>1.3474000000000004</v>
      </c>
      <c r="AN32" s="18">
        <f t="shared" si="14"/>
        <v>1.2542000000000009</v>
      </c>
    </row>
    <row r="33" spans="1:40" ht="12.75" customHeight="1" x14ac:dyDescent="0.35">
      <c r="A33" s="16" t="s">
        <v>331</v>
      </c>
      <c r="B33" s="17">
        <v>31948.535199999998</v>
      </c>
      <c r="C33" s="18">
        <v>1202.6732999999999</v>
      </c>
      <c r="D33" s="18">
        <v>70.786799999999999</v>
      </c>
      <c r="E33" s="18">
        <v>65.212500000000006</v>
      </c>
      <c r="F33" s="18">
        <v>60.401899999999998</v>
      </c>
      <c r="G33" s="18">
        <v>56.198700000000002</v>
      </c>
      <c r="H33" s="18">
        <v>52.445700000000002</v>
      </c>
      <c r="I33" s="18">
        <v>49.028700000000001</v>
      </c>
      <c r="J33" s="18">
        <v>45.8628</v>
      </c>
      <c r="K33" s="18">
        <v>42.942399999999999</v>
      </c>
      <c r="L33" s="18">
        <v>40.226599999999998</v>
      </c>
      <c r="M33" s="18">
        <v>37.703099999999999</v>
      </c>
      <c r="O33" s="16" t="s">
        <v>331</v>
      </c>
      <c r="P33" s="17">
        <v>31948.535199999998</v>
      </c>
      <c r="Q33" s="18">
        <v>1157.5581</v>
      </c>
      <c r="R33" s="18">
        <v>68.978099999999998</v>
      </c>
      <c r="S33" s="18">
        <v>63.267200000000003</v>
      </c>
      <c r="T33" s="18">
        <v>58.388800000000003</v>
      </c>
      <c r="U33" s="18">
        <v>54.193800000000003</v>
      </c>
      <c r="V33" s="18">
        <v>50.502499999999998</v>
      </c>
      <c r="W33" s="18">
        <v>47.1768</v>
      </c>
      <c r="X33" s="18">
        <v>44.112000000000002</v>
      </c>
      <c r="Y33" s="18">
        <v>41.288200000000003</v>
      </c>
      <c r="Z33" s="18">
        <v>38.6496</v>
      </c>
      <c r="AA33" s="18">
        <v>36.198700000000002</v>
      </c>
      <c r="AC33" s="16" t="s">
        <v>331</v>
      </c>
      <c r="AD33" s="18">
        <f t="shared" si="4"/>
        <v>45.115199999999959</v>
      </c>
      <c r="AE33" s="18">
        <f t="shared" si="5"/>
        <v>1.8087000000000018</v>
      </c>
      <c r="AF33" s="18">
        <f t="shared" si="6"/>
        <v>1.9453000000000031</v>
      </c>
      <c r="AG33" s="18">
        <f t="shared" si="7"/>
        <v>2.0130999999999943</v>
      </c>
      <c r="AH33" s="18">
        <f t="shared" si="8"/>
        <v>2.0048999999999992</v>
      </c>
      <c r="AI33" s="18">
        <f t="shared" si="9"/>
        <v>1.9432000000000045</v>
      </c>
      <c r="AJ33" s="18">
        <f t="shared" si="10"/>
        <v>1.8519000000000005</v>
      </c>
      <c r="AK33" s="18">
        <f t="shared" si="11"/>
        <v>1.7507999999999981</v>
      </c>
      <c r="AL33" s="18">
        <f t="shared" si="12"/>
        <v>1.6541999999999959</v>
      </c>
      <c r="AM33" s="18">
        <f t="shared" si="13"/>
        <v>1.5769999999999982</v>
      </c>
      <c r="AN33" s="18">
        <f t="shared" si="14"/>
        <v>1.5043999999999969</v>
      </c>
    </row>
    <row r="34" spans="1:40" ht="12.75" customHeight="1" x14ac:dyDescent="0.35">
      <c r="A34" s="16" t="s">
        <v>332</v>
      </c>
      <c r="B34" s="17">
        <v>8759.2618000000002</v>
      </c>
      <c r="C34" s="18">
        <v>1288.8208999999999</v>
      </c>
      <c r="D34" s="18">
        <v>79.684100000000001</v>
      </c>
      <c r="E34" s="18">
        <v>74.708200000000005</v>
      </c>
      <c r="F34" s="18">
        <v>70.106800000000007</v>
      </c>
      <c r="G34" s="18">
        <v>65.874899999999997</v>
      </c>
      <c r="H34" s="18">
        <v>61.923499999999997</v>
      </c>
      <c r="I34" s="18">
        <v>58.194800000000001</v>
      </c>
      <c r="J34" s="18">
        <v>54.6676</v>
      </c>
      <c r="K34" s="18">
        <v>51.331699999999998</v>
      </c>
      <c r="L34" s="18">
        <v>48.164499999999997</v>
      </c>
      <c r="M34" s="18">
        <v>45.151400000000002</v>
      </c>
      <c r="O34" s="16" t="s">
        <v>332</v>
      </c>
      <c r="P34" s="17">
        <v>8759.2618000000002</v>
      </c>
      <c r="Q34" s="18">
        <v>1250.8852999999999</v>
      </c>
      <c r="R34" s="18">
        <v>78.723699999999994</v>
      </c>
      <c r="S34" s="18">
        <v>73.5351</v>
      </c>
      <c r="T34" s="18">
        <v>68.793999999999997</v>
      </c>
      <c r="U34" s="18">
        <v>64.494900000000001</v>
      </c>
      <c r="V34" s="18">
        <v>60.540900000000001</v>
      </c>
      <c r="W34" s="18">
        <v>56.853099999999998</v>
      </c>
      <c r="X34" s="18">
        <v>53.381999999999998</v>
      </c>
      <c r="Y34" s="18">
        <v>50.097000000000001</v>
      </c>
      <c r="Z34" s="18">
        <v>46.967500000000001</v>
      </c>
      <c r="AA34" s="18">
        <v>43.978000000000002</v>
      </c>
      <c r="AC34" s="16" t="s">
        <v>332</v>
      </c>
      <c r="AD34" s="18">
        <f t="shared" si="4"/>
        <v>37.935600000000022</v>
      </c>
      <c r="AE34" s="18">
        <f t="shared" si="5"/>
        <v>0.96040000000000703</v>
      </c>
      <c r="AF34" s="18">
        <f t="shared" si="6"/>
        <v>1.1731000000000051</v>
      </c>
      <c r="AG34" s="18">
        <f t="shared" si="7"/>
        <v>1.31280000000001</v>
      </c>
      <c r="AH34" s="18">
        <f t="shared" si="8"/>
        <v>1.3799999999999955</v>
      </c>
      <c r="AI34" s="18">
        <f t="shared" si="9"/>
        <v>1.3825999999999965</v>
      </c>
      <c r="AJ34" s="18">
        <f t="shared" si="10"/>
        <v>1.341700000000003</v>
      </c>
      <c r="AK34" s="18">
        <f t="shared" si="11"/>
        <v>1.2856000000000023</v>
      </c>
      <c r="AL34" s="18">
        <f t="shared" si="12"/>
        <v>1.2346999999999966</v>
      </c>
      <c r="AM34" s="18">
        <f t="shared" si="13"/>
        <v>1.1969999999999956</v>
      </c>
      <c r="AN34" s="18">
        <f t="shared" si="14"/>
        <v>1.1734000000000009</v>
      </c>
    </row>
    <row r="35" spans="1:40" ht="12.75" customHeight="1" x14ac:dyDescent="0.35">
      <c r="A35" s="16" t="s">
        <v>333</v>
      </c>
      <c r="B35" s="17">
        <v>8928.3760999999995</v>
      </c>
      <c r="C35" s="18">
        <v>1020.0932</v>
      </c>
      <c r="D35" s="18">
        <v>62.590499999999999</v>
      </c>
      <c r="E35" s="18">
        <v>57.177399999999999</v>
      </c>
      <c r="F35" s="18">
        <v>52.4514</v>
      </c>
      <c r="G35" s="18">
        <v>48.211300000000001</v>
      </c>
      <c r="H35" s="18">
        <v>44.432499999999997</v>
      </c>
      <c r="I35" s="18">
        <v>41.067300000000003</v>
      </c>
      <c r="J35" s="18">
        <v>38.046599999999998</v>
      </c>
      <c r="K35" s="18">
        <v>35.312100000000001</v>
      </c>
      <c r="L35" s="18">
        <v>32.823999999999998</v>
      </c>
      <c r="M35" s="18">
        <v>30.555099999999999</v>
      </c>
      <c r="O35" s="16" t="s">
        <v>333</v>
      </c>
      <c r="P35" s="17">
        <v>8928.3760999999995</v>
      </c>
      <c r="Q35" s="18">
        <v>975.24680000000001</v>
      </c>
      <c r="R35" s="18">
        <v>59.863799999999998</v>
      </c>
      <c r="S35" s="18">
        <v>54.5398</v>
      </c>
      <c r="T35" s="18">
        <v>49.985100000000003</v>
      </c>
      <c r="U35" s="18">
        <v>45.921700000000001</v>
      </c>
      <c r="V35" s="18">
        <v>42.297600000000003</v>
      </c>
      <c r="W35" s="18">
        <v>39.0623</v>
      </c>
      <c r="X35" s="18">
        <v>36.158499999999997</v>
      </c>
      <c r="Y35" s="18">
        <v>33.545999999999999</v>
      </c>
      <c r="Z35" s="18">
        <v>31.197099999999999</v>
      </c>
      <c r="AA35" s="18">
        <v>29.082699999999999</v>
      </c>
      <c r="AC35" s="16" t="s">
        <v>333</v>
      </c>
      <c r="AD35" s="18">
        <f t="shared" si="4"/>
        <v>44.846400000000017</v>
      </c>
      <c r="AE35" s="18">
        <f t="shared" si="5"/>
        <v>2.726700000000001</v>
      </c>
      <c r="AF35" s="18">
        <f t="shared" si="6"/>
        <v>2.6375999999999991</v>
      </c>
      <c r="AG35" s="18">
        <f t="shared" si="7"/>
        <v>2.4662999999999968</v>
      </c>
      <c r="AH35" s="18">
        <f t="shared" si="8"/>
        <v>2.2896000000000001</v>
      </c>
      <c r="AI35" s="18">
        <f t="shared" si="9"/>
        <v>2.1348999999999947</v>
      </c>
      <c r="AJ35" s="18">
        <f t="shared" si="10"/>
        <v>2.0050000000000026</v>
      </c>
      <c r="AK35" s="18">
        <f t="shared" si="11"/>
        <v>1.8881000000000014</v>
      </c>
      <c r="AL35" s="18">
        <f t="shared" si="12"/>
        <v>1.7661000000000016</v>
      </c>
      <c r="AM35" s="18">
        <f t="shared" si="13"/>
        <v>1.6268999999999991</v>
      </c>
      <c r="AN35" s="18">
        <f t="shared" si="14"/>
        <v>1.4724000000000004</v>
      </c>
    </row>
    <row r="36" spans="1:40" ht="12.75" customHeight="1" x14ac:dyDescent="0.35">
      <c r="A36" s="16" t="s">
        <v>334</v>
      </c>
      <c r="B36" s="17">
        <v>8400.0589999999993</v>
      </c>
      <c r="C36" s="18">
        <v>1148.2556999999999</v>
      </c>
      <c r="D36" s="18">
        <v>76.184200000000004</v>
      </c>
      <c r="E36" s="18">
        <v>69.924499999999995</v>
      </c>
      <c r="F36" s="18">
        <v>64.647099999999995</v>
      </c>
      <c r="G36" s="18">
        <v>60.026499999999999</v>
      </c>
      <c r="H36" s="18">
        <v>55.814599999999999</v>
      </c>
      <c r="I36" s="18">
        <v>51.896099999999997</v>
      </c>
      <c r="J36" s="18">
        <v>48.234699999999997</v>
      </c>
      <c r="K36" s="18">
        <v>44.8339</v>
      </c>
      <c r="L36" s="18">
        <v>41.700499999999998</v>
      </c>
      <c r="M36" s="18">
        <v>38.827300000000001</v>
      </c>
      <c r="O36" s="16" t="s">
        <v>334</v>
      </c>
      <c r="P36" s="17">
        <v>8400.0589999999993</v>
      </c>
      <c r="Q36" s="18">
        <v>1099.1673000000001</v>
      </c>
      <c r="R36" s="18">
        <v>74.249799999999993</v>
      </c>
      <c r="S36" s="18">
        <v>67.8613</v>
      </c>
      <c r="T36" s="18">
        <v>62.505800000000001</v>
      </c>
      <c r="U36" s="18">
        <v>57.875700000000002</v>
      </c>
      <c r="V36" s="18">
        <v>53.717500000000001</v>
      </c>
      <c r="W36" s="18">
        <v>49.879600000000003</v>
      </c>
      <c r="X36" s="18">
        <v>46.305599999999998</v>
      </c>
      <c r="Y36" s="18">
        <v>42.997100000000003</v>
      </c>
      <c r="Z36" s="18">
        <v>39.960999999999999</v>
      </c>
      <c r="AA36" s="18">
        <v>37.186300000000003</v>
      </c>
      <c r="AC36" s="16" t="s">
        <v>334</v>
      </c>
      <c r="AD36" s="18">
        <f t="shared" si="4"/>
        <v>49.088399999999865</v>
      </c>
      <c r="AE36" s="18">
        <f t="shared" si="5"/>
        <v>1.9344000000000108</v>
      </c>
      <c r="AF36" s="18">
        <f t="shared" si="6"/>
        <v>2.0631999999999948</v>
      </c>
      <c r="AG36" s="18">
        <f t="shared" si="7"/>
        <v>2.141299999999994</v>
      </c>
      <c r="AH36" s="18">
        <f t="shared" si="8"/>
        <v>2.1507999999999967</v>
      </c>
      <c r="AI36" s="18">
        <f t="shared" si="9"/>
        <v>2.0970999999999975</v>
      </c>
      <c r="AJ36" s="18">
        <f t="shared" si="10"/>
        <v>2.0164999999999935</v>
      </c>
      <c r="AK36" s="18">
        <f t="shared" si="11"/>
        <v>1.9290999999999983</v>
      </c>
      <c r="AL36" s="18">
        <f t="shared" si="12"/>
        <v>1.8367999999999967</v>
      </c>
      <c r="AM36" s="18">
        <f t="shared" si="13"/>
        <v>1.7394999999999996</v>
      </c>
      <c r="AN36" s="18">
        <f t="shared" si="14"/>
        <v>1.6409999999999982</v>
      </c>
    </row>
    <row r="37" spans="1:40" x14ac:dyDescent="0.35">
      <c r="A37" s="16" t="s">
        <v>335</v>
      </c>
      <c r="B37" s="17">
        <v>18511.8436</v>
      </c>
      <c r="C37" s="18">
        <v>1090.5301999999999</v>
      </c>
      <c r="D37" s="18">
        <v>69.233900000000006</v>
      </c>
      <c r="E37" s="18">
        <v>63.134999999999998</v>
      </c>
      <c r="F37" s="18">
        <v>57.989400000000003</v>
      </c>
      <c r="G37" s="18">
        <v>53.539099999999998</v>
      </c>
      <c r="H37" s="18">
        <v>49.582900000000002</v>
      </c>
      <c r="I37" s="18">
        <v>46.005200000000002</v>
      </c>
      <c r="J37" s="18">
        <v>42.729399999999998</v>
      </c>
      <c r="K37" s="18">
        <v>39.697699999999998</v>
      </c>
      <c r="L37" s="18">
        <v>36.883600000000001</v>
      </c>
      <c r="M37" s="18">
        <v>34.273800000000001</v>
      </c>
      <c r="O37" s="16" t="s">
        <v>335</v>
      </c>
      <c r="P37" s="17">
        <v>18511.8436</v>
      </c>
      <c r="Q37" s="18">
        <v>1041.1874</v>
      </c>
      <c r="R37" s="18">
        <v>67.0916</v>
      </c>
      <c r="S37" s="18">
        <v>60.813000000000002</v>
      </c>
      <c r="T37" s="18">
        <v>55.611600000000003</v>
      </c>
      <c r="U37" s="18">
        <v>51.189100000000003</v>
      </c>
      <c r="V37" s="18">
        <v>47.307699999999997</v>
      </c>
      <c r="W37" s="18">
        <v>43.821300000000001</v>
      </c>
      <c r="X37" s="18">
        <v>40.637700000000002</v>
      </c>
      <c r="Y37" s="18">
        <v>37.699100000000001</v>
      </c>
      <c r="Z37" s="18">
        <v>34.985799999999998</v>
      </c>
      <c r="AA37" s="18">
        <v>32.486400000000003</v>
      </c>
      <c r="AC37" s="16" t="s">
        <v>335</v>
      </c>
      <c r="AD37" s="18">
        <f t="shared" si="4"/>
        <v>49.342799999999897</v>
      </c>
      <c r="AE37" s="18">
        <f t="shared" si="5"/>
        <v>2.1423000000000059</v>
      </c>
      <c r="AF37" s="18">
        <f t="shared" si="6"/>
        <v>2.3219999999999956</v>
      </c>
      <c r="AG37" s="18">
        <f t="shared" si="7"/>
        <v>2.3778000000000006</v>
      </c>
      <c r="AH37" s="18">
        <f t="shared" si="8"/>
        <v>2.3499999999999943</v>
      </c>
      <c r="AI37" s="18">
        <f t="shared" si="9"/>
        <v>2.2752000000000052</v>
      </c>
      <c r="AJ37" s="18">
        <f t="shared" si="10"/>
        <v>2.1839000000000013</v>
      </c>
      <c r="AK37" s="18">
        <f t="shared" si="11"/>
        <v>2.0916999999999959</v>
      </c>
      <c r="AL37" s="18">
        <f t="shared" si="12"/>
        <v>1.9985999999999962</v>
      </c>
      <c r="AM37" s="18">
        <f t="shared" si="13"/>
        <v>1.8978000000000037</v>
      </c>
      <c r="AN37" s="18">
        <f t="shared" si="14"/>
        <v>1.7873999999999981</v>
      </c>
    </row>
    <row r="38" spans="1:40" x14ac:dyDescent="0.35">
      <c r="A38" s="16" t="s">
        <v>336</v>
      </c>
      <c r="B38" s="17">
        <v>5585.0227999999997</v>
      </c>
      <c r="C38" s="18">
        <v>584.50109999999995</v>
      </c>
      <c r="D38" s="18">
        <v>46.764600000000002</v>
      </c>
      <c r="E38" s="18">
        <v>41.367100000000001</v>
      </c>
      <c r="F38" s="18">
        <v>36.863900000000001</v>
      </c>
      <c r="G38" s="18">
        <v>33.021799999999999</v>
      </c>
      <c r="H38" s="18">
        <v>29.718</v>
      </c>
      <c r="I38" s="18">
        <v>26.846</v>
      </c>
      <c r="J38" s="18">
        <v>24.333300000000001</v>
      </c>
      <c r="K38" s="18">
        <v>22.1294</v>
      </c>
      <c r="L38" s="18">
        <v>20.178699999999999</v>
      </c>
      <c r="M38" s="18">
        <v>18.436399999999999</v>
      </c>
      <c r="O38" s="16" t="s">
        <v>336</v>
      </c>
      <c r="P38" s="17">
        <v>5585.0227999999997</v>
      </c>
      <c r="Q38" s="18">
        <v>560.12670000000003</v>
      </c>
      <c r="R38" s="18">
        <v>44.539200000000001</v>
      </c>
      <c r="S38" s="18">
        <v>39.2697</v>
      </c>
      <c r="T38" s="18">
        <v>34.876100000000001</v>
      </c>
      <c r="U38" s="18">
        <v>31.197600000000001</v>
      </c>
      <c r="V38" s="18">
        <v>28.096599999999999</v>
      </c>
      <c r="W38" s="18">
        <v>25.4176</v>
      </c>
      <c r="X38" s="18">
        <v>23.0595</v>
      </c>
      <c r="Y38" s="18">
        <v>20.9786</v>
      </c>
      <c r="Z38" s="18">
        <v>19.144500000000001</v>
      </c>
      <c r="AA38" s="18">
        <v>17.528700000000001</v>
      </c>
      <c r="AC38" s="16" t="s">
        <v>336</v>
      </c>
      <c r="AD38" s="18">
        <f t="shared" si="4"/>
        <v>24.374399999999923</v>
      </c>
      <c r="AE38" s="18">
        <f t="shared" si="5"/>
        <v>2.2254000000000005</v>
      </c>
      <c r="AF38" s="18">
        <f t="shared" si="6"/>
        <v>2.0974000000000004</v>
      </c>
      <c r="AG38" s="18">
        <f t="shared" si="7"/>
        <v>1.9878</v>
      </c>
      <c r="AH38" s="18">
        <f t="shared" si="8"/>
        <v>1.8241999999999976</v>
      </c>
      <c r="AI38" s="18">
        <f t="shared" si="9"/>
        <v>1.6214000000000013</v>
      </c>
      <c r="AJ38" s="18">
        <f t="shared" si="10"/>
        <v>1.4283999999999999</v>
      </c>
      <c r="AK38" s="18">
        <f t="shared" si="11"/>
        <v>1.2738000000000014</v>
      </c>
      <c r="AL38" s="18">
        <f t="shared" si="12"/>
        <v>1.1508000000000003</v>
      </c>
      <c r="AM38" s="18">
        <f t="shared" si="13"/>
        <v>1.0341999999999985</v>
      </c>
      <c r="AN38" s="18">
        <f t="shared" si="14"/>
        <v>0.9076999999999984</v>
      </c>
    </row>
    <row r="39" spans="1:40" x14ac:dyDescent="0.35">
      <c r="A39" s="16" t="s">
        <v>337</v>
      </c>
      <c r="B39" s="17">
        <v>12495.939399999999</v>
      </c>
      <c r="C39" s="18">
        <v>992.73130000000003</v>
      </c>
      <c r="D39" s="18">
        <v>73.364599999999996</v>
      </c>
      <c r="E39" s="18">
        <v>66.386499999999998</v>
      </c>
      <c r="F39" s="18">
        <v>60.246200000000002</v>
      </c>
      <c r="G39" s="18">
        <v>54.931600000000003</v>
      </c>
      <c r="H39" s="18">
        <v>50.325200000000002</v>
      </c>
      <c r="I39" s="18">
        <v>46.281999999999996</v>
      </c>
      <c r="J39" s="18">
        <v>42.688200000000002</v>
      </c>
      <c r="K39" s="18">
        <v>39.4512</v>
      </c>
      <c r="L39" s="18">
        <v>36.504899999999999</v>
      </c>
      <c r="M39" s="18">
        <v>33.811500000000002</v>
      </c>
      <c r="O39" s="16" t="s">
        <v>337</v>
      </c>
      <c r="P39" s="17">
        <v>12495.939399999999</v>
      </c>
      <c r="Q39" s="18">
        <v>952.21929999999998</v>
      </c>
      <c r="R39" s="18">
        <v>70.908100000000005</v>
      </c>
      <c r="S39" s="18">
        <v>64.072400000000002</v>
      </c>
      <c r="T39" s="18">
        <v>58.038400000000003</v>
      </c>
      <c r="U39" s="18">
        <v>52.814999999999998</v>
      </c>
      <c r="V39" s="18">
        <v>48.281399999999998</v>
      </c>
      <c r="W39" s="18">
        <v>44.308100000000003</v>
      </c>
      <c r="X39" s="18">
        <v>40.796199999999999</v>
      </c>
      <c r="Y39" s="18">
        <v>37.661099999999998</v>
      </c>
      <c r="Z39" s="18">
        <v>34.834099999999999</v>
      </c>
      <c r="AA39" s="18">
        <v>32.2682</v>
      </c>
      <c r="AC39" s="16" t="s">
        <v>337</v>
      </c>
      <c r="AD39" s="18">
        <f t="shared" si="4"/>
        <v>40.512000000000057</v>
      </c>
      <c r="AE39" s="18">
        <f t="shared" si="5"/>
        <v>2.4564999999999912</v>
      </c>
      <c r="AF39" s="18">
        <f t="shared" si="6"/>
        <v>2.3140999999999963</v>
      </c>
      <c r="AG39" s="18">
        <f t="shared" si="7"/>
        <v>2.2077999999999989</v>
      </c>
      <c r="AH39" s="18">
        <f t="shared" si="8"/>
        <v>2.1166000000000054</v>
      </c>
      <c r="AI39" s="18">
        <f t="shared" si="9"/>
        <v>2.0438000000000045</v>
      </c>
      <c r="AJ39" s="18">
        <f t="shared" si="10"/>
        <v>1.9738999999999933</v>
      </c>
      <c r="AK39" s="18">
        <f t="shared" si="11"/>
        <v>1.892000000000003</v>
      </c>
      <c r="AL39" s="18">
        <f t="shared" si="12"/>
        <v>1.7901000000000025</v>
      </c>
      <c r="AM39" s="18">
        <f t="shared" si="13"/>
        <v>1.6707999999999998</v>
      </c>
      <c r="AN39" s="18">
        <f t="shared" si="14"/>
        <v>1.5433000000000021</v>
      </c>
    </row>
    <row r="40" spans="1:40" x14ac:dyDescent="0.35">
      <c r="A40" s="16" t="s">
        <v>338</v>
      </c>
      <c r="B40" s="17">
        <v>11191.4424</v>
      </c>
      <c r="C40" s="18">
        <v>617.02419999999995</v>
      </c>
      <c r="D40" s="18">
        <v>50.351900000000001</v>
      </c>
      <c r="E40" s="18">
        <v>43.716200000000001</v>
      </c>
      <c r="F40" s="18">
        <v>38.820900000000002</v>
      </c>
      <c r="G40" s="18">
        <v>34.9572</v>
      </c>
      <c r="H40" s="18">
        <v>31.6998</v>
      </c>
      <c r="I40" s="18">
        <v>28.862400000000001</v>
      </c>
      <c r="J40" s="18">
        <v>26.347799999999999</v>
      </c>
      <c r="K40" s="18">
        <v>24.093599999999999</v>
      </c>
      <c r="L40" s="18">
        <v>22.061</v>
      </c>
      <c r="M40" s="18">
        <v>20.221900000000002</v>
      </c>
      <c r="O40" s="16" t="s">
        <v>338</v>
      </c>
      <c r="P40" s="17">
        <v>11191.4424</v>
      </c>
      <c r="Q40" s="18">
        <v>591.41380000000004</v>
      </c>
      <c r="R40" s="18">
        <v>48.527000000000001</v>
      </c>
      <c r="S40" s="18">
        <v>42.008699999999997</v>
      </c>
      <c r="T40" s="18">
        <v>37.247700000000002</v>
      </c>
      <c r="U40" s="18">
        <v>33.5261</v>
      </c>
      <c r="V40" s="18">
        <v>30.411999999999999</v>
      </c>
      <c r="W40" s="18">
        <v>27.705500000000001</v>
      </c>
      <c r="X40" s="18">
        <v>25.302600000000002</v>
      </c>
      <c r="Y40" s="18">
        <v>23.138300000000001</v>
      </c>
      <c r="Z40" s="18">
        <v>21.175899999999999</v>
      </c>
      <c r="AA40" s="18">
        <v>19.394100000000002</v>
      </c>
      <c r="AC40" s="16" t="s">
        <v>338</v>
      </c>
      <c r="AD40" s="18">
        <f t="shared" si="4"/>
        <v>25.610399999999913</v>
      </c>
      <c r="AE40" s="18">
        <f t="shared" si="5"/>
        <v>1.8248999999999995</v>
      </c>
      <c r="AF40" s="18">
        <f t="shared" si="6"/>
        <v>1.7075000000000031</v>
      </c>
      <c r="AG40" s="18">
        <f t="shared" si="7"/>
        <v>1.5731999999999999</v>
      </c>
      <c r="AH40" s="18">
        <f t="shared" si="8"/>
        <v>1.4311000000000007</v>
      </c>
      <c r="AI40" s="18">
        <f t="shared" si="9"/>
        <v>1.2878000000000007</v>
      </c>
      <c r="AJ40" s="18">
        <f t="shared" si="10"/>
        <v>1.1569000000000003</v>
      </c>
      <c r="AK40" s="18">
        <f t="shared" si="11"/>
        <v>1.0451999999999977</v>
      </c>
      <c r="AL40" s="18">
        <f t="shared" si="12"/>
        <v>0.9552999999999976</v>
      </c>
      <c r="AM40" s="18">
        <f t="shared" si="13"/>
        <v>0.88510000000000133</v>
      </c>
      <c r="AN40" s="18">
        <f t="shared" si="14"/>
        <v>0.82779999999999987</v>
      </c>
    </row>
    <row r="41" spans="1:40" x14ac:dyDescent="0.35">
      <c r="A41" s="16" t="s">
        <v>339</v>
      </c>
      <c r="B41" s="17">
        <v>5787.5056999999997</v>
      </c>
      <c r="C41" s="18">
        <v>868.1952</v>
      </c>
      <c r="D41" s="18">
        <v>63.651600000000002</v>
      </c>
      <c r="E41" s="18">
        <v>57.154600000000002</v>
      </c>
      <c r="F41" s="18">
        <v>51.747300000000003</v>
      </c>
      <c r="G41" s="18">
        <v>47.270800000000001</v>
      </c>
      <c r="H41" s="18">
        <v>43.469099999999997</v>
      </c>
      <c r="I41" s="18">
        <v>40.158900000000003</v>
      </c>
      <c r="J41" s="18">
        <v>37.213700000000003</v>
      </c>
      <c r="K41" s="18">
        <v>34.551499999999997</v>
      </c>
      <c r="L41" s="18">
        <v>32.0242</v>
      </c>
      <c r="M41" s="18">
        <v>29.679500000000001</v>
      </c>
      <c r="O41" s="16" t="s">
        <v>339</v>
      </c>
      <c r="P41" s="17">
        <v>5787.5056999999997</v>
      </c>
      <c r="Q41" s="18">
        <v>834.4452</v>
      </c>
      <c r="R41" s="18">
        <v>61.603400000000001</v>
      </c>
      <c r="S41" s="18">
        <v>55.093499999999999</v>
      </c>
      <c r="T41" s="18">
        <v>49.8581</v>
      </c>
      <c r="U41" s="18">
        <v>45.572200000000002</v>
      </c>
      <c r="V41" s="18">
        <v>41.939599999999999</v>
      </c>
      <c r="W41" s="18">
        <v>38.772799999999997</v>
      </c>
      <c r="X41" s="18">
        <v>35.941299999999998</v>
      </c>
      <c r="Y41" s="18">
        <v>33.349800000000002</v>
      </c>
      <c r="Z41" s="18">
        <v>30.8001</v>
      </c>
      <c r="AA41" s="18">
        <v>28.445699999999999</v>
      </c>
      <c r="AC41" s="16" t="s">
        <v>339</v>
      </c>
      <c r="AD41" s="18">
        <f t="shared" si="4"/>
        <v>33.75</v>
      </c>
      <c r="AE41" s="18">
        <f t="shared" si="5"/>
        <v>2.0482000000000014</v>
      </c>
      <c r="AF41" s="18">
        <f t="shared" si="6"/>
        <v>2.0611000000000033</v>
      </c>
      <c r="AG41" s="18">
        <f t="shared" si="7"/>
        <v>1.8892000000000024</v>
      </c>
      <c r="AH41" s="18">
        <f t="shared" si="8"/>
        <v>1.698599999999999</v>
      </c>
      <c r="AI41" s="18">
        <f t="shared" si="9"/>
        <v>1.5294999999999987</v>
      </c>
      <c r="AJ41" s="18">
        <f t="shared" si="10"/>
        <v>1.3861000000000061</v>
      </c>
      <c r="AK41" s="18">
        <f t="shared" si="11"/>
        <v>1.2724000000000046</v>
      </c>
      <c r="AL41" s="18">
        <f t="shared" si="12"/>
        <v>1.2016999999999953</v>
      </c>
      <c r="AM41" s="18">
        <f t="shared" si="13"/>
        <v>1.2241</v>
      </c>
      <c r="AN41" s="18">
        <f t="shared" si="14"/>
        <v>1.2338000000000022</v>
      </c>
    </row>
    <row r="42" spans="1:40" x14ac:dyDescent="0.35">
      <c r="A42" s="16" t="s">
        <v>318</v>
      </c>
      <c r="B42" s="17">
        <v>18531.893400000001</v>
      </c>
      <c r="C42" s="18">
        <v>1182.2701</v>
      </c>
      <c r="D42" s="18">
        <v>67.289599999999993</v>
      </c>
      <c r="E42" s="18">
        <v>61.576000000000001</v>
      </c>
      <c r="F42" s="18">
        <v>56.746499999999997</v>
      </c>
      <c r="G42" s="18">
        <v>52.565899999999999</v>
      </c>
      <c r="H42" s="18">
        <v>48.865600000000001</v>
      </c>
      <c r="I42" s="18">
        <v>45.54</v>
      </c>
      <c r="J42" s="18">
        <v>42.4876</v>
      </c>
      <c r="K42" s="18">
        <v>39.712699999999998</v>
      </c>
      <c r="L42" s="18">
        <v>37.167999999999999</v>
      </c>
      <c r="M42" s="18">
        <v>34.827399999999997</v>
      </c>
      <c r="O42" s="16" t="s">
        <v>318</v>
      </c>
      <c r="P42" s="17">
        <v>18531.893400000001</v>
      </c>
      <c r="Q42" s="18">
        <v>1137.9925000000001</v>
      </c>
      <c r="R42" s="18">
        <v>65.417000000000002</v>
      </c>
      <c r="S42" s="18">
        <v>59.511800000000001</v>
      </c>
      <c r="T42" s="18">
        <v>54.584800000000001</v>
      </c>
      <c r="U42" s="18">
        <v>50.4146</v>
      </c>
      <c r="V42" s="18">
        <v>46.803199999999997</v>
      </c>
      <c r="W42" s="18">
        <v>43.6038</v>
      </c>
      <c r="X42" s="18">
        <v>40.6858</v>
      </c>
      <c r="Y42" s="18">
        <v>38.037300000000002</v>
      </c>
      <c r="Z42" s="18">
        <v>35.605400000000003</v>
      </c>
      <c r="AA42" s="18">
        <v>33.3628</v>
      </c>
      <c r="AC42" s="16" t="s">
        <v>318</v>
      </c>
      <c r="AD42" s="18">
        <f t="shared" si="4"/>
        <v>44.277599999999893</v>
      </c>
      <c r="AE42" s="18">
        <f t="shared" si="5"/>
        <v>1.8725999999999914</v>
      </c>
      <c r="AF42" s="18">
        <f t="shared" si="6"/>
        <v>2.0641999999999996</v>
      </c>
      <c r="AG42" s="18">
        <f t="shared" si="7"/>
        <v>2.1616999999999962</v>
      </c>
      <c r="AH42" s="18">
        <f t="shared" si="8"/>
        <v>2.1512999999999991</v>
      </c>
      <c r="AI42" s="18">
        <f t="shared" si="9"/>
        <v>2.0624000000000038</v>
      </c>
      <c r="AJ42" s="18">
        <f t="shared" si="10"/>
        <v>1.9361999999999995</v>
      </c>
      <c r="AK42" s="18">
        <f t="shared" si="11"/>
        <v>1.8018000000000001</v>
      </c>
      <c r="AL42" s="18">
        <f t="shared" si="12"/>
        <v>1.6753999999999962</v>
      </c>
      <c r="AM42" s="18">
        <f t="shared" si="13"/>
        <v>1.5625999999999962</v>
      </c>
      <c r="AN42" s="18">
        <f t="shared" si="14"/>
        <v>1.4645999999999972</v>
      </c>
    </row>
    <row r="43" spans="1:40" x14ac:dyDescent="0.35">
      <c r="A43" s="16" t="s">
        <v>507</v>
      </c>
      <c r="B43" s="17">
        <v>86260.764299999995</v>
      </c>
      <c r="C43" s="18">
        <v>967.23040000000003</v>
      </c>
      <c r="D43" s="18">
        <v>62.721200000000003</v>
      </c>
      <c r="E43" s="18">
        <v>56.9345</v>
      </c>
      <c r="F43" s="18">
        <v>52.138399999999997</v>
      </c>
      <c r="G43" s="18">
        <v>48.028500000000001</v>
      </c>
      <c r="H43" s="18">
        <v>44.409799999999997</v>
      </c>
      <c r="I43" s="18">
        <v>41.164400000000001</v>
      </c>
      <c r="J43" s="18">
        <v>38.212000000000003</v>
      </c>
      <c r="K43" s="18">
        <v>35.520499999999998</v>
      </c>
      <c r="L43" s="18">
        <v>33.051400000000001</v>
      </c>
      <c r="M43" s="18">
        <v>30.7804</v>
      </c>
      <c r="O43" s="16" t="s">
        <v>507</v>
      </c>
      <c r="P43" s="17">
        <v>86260.764299999995</v>
      </c>
      <c r="Q43" s="18">
        <v>928.96960000000001</v>
      </c>
      <c r="R43" s="18">
        <v>60.320999999999998</v>
      </c>
      <c r="S43" s="18">
        <v>54.743499999999997</v>
      </c>
      <c r="T43" s="18">
        <v>50.092100000000002</v>
      </c>
      <c r="U43" s="18">
        <v>46.107700000000001</v>
      </c>
      <c r="V43" s="18">
        <v>42.608600000000003</v>
      </c>
      <c r="W43" s="18">
        <v>39.477499999999999</v>
      </c>
      <c r="X43" s="18">
        <v>36.631999999999998</v>
      </c>
      <c r="Y43" s="18">
        <v>34.040599999999998</v>
      </c>
      <c r="Z43" s="18">
        <v>31.664000000000001</v>
      </c>
      <c r="AA43" s="18">
        <v>29.485199999999999</v>
      </c>
      <c r="AC43" s="16" t="s">
        <v>507</v>
      </c>
      <c r="AD43" s="18">
        <f t="shared" si="4"/>
        <v>38.260800000000017</v>
      </c>
      <c r="AE43" s="18">
        <f t="shared" si="5"/>
        <v>2.4002000000000052</v>
      </c>
      <c r="AF43" s="18">
        <f t="shared" si="6"/>
        <v>2.1910000000000025</v>
      </c>
      <c r="AG43" s="18">
        <f t="shared" si="7"/>
        <v>2.0462999999999951</v>
      </c>
      <c r="AH43" s="18">
        <f t="shared" si="8"/>
        <v>1.9207999999999998</v>
      </c>
      <c r="AI43" s="18">
        <f t="shared" si="9"/>
        <v>1.8011999999999944</v>
      </c>
      <c r="AJ43" s="18">
        <f t="shared" si="10"/>
        <v>1.6869000000000014</v>
      </c>
      <c r="AK43" s="18">
        <f t="shared" si="11"/>
        <v>1.5800000000000054</v>
      </c>
      <c r="AL43" s="18">
        <f t="shared" si="12"/>
        <v>1.4799000000000007</v>
      </c>
      <c r="AM43" s="18">
        <f t="shared" si="13"/>
        <v>1.3873999999999995</v>
      </c>
      <c r="AN43" s="18">
        <f t="shared" si="14"/>
        <v>1.2952000000000012</v>
      </c>
    </row>
    <row r="44" spans="1:40" x14ac:dyDescent="0.35">
      <c r="A44" s="16" t="s">
        <v>508</v>
      </c>
      <c r="B44" s="17">
        <v>60544.712800000001</v>
      </c>
      <c r="C44" s="18">
        <v>794.49490000000003</v>
      </c>
      <c r="D44" s="18">
        <v>58.005800000000001</v>
      </c>
      <c r="E44" s="18">
        <v>51.749899999999997</v>
      </c>
      <c r="F44" s="18">
        <v>46.778500000000001</v>
      </c>
      <c r="G44" s="18">
        <v>42.632399999999997</v>
      </c>
      <c r="H44" s="18">
        <v>39.046199999999999</v>
      </c>
      <c r="I44" s="18">
        <v>35.883099999999999</v>
      </c>
      <c r="J44" s="18">
        <v>33.055900000000001</v>
      </c>
      <c r="K44" s="18">
        <v>30.501300000000001</v>
      </c>
      <c r="L44" s="18">
        <v>28.162600000000001</v>
      </c>
      <c r="M44" s="18">
        <v>26.029</v>
      </c>
      <c r="O44" s="16" t="s">
        <v>508</v>
      </c>
      <c r="P44" s="17">
        <v>60544.712800000001</v>
      </c>
      <c r="Q44" s="18">
        <v>760.91049999999996</v>
      </c>
      <c r="R44" s="18">
        <v>55.431699999999999</v>
      </c>
      <c r="S44" s="18">
        <v>49.537700000000001</v>
      </c>
      <c r="T44" s="18">
        <v>44.818800000000003</v>
      </c>
      <c r="U44" s="18">
        <v>40.853700000000003</v>
      </c>
      <c r="V44" s="18">
        <v>37.405700000000003</v>
      </c>
      <c r="W44" s="18">
        <v>34.3568</v>
      </c>
      <c r="X44" s="18">
        <v>31.630400000000002</v>
      </c>
      <c r="Y44" s="18">
        <v>29.169599999999999</v>
      </c>
      <c r="Z44" s="18">
        <v>26.9206</v>
      </c>
      <c r="AA44" s="18">
        <v>24.874099999999999</v>
      </c>
      <c r="AC44" s="16" t="s">
        <v>508</v>
      </c>
      <c r="AD44" s="18">
        <f t="shared" si="4"/>
        <v>33.584400000000073</v>
      </c>
      <c r="AE44" s="18">
        <f t="shared" si="5"/>
        <v>2.5741000000000014</v>
      </c>
      <c r="AF44" s="18">
        <f t="shared" si="6"/>
        <v>2.2121999999999957</v>
      </c>
      <c r="AG44" s="18">
        <f t="shared" si="7"/>
        <v>1.959699999999998</v>
      </c>
      <c r="AH44" s="18">
        <f t="shared" si="8"/>
        <v>1.7786999999999935</v>
      </c>
      <c r="AI44" s="18">
        <f t="shared" si="9"/>
        <v>1.6404999999999959</v>
      </c>
      <c r="AJ44" s="18">
        <f t="shared" si="10"/>
        <v>1.5262999999999991</v>
      </c>
      <c r="AK44" s="18">
        <f t="shared" si="11"/>
        <v>1.4254999999999995</v>
      </c>
      <c r="AL44" s="18">
        <f t="shared" si="12"/>
        <v>1.3317000000000014</v>
      </c>
      <c r="AM44" s="18">
        <f t="shared" si="13"/>
        <v>1.2420000000000009</v>
      </c>
      <c r="AN44" s="18">
        <f t="shared" si="14"/>
        <v>1.1549000000000014</v>
      </c>
    </row>
    <row r="45" spans="1:40" x14ac:dyDescent="0.35">
      <c r="A45" s="16" t="s">
        <v>509</v>
      </c>
      <c r="B45" s="17"/>
      <c r="C45" s="18">
        <f>AVERAGE(C26,C37)</f>
        <v>1115.7371499999999</v>
      </c>
      <c r="D45" s="18">
        <f t="shared" ref="D45:M45" si="15">AVERAGE(D26,D37)</f>
        <v>66.841350000000006</v>
      </c>
      <c r="E45" s="18">
        <f t="shared" si="15"/>
        <v>60.865200000000002</v>
      </c>
      <c r="F45" s="18">
        <f t="shared" si="15"/>
        <v>55.868400000000001</v>
      </c>
      <c r="G45" s="18">
        <f t="shared" si="15"/>
        <v>51.5672</v>
      </c>
      <c r="H45" s="18">
        <f t="shared" si="15"/>
        <v>47.77975</v>
      </c>
      <c r="I45" s="18">
        <f t="shared" si="15"/>
        <v>44.392499999999998</v>
      </c>
      <c r="J45" s="18">
        <f t="shared" si="15"/>
        <v>41.301600000000001</v>
      </c>
      <c r="K45" s="18">
        <f t="shared" si="15"/>
        <v>38.495549999999994</v>
      </c>
      <c r="L45" s="18">
        <f t="shared" si="15"/>
        <v>35.923249999999996</v>
      </c>
      <c r="M45" s="18">
        <f t="shared" si="15"/>
        <v>33.555500000000002</v>
      </c>
      <c r="O45" s="16" t="s">
        <v>509</v>
      </c>
      <c r="P45" s="17"/>
      <c r="Q45" s="18">
        <f>AVERAGE(Q26,Q37)</f>
        <v>1074.2501499999998</v>
      </c>
      <c r="R45" s="18">
        <f t="shared" ref="R45:AA45" si="16">AVERAGE(R26,R37)</f>
        <v>65.049199999999999</v>
      </c>
      <c r="S45" s="18">
        <f t="shared" si="16"/>
        <v>58.952350000000003</v>
      </c>
      <c r="T45" s="18">
        <f t="shared" si="16"/>
        <v>53.912199999999999</v>
      </c>
      <c r="U45" s="18">
        <f t="shared" si="16"/>
        <v>49.6387</v>
      </c>
      <c r="V45" s="18">
        <f t="shared" si="16"/>
        <v>45.921750000000003</v>
      </c>
      <c r="W45" s="18">
        <f t="shared" si="16"/>
        <v>42.624899999999997</v>
      </c>
      <c r="X45" s="18">
        <f t="shared" si="16"/>
        <v>39.6312</v>
      </c>
      <c r="Y45" s="18">
        <f t="shared" si="16"/>
        <v>36.922899999999998</v>
      </c>
      <c r="Z45" s="18">
        <f t="shared" si="16"/>
        <v>34.446449999999999</v>
      </c>
      <c r="AA45" s="18">
        <f t="shared" si="16"/>
        <v>32.1708</v>
      </c>
      <c r="AC45" s="16" t="s">
        <v>509</v>
      </c>
      <c r="AD45" s="18">
        <f t="shared" si="4"/>
        <v>41.48700000000008</v>
      </c>
      <c r="AE45" s="18">
        <f t="shared" si="5"/>
        <v>1.7921500000000066</v>
      </c>
      <c r="AF45" s="18">
        <f t="shared" si="6"/>
        <v>1.9128499999999988</v>
      </c>
      <c r="AG45" s="18">
        <f t="shared" si="7"/>
        <v>1.9562000000000026</v>
      </c>
      <c r="AH45" s="18">
        <f t="shared" si="8"/>
        <v>1.9284999999999997</v>
      </c>
      <c r="AI45" s="18">
        <f t="shared" si="9"/>
        <v>1.857999999999997</v>
      </c>
      <c r="AJ45" s="18">
        <f t="shared" si="10"/>
        <v>1.7676000000000016</v>
      </c>
      <c r="AK45" s="18">
        <f t="shared" si="11"/>
        <v>1.6704000000000008</v>
      </c>
      <c r="AL45" s="18">
        <f t="shared" si="12"/>
        <v>1.5726499999999959</v>
      </c>
      <c r="AM45" s="18">
        <f t="shared" si="13"/>
        <v>1.4767999999999972</v>
      </c>
      <c r="AN45" s="18">
        <f t="shared" si="14"/>
        <v>1.3847000000000023</v>
      </c>
    </row>
    <row r="46" spans="1:40" ht="12.75" customHeight="1" x14ac:dyDescent="0.35"/>
    <row r="47" spans="1:40" ht="12.75" customHeight="1" x14ac:dyDescent="0.35"/>
    <row r="48" spans="1:40" ht="12.75" customHeight="1" x14ac:dyDescent="0.35"/>
    <row r="49" ht="12.75" customHeight="1" x14ac:dyDescent="0.35"/>
    <row r="50" ht="12.75" customHeight="1" x14ac:dyDescent="0.35"/>
    <row r="51" ht="12.75" customHeight="1" x14ac:dyDescent="0.35"/>
    <row r="52" ht="12.75" customHeight="1" x14ac:dyDescent="0.35"/>
    <row r="53" ht="12.75" customHeight="1" x14ac:dyDescent="0.35"/>
    <row r="54" ht="12.75" customHeight="1" x14ac:dyDescent="0.35"/>
    <row r="55" ht="12.75" customHeight="1" x14ac:dyDescent="0.35"/>
    <row r="56" ht="12.75" customHeight="1" x14ac:dyDescent="0.35"/>
    <row r="57" ht="12.75" customHeight="1" x14ac:dyDescent="0.35"/>
    <row r="58" ht="12.75" customHeight="1" x14ac:dyDescent="0.35"/>
    <row r="59" ht="12.75" customHeight="1" x14ac:dyDescent="0.35"/>
    <row r="60" ht="12.75" customHeight="1" x14ac:dyDescent="0.35"/>
    <row r="61" ht="12.75" customHeight="1" x14ac:dyDescent="0.35"/>
    <row r="62" ht="12.75" customHeight="1" x14ac:dyDescent="0.35"/>
    <row r="63" ht="12.75" customHeight="1" x14ac:dyDescent="0.35"/>
    <row r="64" ht="12.75" customHeight="1" x14ac:dyDescent="0.35"/>
    <row r="65" ht="12.75" customHeight="1" x14ac:dyDescent="0.35"/>
    <row r="66" ht="12.75" customHeight="1" x14ac:dyDescent="0.35"/>
    <row r="67" ht="12.75" customHeight="1" x14ac:dyDescent="0.35"/>
    <row r="68" ht="12.75" customHeight="1" x14ac:dyDescent="0.35"/>
    <row r="69" ht="12.75" customHeight="1" x14ac:dyDescent="0.35"/>
    <row r="70" ht="12.75" customHeight="1" x14ac:dyDescent="0.35"/>
    <row r="71" ht="12.75" customHeight="1" x14ac:dyDescent="0.35"/>
    <row r="72" ht="12.75" customHeight="1" x14ac:dyDescent="0.35"/>
    <row r="73" ht="12.75" customHeight="1" x14ac:dyDescent="0.35"/>
    <row r="74" ht="12.75" customHeight="1" x14ac:dyDescent="0.35"/>
    <row r="75" ht="12.75" customHeight="1" x14ac:dyDescent="0.35"/>
    <row r="76" ht="12.75" customHeight="1" x14ac:dyDescent="0.35"/>
    <row r="77" ht="12.75" customHeight="1" x14ac:dyDescent="0.35"/>
    <row r="78" ht="12.75" customHeight="1" x14ac:dyDescent="0.35"/>
    <row r="79" ht="12.75" customHeight="1" x14ac:dyDescent="0.35"/>
    <row r="80" ht="12.75" customHeight="1" x14ac:dyDescent="0.35"/>
    <row r="81" ht="12.75" customHeight="1" x14ac:dyDescent="0.35"/>
    <row r="82" ht="12.75" customHeight="1" x14ac:dyDescent="0.35"/>
    <row r="83" ht="12.75" customHeight="1" x14ac:dyDescent="0.35"/>
    <row r="84" ht="12.75" customHeight="1" x14ac:dyDescent="0.35"/>
    <row r="85" ht="12.75" customHeight="1" x14ac:dyDescent="0.35"/>
    <row r="86" ht="12.75" customHeight="1" x14ac:dyDescent="0.35"/>
    <row r="87" ht="12.75" customHeight="1" x14ac:dyDescent="0.35"/>
    <row r="88" ht="12.75" customHeight="1" x14ac:dyDescent="0.35"/>
    <row r="89" ht="12.75" customHeight="1" x14ac:dyDescent="0.35"/>
    <row r="90" ht="12.75" customHeight="1" x14ac:dyDescent="0.35"/>
    <row r="91" ht="12.75" customHeight="1" x14ac:dyDescent="0.35"/>
    <row r="92" ht="12.75" customHeight="1" x14ac:dyDescent="0.35"/>
    <row r="93" ht="12.75" customHeight="1" x14ac:dyDescent="0.35"/>
    <row r="94" ht="12.75" customHeight="1" x14ac:dyDescent="0.35"/>
    <row r="95" ht="12.75" customHeight="1" x14ac:dyDescent="0.35"/>
    <row r="96" ht="12.75" customHeight="1" x14ac:dyDescent="0.35"/>
    <row r="97" ht="12.75" customHeight="1" x14ac:dyDescent="0.35"/>
    <row r="98" ht="12.75" customHeight="1" x14ac:dyDescent="0.35"/>
    <row r="99" ht="12.75" customHeight="1" x14ac:dyDescent="0.35"/>
    <row r="100" ht="12.75" customHeight="1" x14ac:dyDescent="0.35"/>
    <row r="101" ht="12.75" customHeight="1" x14ac:dyDescent="0.35"/>
    <row r="102" ht="12.75" customHeight="1" x14ac:dyDescent="0.35"/>
    <row r="103" ht="12.75" customHeight="1" x14ac:dyDescent="0.35"/>
    <row r="104" ht="12.75" customHeight="1" x14ac:dyDescent="0.35"/>
    <row r="105" ht="12.75" customHeight="1" x14ac:dyDescent="0.35"/>
    <row r="106" ht="12.75" customHeight="1" x14ac:dyDescent="0.35"/>
    <row r="107" ht="12.75" customHeight="1" x14ac:dyDescent="0.35"/>
    <row r="108" ht="12.75" customHeight="1" x14ac:dyDescent="0.35"/>
    <row r="109" ht="12.75" customHeight="1" x14ac:dyDescent="0.35"/>
    <row r="110" ht="12.75" customHeight="1" x14ac:dyDescent="0.35"/>
    <row r="111" ht="12.75" customHeight="1" x14ac:dyDescent="0.35"/>
    <row r="112" ht="12.75" customHeight="1" x14ac:dyDescent="0.35"/>
    <row r="113" ht="12.75" customHeight="1" x14ac:dyDescent="0.35"/>
    <row r="114" ht="12.75" customHeight="1" x14ac:dyDescent="0.35"/>
    <row r="115" ht="12.75" customHeight="1" x14ac:dyDescent="0.35"/>
    <row r="116" ht="12.75" customHeight="1" x14ac:dyDescent="0.35"/>
    <row r="117" ht="12.75" customHeight="1" x14ac:dyDescent="0.35"/>
    <row r="118" ht="12.75" customHeight="1" x14ac:dyDescent="0.35"/>
    <row r="119" ht="12.75" customHeight="1" x14ac:dyDescent="0.35"/>
    <row r="120" ht="12.75" customHeight="1" x14ac:dyDescent="0.35"/>
    <row r="121" ht="12.75" customHeight="1" x14ac:dyDescent="0.35"/>
    <row r="122" ht="12.75" customHeight="1" x14ac:dyDescent="0.35"/>
    <row r="123" ht="12.75" customHeight="1" x14ac:dyDescent="0.35"/>
    <row r="124" ht="12.75" customHeight="1" x14ac:dyDescent="0.35"/>
    <row r="125" ht="12.75" customHeight="1" x14ac:dyDescent="0.35"/>
    <row r="126" ht="12.75" customHeight="1" x14ac:dyDescent="0.35"/>
    <row r="127" ht="12.75" customHeight="1" x14ac:dyDescent="0.35"/>
    <row r="128" ht="12.75" customHeight="1" x14ac:dyDescent="0.35"/>
    <row r="129" ht="12.75" customHeight="1" x14ac:dyDescent="0.35"/>
    <row r="130" ht="12.75" customHeight="1" x14ac:dyDescent="0.35"/>
    <row r="131" ht="12.75" customHeight="1" x14ac:dyDescent="0.35"/>
    <row r="132" ht="12.75" customHeight="1" x14ac:dyDescent="0.35"/>
    <row r="133" ht="12.75" customHeight="1" x14ac:dyDescent="0.35"/>
    <row r="134" ht="12.75" customHeight="1" x14ac:dyDescent="0.35"/>
    <row r="135" ht="12.75" customHeight="1" x14ac:dyDescent="0.35"/>
    <row r="136" ht="12.75" customHeight="1" x14ac:dyDescent="0.35"/>
    <row r="137" ht="12.75" customHeight="1" x14ac:dyDescent="0.35"/>
    <row r="138" ht="12.75" customHeight="1" x14ac:dyDescent="0.35"/>
    <row r="139" ht="12.75" customHeight="1" x14ac:dyDescent="0.35"/>
    <row r="140" ht="12.75" customHeight="1" x14ac:dyDescent="0.35"/>
    <row r="141" ht="12.75" customHeight="1" x14ac:dyDescent="0.35"/>
    <row r="142" ht="12.75" customHeight="1" x14ac:dyDescent="0.35"/>
    <row r="143" ht="12.75" customHeight="1" x14ac:dyDescent="0.35"/>
    <row r="144" ht="12.75" customHeight="1" x14ac:dyDescent="0.35"/>
    <row r="145" ht="12.75" customHeight="1" x14ac:dyDescent="0.35"/>
    <row r="146" ht="12.75" customHeight="1" x14ac:dyDescent="0.35"/>
    <row r="147" ht="12.75" customHeight="1" x14ac:dyDescent="0.35"/>
    <row r="148" ht="12.75" customHeight="1" x14ac:dyDescent="0.35"/>
    <row r="149" ht="12.75" customHeight="1" x14ac:dyDescent="0.35"/>
    <row r="150" ht="12.75" customHeight="1" x14ac:dyDescent="0.35"/>
    <row r="151" ht="12.75" customHeight="1" x14ac:dyDescent="0.35"/>
    <row r="152" ht="12.75" customHeight="1" x14ac:dyDescent="0.35"/>
    <row r="153" ht="12.75" customHeight="1" x14ac:dyDescent="0.35"/>
    <row r="154" ht="12.75" customHeight="1" x14ac:dyDescent="0.35"/>
    <row r="155" ht="12.75" customHeight="1" x14ac:dyDescent="0.35"/>
    <row r="156" ht="12.75" customHeight="1" x14ac:dyDescent="0.35"/>
    <row r="157" ht="12.75" customHeight="1" x14ac:dyDescent="0.35"/>
    <row r="158" ht="12.75" customHeight="1" x14ac:dyDescent="0.35"/>
    <row r="159" ht="12.75" customHeight="1" x14ac:dyDescent="0.35"/>
    <row r="160" ht="12.75" customHeight="1" x14ac:dyDescent="0.35"/>
    <row r="161" ht="12.75" customHeight="1" x14ac:dyDescent="0.35"/>
    <row r="162" ht="12.75" customHeight="1" x14ac:dyDescent="0.35"/>
    <row r="163" ht="12.75" customHeight="1" x14ac:dyDescent="0.35"/>
    <row r="164" ht="12.75" customHeight="1" x14ac:dyDescent="0.35"/>
    <row r="165" ht="12.75" customHeight="1" x14ac:dyDescent="0.35"/>
    <row r="166" ht="12.75" customHeight="1" x14ac:dyDescent="0.35"/>
    <row r="167" ht="12.75" customHeight="1" x14ac:dyDescent="0.35"/>
    <row r="168" ht="12.75" customHeight="1" x14ac:dyDescent="0.35"/>
    <row r="169" ht="12.75" customHeight="1" x14ac:dyDescent="0.35"/>
    <row r="170" ht="12.75" customHeight="1" x14ac:dyDescent="0.35"/>
    <row r="171" ht="12.75" customHeight="1" x14ac:dyDescent="0.35"/>
    <row r="172" ht="12.75" customHeight="1" x14ac:dyDescent="0.35"/>
    <row r="173" ht="12.75" customHeight="1" x14ac:dyDescent="0.35"/>
    <row r="174" ht="12.75" customHeight="1" x14ac:dyDescent="0.35"/>
    <row r="175" ht="12.75" customHeight="1" x14ac:dyDescent="0.35"/>
    <row r="176" ht="12.75" customHeight="1" x14ac:dyDescent="0.35"/>
    <row r="177" ht="12.75" customHeight="1" x14ac:dyDescent="0.35"/>
    <row r="178" ht="12.75" customHeight="1" x14ac:dyDescent="0.35"/>
    <row r="179" ht="12.75" customHeight="1" x14ac:dyDescent="0.35"/>
    <row r="180" ht="12.75" customHeight="1" x14ac:dyDescent="0.35"/>
    <row r="181" ht="12.75" customHeight="1" x14ac:dyDescent="0.35"/>
    <row r="182" ht="12.75" customHeight="1" x14ac:dyDescent="0.35"/>
    <row r="183" ht="12.75" customHeight="1" x14ac:dyDescent="0.35"/>
    <row r="184" ht="12.75" customHeight="1" x14ac:dyDescent="0.35"/>
    <row r="185" ht="12.75" customHeight="1" x14ac:dyDescent="0.35"/>
    <row r="186" ht="12.75" customHeight="1" x14ac:dyDescent="0.35"/>
    <row r="187" ht="12.75" customHeight="1" x14ac:dyDescent="0.35"/>
    <row r="188" ht="12.75" customHeight="1" x14ac:dyDescent="0.35"/>
    <row r="189" ht="12.75" customHeight="1" x14ac:dyDescent="0.35"/>
    <row r="190" ht="12.75" customHeight="1" x14ac:dyDescent="0.35"/>
    <row r="191" ht="12.75" customHeight="1" x14ac:dyDescent="0.35"/>
    <row r="192" ht="12.75" customHeight="1" x14ac:dyDescent="0.35"/>
    <row r="193" ht="12.75" customHeight="1" x14ac:dyDescent="0.35"/>
    <row r="194" ht="12.75" customHeight="1" x14ac:dyDescent="0.35"/>
    <row r="195" ht="12.75" customHeight="1" x14ac:dyDescent="0.35"/>
    <row r="196" ht="12.75" customHeight="1" x14ac:dyDescent="0.35"/>
    <row r="197" ht="12.75" customHeight="1" x14ac:dyDescent="0.35"/>
    <row r="198" ht="12.75" customHeight="1" x14ac:dyDescent="0.35"/>
    <row r="199" ht="12.75" customHeight="1" x14ac:dyDescent="0.35"/>
    <row r="200" ht="12.75" customHeight="1" x14ac:dyDescent="0.35"/>
    <row r="201" ht="12.75" customHeight="1" x14ac:dyDescent="0.35"/>
    <row r="202" ht="12.75" customHeight="1" x14ac:dyDescent="0.35"/>
    <row r="203" ht="12.75" customHeight="1" x14ac:dyDescent="0.35"/>
    <row r="204" ht="12.75" customHeight="1" x14ac:dyDescent="0.35"/>
    <row r="205" ht="12.75" customHeight="1" x14ac:dyDescent="0.35"/>
    <row r="206" ht="12.75" customHeight="1" x14ac:dyDescent="0.35"/>
    <row r="207" ht="12.75" customHeight="1" x14ac:dyDescent="0.35"/>
    <row r="208" ht="12.75" customHeight="1" x14ac:dyDescent="0.35"/>
    <row r="209" ht="12.75" customHeight="1" x14ac:dyDescent="0.35"/>
    <row r="210" ht="12.75" customHeight="1" x14ac:dyDescent="0.35"/>
    <row r="211" ht="12.75" customHeight="1" x14ac:dyDescent="0.35"/>
    <row r="212" ht="12.75" customHeight="1" x14ac:dyDescent="0.35"/>
    <row r="213" ht="12.75" customHeight="1" x14ac:dyDescent="0.35"/>
    <row r="214" ht="12.75" customHeight="1" x14ac:dyDescent="0.35"/>
    <row r="215" ht="12.75" customHeight="1" x14ac:dyDescent="0.35"/>
    <row r="216" ht="12.75" customHeight="1" x14ac:dyDescent="0.35"/>
    <row r="217" ht="12.75" customHeight="1" x14ac:dyDescent="0.35"/>
    <row r="218" ht="12.75" customHeight="1" x14ac:dyDescent="0.35"/>
    <row r="219" ht="12.75" customHeight="1" x14ac:dyDescent="0.35"/>
    <row r="220" ht="12.75" customHeight="1" x14ac:dyDescent="0.35"/>
    <row r="221" ht="12.75" customHeight="1" x14ac:dyDescent="0.35"/>
    <row r="222" ht="12.75" customHeight="1" x14ac:dyDescent="0.35"/>
    <row r="223" ht="12.75" customHeight="1" x14ac:dyDescent="0.35"/>
    <row r="224" ht="12.75" customHeight="1" x14ac:dyDescent="0.35"/>
    <row r="225" ht="12.75" customHeight="1" x14ac:dyDescent="0.35"/>
    <row r="226" ht="12.75" customHeight="1" x14ac:dyDescent="0.35"/>
    <row r="227" ht="12.75" customHeight="1" x14ac:dyDescent="0.35"/>
    <row r="228" ht="12.75" customHeight="1" x14ac:dyDescent="0.35"/>
    <row r="229" ht="12.75" customHeight="1" x14ac:dyDescent="0.35"/>
    <row r="230" ht="12.75" customHeight="1" x14ac:dyDescent="0.35"/>
    <row r="231" ht="12.75" customHeight="1" x14ac:dyDescent="0.35"/>
    <row r="232" ht="12.75" customHeight="1" x14ac:dyDescent="0.35"/>
    <row r="233" ht="12.75" customHeight="1" x14ac:dyDescent="0.35"/>
    <row r="234" ht="12.75" customHeight="1" x14ac:dyDescent="0.35"/>
    <row r="235" ht="12.75" customHeight="1" x14ac:dyDescent="0.35"/>
    <row r="236" ht="12.75" customHeight="1" x14ac:dyDescent="0.35"/>
    <row r="237" ht="12.75" customHeight="1" x14ac:dyDescent="0.35"/>
    <row r="238" ht="12.75" customHeight="1" x14ac:dyDescent="0.35"/>
    <row r="239" ht="12.75" customHeight="1" x14ac:dyDescent="0.35"/>
    <row r="240" ht="12.75" customHeight="1" x14ac:dyDescent="0.35"/>
    <row r="241" ht="12.75" customHeight="1" x14ac:dyDescent="0.35"/>
    <row r="242" ht="12.75" customHeight="1" x14ac:dyDescent="0.35"/>
    <row r="243" ht="12.75" customHeight="1" x14ac:dyDescent="0.35"/>
    <row r="244" ht="12.75" customHeight="1" x14ac:dyDescent="0.35"/>
    <row r="245" ht="12.75" customHeight="1" x14ac:dyDescent="0.35"/>
    <row r="246" ht="12.75" customHeight="1" x14ac:dyDescent="0.35"/>
    <row r="247" ht="12.75" customHeight="1" x14ac:dyDescent="0.35"/>
    <row r="248" ht="12.75" customHeight="1" x14ac:dyDescent="0.35"/>
    <row r="249" ht="12.75" customHeight="1" x14ac:dyDescent="0.35"/>
    <row r="250" ht="12.75" customHeight="1" x14ac:dyDescent="0.35"/>
    <row r="251" ht="12.75" customHeight="1" x14ac:dyDescent="0.35"/>
    <row r="252" ht="12.75" customHeight="1" x14ac:dyDescent="0.35"/>
    <row r="253" ht="12.75" customHeight="1" x14ac:dyDescent="0.35"/>
    <row r="254" ht="12.75" customHeight="1" x14ac:dyDescent="0.35"/>
    <row r="255" ht="12.75" customHeight="1" x14ac:dyDescent="0.35"/>
    <row r="256" ht="12.75" customHeight="1" x14ac:dyDescent="0.35"/>
    <row r="257" ht="12.75" customHeight="1" x14ac:dyDescent="0.35"/>
    <row r="258" ht="12.75" customHeight="1" x14ac:dyDescent="0.35"/>
    <row r="259" ht="12.75" customHeight="1" x14ac:dyDescent="0.35"/>
    <row r="260" ht="12.75" customHeight="1" x14ac:dyDescent="0.35"/>
    <row r="261" ht="12.75" customHeight="1" x14ac:dyDescent="0.35"/>
    <row r="262" ht="12.75" customHeight="1" x14ac:dyDescent="0.35"/>
    <row r="263" ht="12.75" customHeight="1" x14ac:dyDescent="0.35"/>
    <row r="264" ht="12.75" customHeight="1" x14ac:dyDescent="0.35"/>
    <row r="265" ht="12.75" customHeight="1" x14ac:dyDescent="0.35"/>
    <row r="266" ht="12.75" customHeight="1" x14ac:dyDescent="0.35"/>
    <row r="267" ht="12.75" customHeight="1" x14ac:dyDescent="0.35"/>
    <row r="268" ht="12.75" customHeight="1" x14ac:dyDescent="0.35"/>
    <row r="269" ht="12.75" customHeight="1" x14ac:dyDescent="0.35"/>
    <row r="270" ht="12.75" customHeight="1" x14ac:dyDescent="0.35"/>
    <row r="271" ht="12.75" customHeight="1" x14ac:dyDescent="0.35"/>
    <row r="272" ht="12.75" customHeight="1" x14ac:dyDescent="0.35"/>
    <row r="273" ht="12.75" customHeight="1" x14ac:dyDescent="0.35"/>
    <row r="274" ht="12.75" customHeight="1" x14ac:dyDescent="0.35"/>
    <row r="275" ht="12.75" customHeight="1" x14ac:dyDescent="0.35"/>
    <row r="276" ht="12.75" customHeight="1" x14ac:dyDescent="0.35"/>
    <row r="277" ht="12.75" customHeight="1" x14ac:dyDescent="0.35"/>
    <row r="278" ht="12.75" customHeight="1" x14ac:dyDescent="0.35"/>
    <row r="279" ht="12.75" customHeight="1" x14ac:dyDescent="0.35"/>
    <row r="280" ht="12.75" customHeight="1" x14ac:dyDescent="0.35"/>
    <row r="281" ht="12.75" customHeight="1" x14ac:dyDescent="0.35"/>
    <row r="282" ht="12.75" customHeight="1" x14ac:dyDescent="0.35"/>
    <row r="283" ht="12.75" customHeight="1" x14ac:dyDescent="0.35"/>
    <row r="284" ht="12.75" customHeight="1" x14ac:dyDescent="0.35"/>
    <row r="285" ht="12.75" customHeight="1" x14ac:dyDescent="0.35"/>
    <row r="286" ht="12.75" customHeight="1" x14ac:dyDescent="0.35"/>
    <row r="287" ht="12.75" customHeight="1" x14ac:dyDescent="0.35"/>
    <row r="288" ht="12.75" customHeight="1" x14ac:dyDescent="0.35"/>
    <row r="289" ht="12.75" customHeight="1" x14ac:dyDescent="0.35"/>
    <row r="290" ht="12.75" customHeight="1" x14ac:dyDescent="0.35"/>
    <row r="291" ht="12.75" customHeight="1" x14ac:dyDescent="0.35"/>
    <row r="292" ht="12.75" customHeight="1" x14ac:dyDescent="0.35"/>
    <row r="293" ht="12.75" customHeight="1" x14ac:dyDescent="0.35"/>
    <row r="294" ht="12.75" customHeight="1" x14ac:dyDescent="0.35"/>
    <row r="295" ht="12.75" customHeight="1" x14ac:dyDescent="0.35"/>
    <row r="296" ht="12.75" customHeight="1" x14ac:dyDescent="0.35"/>
    <row r="297" ht="12.75" customHeight="1" x14ac:dyDescent="0.35"/>
    <row r="298" ht="12.75" customHeight="1" x14ac:dyDescent="0.35"/>
    <row r="299" ht="12.75" customHeight="1" x14ac:dyDescent="0.35"/>
    <row r="300" ht="12.75" customHeight="1" x14ac:dyDescent="0.35"/>
    <row r="301" ht="12.75" customHeight="1" x14ac:dyDescent="0.35"/>
    <row r="302" ht="12.75" customHeight="1" x14ac:dyDescent="0.35"/>
    <row r="303" ht="12.75" customHeight="1" x14ac:dyDescent="0.35"/>
    <row r="304" ht="12.75" customHeight="1" x14ac:dyDescent="0.35"/>
    <row r="305" ht="12.75" customHeight="1" x14ac:dyDescent="0.35"/>
    <row r="306" ht="12.75" customHeight="1" x14ac:dyDescent="0.35"/>
    <row r="307" ht="12.75" customHeight="1" x14ac:dyDescent="0.35"/>
    <row r="308" ht="12.75" customHeight="1" x14ac:dyDescent="0.35"/>
    <row r="309" ht="12.75" customHeight="1" x14ac:dyDescent="0.35"/>
    <row r="310" ht="12.75" customHeight="1" x14ac:dyDescent="0.35"/>
    <row r="311" ht="12.75" customHeight="1" x14ac:dyDescent="0.35"/>
    <row r="312" ht="12.75" customHeight="1" x14ac:dyDescent="0.35"/>
    <row r="313" ht="12.75" customHeight="1" x14ac:dyDescent="0.35"/>
    <row r="314" ht="12.75" customHeight="1" x14ac:dyDescent="0.35"/>
    <row r="315" ht="12.75" customHeight="1" x14ac:dyDescent="0.35"/>
    <row r="316" ht="12.75" customHeight="1" x14ac:dyDescent="0.35"/>
    <row r="317" ht="12.75" customHeight="1" x14ac:dyDescent="0.35"/>
    <row r="318" ht="12.75" customHeight="1" x14ac:dyDescent="0.35"/>
    <row r="319" ht="12.75" customHeight="1" x14ac:dyDescent="0.35"/>
    <row r="320" ht="12.75" customHeight="1" x14ac:dyDescent="0.35"/>
    <row r="321" ht="12.75" customHeight="1" x14ac:dyDescent="0.35"/>
    <row r="322" ht="12.75" customHeight="1" x14ac:dyDescent="0.35"/>
    <row r="323" ht="12.75" customHeight="1" x14ac:dyDescent="0.35"/>
    <row r="324" ht="12.75" customHeight="1" x14ac:dyDescent="0.35"/>
    <row r="325" ht="12.75" customHeight="1" x14ac:dyDescent="0.35"/>
    <row r="326" ht="12.75" customHeight="1" x14ac:dyDescent="0.35"/>
    <row r="327" ht="12.75" customHeight="1" x14ac:dyDescent="0.35"/>
    <row r="328" ht="12.75" customHeight="1" x14ac:dyDescent="0.35"/>
    <row r="329" ht="12.75" customHeight="1" x14ac:dyDescent="0.35"/>
    <row r="330" ht="12.75" customHeight="1" x14ac:dyDescent="0.35"/>
    <row r="331" ht="12.75" customHeight="1" x14ac:dyDescent="0.35"/>
    <row r="332" ht="12.75" customHeight="1" x14ac:dyDescent="0.35"/>
    <row r="333" ht="12.75" customHeight="1" x14ac:dyDescent="0.35"/>
    <row r="334" ht="12.75" customHeight="1" x14ac:dyDescent="0.35"/>
    <row r="335" ht="12.75" customHeight="1" x14ac:dyDescent="0.35"/>
    <row r="336" ht="12.75" customHeight="1" x14ac:dyDescent="0.35"/>
    <row r="337" ht="12.75" customHeight="1" x14ac:dyDescent="0.35"/>
    <row r="338" ht="12.75" customHeight="1" x14ac:dyDescent="0.35"/>
    <row r="339" ht="12.75" customHeight="1" x14ac:dyDescent="0.35"/>
    <row r="340" ht="12.75" customHeight="1" x14ac:dyDescent="0.35"/>
    <row r="341" ht="12.75" customHeight="1" x14ac:dyDescent="0.35"/>
    <row r="342" ht="12.75" customHeight="1" x14ac:dyDescent="0.35"/>
    <row r="343" ht="12.75" customHeight="1" x14ac:dyDescent="0.35"/>
    <row r="344" ht="12.75" customHeight="1" x14ac:dyDescent="0.35"/>
    <row r="345" ht="12.75" customHeight="1" x14ac:dyDescent="0.35"/>
    <row r="346" ht="12.75" customHeight="1" x14ac:dyDescent="0.35"/>
    <row r="347" ht="12.75" customHeight="1" x14ac:dyDescent="0.35"/>
    <row r="348" ht="12.75" customHeight="1" x14ac:dyDescent="0.35"/>
    <row r="349" ht="12.75" customHeight="1" x14ac:dyDescent="0.35"/>
    <row r="350" ht="12.75" customHeight="1" x14ac:dyDescent="0.35"/>
    <row r="351" ht="12.75" customHeight="1" x14ac:dyDescent="0.35"/>
    <row r="352" ht="12.75" customHeight="1" x14ac:dyDescent="0.35"/>
    <row r="353" ht="12.75" customHeight="1" x14ac:dyDescent="0.35"/>
    <row r="354" ht="12.75" customHeight="1" x14ac:dyDescent="0.35"/>
    <row r="355" ht="12.75" customHeight="1" x14ac:dyDescent="0.35"/>
    <row r="356" ht="12.75" customHeight="1" x14ac:dyDescent="0.35"/>
    <row r="357" ht="12.75" customHeight="1" x14ac:dyDescent="0.35"/>
    <row r="358" ht="12.75" customHeight="1" x14ac:dyDescent="0.35"/>
    <row r="359" ht="12.75" customHeight="1" x14ac:dyDescent="0.35"/>
    <row r="360" ht="12.75" customHeight="1" x14ac:dyDescent="0.35"/>
    <row r="361" ht="12.75" customHeight="1" x14ac:dyDescent="0.35"/>
    <row r="362" ht="12.75" customHeight="1" x14ac:dyDescent="0.35"/>
    <row r="363" ht="12.75" customHeight="1" x14ac:dyDescent="0.35"/>
    <row r="364" ht="12.75" customHeight="1" x14ac:dyDescent="0.35"/>
    <row r="365" ht="12.75" customHeight="1" x14ac:dyDescent="0.35"/>
    <row r="366" ht="12.75" customHeight="1" x14ac:dyDescent="0.35"/>
    <row r="367" ht="12.75" customHeight="1" x14ac:dyDescent="0.35"/>
    <row r="368" ht="12.75" customHeight="1" x14ac:dyDescent="0.35"/>
    <row r="369" ht="12.75" customHeight="1" x14ac:dyDescent="0.35"/>
    <row r="370" ht="12.75" customHeight="1" x14ac:dyDescent="0.35"/>
    <row r="371" ht="12.75" customHeight="1" x14ac:dyDescent="0.35"/>
    <row r="372" ht="12.75" customHeight="1" x14ac:dyDescent="0.35"/>
    <row r="373" ht="12.75" customHeight="1" x14ac:dyDescent="0.35"/>
    <row r="374" ht="12.75" customHeight="1" x14ac:dyDescent="0.35"/>
    <row r="375" ht="12.75" customHeight="1" x14ac:dyDescent="0.35"/>
    <row r="376" ht="12.75" customHeight="1" x14ac:dyDescent="0.35"/>
    <row r="377" ht="12.75" customHeight="1" x14ac:dyDescent="0.35"/>
    <row r="378" ht="12.75" customHeight="1" x14ac:dyDescent="0.35"/>
    <row r="379" ht="12.75" customHeight="1" x14ac:dyDescent="0.35"/>
    <row r="380" ht="12.75" customHeight="1" x14ac:dyDescent="0.35"/>
    <row r="381" ht="12.75" customHeight="1" x14ac:dyDescent="0.35"/>
    <row r="382" ht="12.75" customHeight="1" x14ac:dyDescent="0.35"/>
    <row r="383" ht="12.75" customHeight="1" x14ac:dyDescent="0.35"/>
    <row r="384" ht="12.75" customHeight="1" x14ac:dyDescent="0.35"/>
    <row r="385" ht="12.75" customHeight="1" x14ac:dyDescent="0.35"/>
    <row r="386" ht="12.75" customHeight="1" x14ac:dyDescent="0.35"/>
    <row r="387" ht="12.75" customHeight="1" x14ac:dyDescent="0.35"/>
    <row r="388" ht="12.75" customHeight="1" x14ac:dyDescent="0.35"/>
    <row r="389" ht="12.75" customHeight="1" x14ac:dyDescent="0.35"/>
    <row r="390" ht="12.75" customHeight="1" x14ac:dyDescent="0.35"/>
    <row r="391" ht="12.75" customHeight="1" x14ac:dyDescent="0.35"/>
    <row r="392" ht="12.75" customHeight="1" x14ac:dyDescent="0.35"/>
    <row r="393" ht="12.75" customHeight="1" x14ac:dyDescent="0.35"/>
    <row r="394" ht="12.75" customHeight="1" x14ac:dyDescent="0.35"/>
    <row r="395" ht="12.75" customHeight="1" x14ac:dyDescent="0.35"/>
    <row r="396" ht="12.75" customHeight="1" x14ac:dyDescent="0.35"/>
    <row r="397" ht="12.75" customHeight="1" x14ac:dyDescent="0.35"/>
    <row r="398" ht="12.75" customHeight="1" x14ac:dyDescent="0.35"/>
    <row r="399" ht="12.75" customHeight="1" x14ac:dyDescent="0.35"/>
    <row r="400" ht="12.75" customHeight="1" x14ac:dyDescent="0.35"/>
    <row r="401" ht="12.75" customHeight="1" x14ac:dyDescent="0.35"/>
    <row r="402" ht="12.75" customHeight="1" x14ac:dyDescent="0.35"/>
    <row r="403" ht="12.75" customHeight="1" x14ac:dyDescent="0.35"/>
    <row r="404" ht="12.75" customHeight="1" x14ac:dyDescent="0.35"/>
    <row r="405" ht="12.75" customHeight="1" x14ac:dyDescent="0.35"/>
    <row r="406" ht="12.75" customHeight="1" x14ac:dyDescent="0.35"/>
    <row r="407" ht="12.75" customHeight="1" x14ac:dyDescent="0.35"/>
    <row r="408" ht="12.75" customHeight="1" x14ac:dyDescent="0.35"/>
    <row r="409" ht="12.75" customHeight="1" x14ac:dyDescent="0.35"/>
    <row r="410" ht="12.75" customHeight="1" x14ac:dyDescent="0.35"/>
    <row r="411" ht="12.75" customHeight="1" x14ac:dyDescent="0.35"/>
    <row r="412" ht="12.75" customHeight="1" x14ac:dyDescent="0.35"/>
    <row r="413" ht="12.75" customHeight="1" x14ac:dyDescent="0.35"/>
    <row r="414" ht="12.75" customHeight="1" x14ac:dyDescent="0.35"/>
    <row r="415" ht="12.75" customHeight="1" x14ac:dyDescent="0.35"/>
    <row r="416" ht="12.75" customHeight="1" x14ac:dyDescent="0.35"/>
    <row r="417" ht="12.75" customHeight="1" x14ac:dyDescent="0.35"/>
    <row r="418" ht="12.75" customHeight="1" x14ac:dyDescent="0.35"/>
    <row r="419" ht="12.75" customHeight="1" x14ac:dyDescent="0.35"/>
    <row r="420" ht="12.75" customHeight="1" x14ac:dyDescent="0.35"/>
    <row r="421" ht="12.75" customHeight="1" x14ac:dyDescent="0.35"/>
    <row r="422" ht="12.75" customHeight="1" x14ac:dyDescent="0.35"/>
    <row r="423" ht="12.75" customHeight="1" x14ac:dyDescent="0.35"/>
    <row r="424" ht="12.75" customHeight="1" x14ac:dyDescent="0.35"/>
    <row r="425" ht="12.75" customHeight="1" x14ac:dyDescent="0.35"/>
    <row r="426" ht="12.75" customHeight="1" x14ac:dyDescent="0.35"/>
    <row r="427" ht="12.75" customHeight="1" x14ac:dyDescent="0.35"/>
    <row r="428" ht="12.75" customHeight="1" x14ac:dyDescent="0.35"/>
    <row r="429" ht="12.75" customHeight="1" x14ac:dyDescent="0.35"/>
    <row r="430" ht="12.75" customHeight="1" x14ac:dyDescent="0.35"/>
    <row r="431" ht="12.75" customHeight="1" x14ac:dyDescent="0.35"/>
    <row r="432" ht="12.75" customHeight="1" x14ac:dyDescent="0.35"/>
    <row r="433" ht="12.75" customHeight="1" x14ac:dyDescent="0.35"/>
    <row r="434" ht="12.75" customHeight="1" x14ac:dyDescent="0.35"/>
    <row r="435" ht="12.75" customHeight="1" x14ac:dyDescent="0.35"/>
    <row r="436" ht="12.75" customHeight="1" x14ac:dyDescent="0.35"/>
    <row r="437" ht="12.75" customHeight="1" x14ac:dyDescent="0.35"/>
    <row r="438" ht="12.75" customHeight="1" x14ac:dyDescent="0.35"/>
    <row r="439" ht="12.75" customHeight="1" x14ac:dyDescent="0.35"/>
    <row r="440" ht="12.75" customHeight="1" x14ac:dyDescent="0.35"/>
    <row r="441" ht="12.75" customHeight="1" x14ac:dyDescent="0.35"/>
    <row r="442" ht="12.75" customHeight="1" x14ac:dyDescent="0.35"/>
    <row r="443" ht="12.75" customHeight="1" x14ac:dyDescent="0.35"/>
    <row r="444" ht="12.75" customHeight="1" x14ac:dyDescent="0.35"/>
    <row r="445" ht="12.75" customHeight="1" x14ac:dyDescent="0.35"/>
    <row r="446" ht="12.75" customHeight="1" x14ac:dyDescent="0.35"/>
    <row r="447" ht="12.75" customHeight="1" x14ac:dyDescent="0.35"/>
    <row r="448" ht="12.75" customHeight="1" x14ac:dyDescent="0.35"/>
    <row r="449" ht="12.75" customHeight="1" x14ac:dyDescent="0.35"/>
    <row r="450" ht="12.75" customHeight="1" x14ac:dyDescent="0.35"/>
    <row r="451" ht="12.75" customHeight="1" x14ac:dyDescent="0.35"/>
    <row r="452" ht="12.75" customHeight="1" x14ac:dyDescent="0.35"/>
    <row r="453" ht="12.75" customHeight="1" x14ac:dyDescent="0.35"/>
    <row r="454" ht="12.75" customHeight="1" x14ac:dyDescent="0.35"/>
    <row r="455" ht="12.75" customHeight="1" x14ac:dyDescent="0.35"/>
    <row r="456" ht="12.75" customHeight="1" x14ac:dyDescent="0.35"/>
    <row r="457" ht="12.75" customHeight="1" x14ac:dyDescent="0.35"/>
    <row r="458" ht="12.75" customHeight="1" x14ac:dyDescent="0.35"/>
    <row r="459" ht="12.75" customHeight="1" x14ac:dyDescent="0.35"/>
    <row r="460" ht="12.75" customHeight="1" x14ac:dyDescent="0.35"/>
    <row r="461" ht="12.75" customHeight="1" x14ac:dyDescent="0.35"/>
    <row r="462" ht="12.75" customHeight="1" x14ac:dyDescent="0.35"/>
    <row r="463" ht="12.75" customHeight="1" x14ac:dyDescent="0.35"/>
    <row r="464" ht="12.75" customHeight="1" x14ac:dyDescent="0.35"/>
    <row r="465" ht="12.75" customHeight="1" x14ac:dyDescent="0.35"/>
    <row r="466" ht="12.75" customHeight="1" x14ac:dyDescent="0.35"/>
    <row r="467" ht="12.75" customHeight="1" x14ac:dyDescent="0.35"/>
    <row r="468" ht="12.75" customHeight="1" x14ac:dyDescent="0.35"/>
    <row r="469" ht="12.75" customHeight="1" x14ac:dyDescent="0.35"/>
    <row r="470" ht="12.75" customHeight="1" x14ac:dyDescent="0.35"/>
    <row r="471" ht="12.75" customHeight="1" x14ac:dyDescent="0.35"/>
    <row r="472" ht="12.75" customHeight="1" x14ac:dyDescent="0.35"/>
    <row r="473" ht="12.75" customHeight="1" x14ac:dyDescent="0.35"/>
    <row r="474" ht="12.75" customHeight="1" x14ac:dyDescent="0.35"/>
    <row r="475" ht="12.75" customHeight="1" x14ac:dyDescent="0.35"/>
    <row r="476" ht="12.75" customHeight="1" x14ac:dyDescent="0.35"/>
    <row r="477" ht="12.75" customHeight="1" x14ac:dyDescent="0.35"/>
    <row r="478" ht="12.75" customHeight="1" x14ac:dyDescent="0.35"/>
    <row r="479" ht="12.75" customHeight="1" x14ac:dyDescent="0.35"/>
    <row r="480" ht="12.75" customHeight="1" x14ac:dyDescent="0.35"/>
    <row r="481" ht="12.75" customHeight="1" x14ac:dyDescent="0.35"/>
    <row r="482" ht="12.75" customHeight="1" x14ac:dyDescent="0.35"/>
    <row r="483" ht="12.75" customHeight="1" x14ac:dyDescent="0.35"/>
    <row r="484" ht="12.75" customHeight="1" x14ac:dyDescent="0.35"/>
    <row r="485" ht="12.75" customHeight="1" x14ac:dyDescent="0.35"/>
    <row r="486" ht="12.75" customHeight="1" x14ac:dyDescent="0.35"/>
    <row r="487" ht="12.75" customHeight="1" x14ac:dyDescent="0.35"/>
    <row r="488" ht="12.75" customHeight="1" x14ac:dyDescent="0.35"/>
    <row r="489" ht="12.75" customHeight="1" x14ac:dyDescent="0.35"/>
    <row r="490" ht="12.75" customHeight="1" x14ac:dyDescent="0.35"/>
    <row r="491" ht="12.75" customHeight="1" x14ac:dyDescent="0.35"/>
    <row r="492" ht="12.75" customHeight="1" x14ac:dyDescent="0.35"/>
    <row r="493" ht="12.75" customHeight="1" x14ac:dyDescent="0.35"/>
    <row r="494" ht="12.75" customHeight="1" x14ac:dyDescent="0.35"/>
    <row r="495" ht="12.75" customHeight="1" x14ac:dyDescent="0.35"/>
    <row r="496" ht="12.75" customHeight="1" x14ac:dyDescent="0.35"/>
    <row r="497" ht="12.75" customHeight="1" x14ac:dyDescent="0.35"/>
    <row r="498" ht="12.75" customHeight="1" x14ac:dyDescent="0.35"/>
    <row r="499" ht="12.75" customHeight="1" x14ac:dyDescent="0.35"/>
    <row r="500" ht="12.75" customHeight="1" x14ac:dyDescent="0.35"/>
    <row r="501" ht="12.75" customHeight="1" x14ac:dyDescent="0.35"/>
    <row r="502" ht="12.75" customHeight="1" x14ac:dyDescent="0.35"/>
    <row r="503" ht="12.75" customHeight="1" x14ac:dyDescent="0.35"/>
    <row r="504" ht="12.75" customHeight="1" x14ac:dyDescent="0.35"/>
    <row r="505" ht="12.75" customHeight="1" x14ac:dyDescent="0.35"/>
    <row r="506" ht="12.75" customHeight="1" x14ac:dyDescent="0.35"/>
    <row r="507" ht="12.75" customHeight="1" x14ac:dyDescent="0.35"/>
    <row r="508" ht="12.75" customHeight="1" x14ac:dyDescent="0.35"/>
    <row r="509" ht="12.75" customHeight="1" x14ac:dyDescent="0.35"/>
    <row r="510" ht="12.75" customHeight="1" x14ac:dyDescent="0.35"/>
    <row r="511" ht="12.75" customHeight="1" x14ac:dyDescent="0.35"/>
    <row r="512" ht="12.75" customHeight="1" x14ac:dyDescent="0.35"/>
    <row r="513" ht="12.75" customHeight="1" x14ac:dyDescent="0.35"/>
    <row r="514" ht="12.75" customHeight="1" x14ac:dyDescent="0.35"/>
    <row r="515" ht="12.75" customHeight="1" x14ac:dyDescent="0.35"/>
    <row r="516" ht="12.75" customHeight="1" x14ac:dyDescent="0.35"/>
    <row r="517" ht="12.75" customHeight="1" x14ac:dyDescent="0.35"/>
    <row r="518" ht="12.75" customHeight="1" x14ac:dyDescent="0.35"/>
    <row r="519" ht="12.75" customHeight="1" x14ac:dyDescent="0.35"/>
    <row r="520" ht="12.75" customHeight="1" x14ac:dyDescent="0.35"/>
    <row r="521" ht="12.75" customHeight="1" x14ac:dyDescent="0.35"/>
    <row r="522" ht="12.75" customHeight="1" x14ac:dyDescent="0.35"/>
    <row r="523" ht="12.75" customHeight="1" x14ac:dyDescent="0.35"/>
    <row r="524" ht="12.75" customHeight="1" x14ac:dyDescent="0.35"/>
    <row r="525" ht="12.75" customHeight="1" x14ac:dyDescent="0.35"/>
    <row r="526" ht="12.75" customHeight="1" x14ac:dyDescent="0.35"/>
    <row r="527" ht="12.75" customHeight="1" x14ac:dyDescent="0.35"/>
    <row r="528" ht="12.75" customHeight="1" x14ac:dyDescent="0.35"/>
    <row r="529" ht="12.75" customHeight="1" x14ac:dyDescent="0.35"/>
    <row r="530" ht="12.75" customHeight="1" x14ac:dyDescent="0.35"/>
    <row r="531" ht="12.75" customHeight="1" x14ac:dyDescent="0.35"/>
    <row r="532" ht="12.75" customHeight="1" x14ac:dyDescent="0.35"/>
    <row r="533" ht="12.75" customHeight="1" x14ac:dyDescent="0.35"/>
    <row r="534" ht="12.75" customHeight="1" x14ac:dyDescent="0.35"/>
    <row r="535" ht="12.75" customHeight="1" x14ac:dyDescent="0.35"/>
    <row r="536" ht="12.75" customHeight="1" x14ac:dyDescent="0.35"/>
    <row r="537" ht="12.75" customHeight="1" x14ac:dyDescent="0.35"/>
    <row r="538" ht="12.75" customHeight="1" x14ac:dyDescent="0.35"/>
    <row r="539" ht="12.75" customHeight="1" x14ac:dyDescent="0.35"/>
    <row r="540" ht="12.75" customHeight="1" x14ac:dyDescent="0.35"/>
    <row r="541" ht="12.75" customHeight="1" x14ac:dyDescent="0.35"/>
    <row r="542" ht="12.75" customHeight="1" x14ac:dyDescent="0.35"/>
    <row r="543" ht="12.75" customHeight="1" x14ac:dyDescent="0.35"/>
    <row r="544" ht="12.75" customHeight="1" x14ac:dyDescent="0.35"/>
    <row r="545" ht="12.75" customHeight="1" x14ac:dyDescent="0.35"/>
    <row r="546" ht="12.75" customHeight="1" x14ac:dyDescent="0.35"/>
    <row r="547" ht="12.75" customHeight="1" x14ac:dyDescent="0.35"/>
    <row r="548" ht="12.75" customHeight="1" x14ac:dyDescent="0.35"/>
    <row r="549" ht="12.75" customHeight="1" x14ac:dyDescent="0.35"/>
    <row r="550" ht="12.75" customHeight="1" x14ac:dyDescent="0.35"/>
    <row r="551" ht="12.75" customHeight="1" x14ac:dyDescent="0.35"/>
    <row r="552" ht="12.75" customHeight="1" x14ac:dyDescent="0.35"/>
    <row r="553" ht="12.75" customHeight="1" x14ac:dyDescent="0.35"/>
    <row r="554" ht="12.75" customHeight="1" x14ac:dyDescent="0.35"/>
    <row r="555" ht="12.75" customHeight="1" x14ac:dyDescent="0.35"/>
    <row r="556" ht="12.75" customHeight="1" x14ac:dyDescent="0.35"/>
    <row r="557" ht="12.75" customHeight="1" x14ac:dyDescent="0.35"/>
    <row r="558" ht="12.75" customHeight="1" x14ac:dyDescent="0.35"/>
    <row r="559" ht="12.75" customHeight="1" x14ac:dyDescent="0.35"/>
    <row r="560" ht="12.75" customHeight="1" x14ac:dyDescent="0.35"/>
    <row r="561" ht="12.75" customHeight="1" x14ac:dyDescent="0.35"/>
    <row r="562" ht="12.75" customHeight="1" x14ac:dyDescent="0.35"/>
    <row r="563" ht="12.75" customHeight="1" x14ac:dyDescent="0.35"/>
    <row r="564" ht="12.75" customHeight="1" x14ac:dyDescent="0.35"/>
    <row r="565" ht="12.75" customHeight="1" x14ac:dyDescent="0.35"/>
    <row r="566" ht="12.75" customHeight="1" x14ac:dyDescent="0.35"/>
    <row r="567" ht="12.75" customHeight="1" x14ac:dyDescent="0.35"/>
    <row r="568" ht="12.75" customHeight="1" x14ac:dyDescent="0.35"/>
    <row r="569" ht="12.75" customHeight="1" x14ac:dyDescent="0.35"/>
    <row r="570" ht="12.75" customHeight="1" x14ac:dyDescent="0.35"/>
    <row r="571" ht="12.75" customHeight="1" x14ac:dyDescent="0.35"/>
    <row r="572" ht="12.75" customHeight="1" x14ac:dyDescent="0.35"/>
    <row r="573" ht="12.75" customHeight="1" x14ac:dyDescent="0.35"/>
    <row r="574" ht="12.75" customHeight="1" x14ac:dyDescent="0.35"/>
    <row r="575" ht="12.75" customHeight="1" x14ac:dyDescent="0.35"/>
    <row r="576" ht="12.75" customHeight="1" x14ac:dyDescent="0.35"/>
    <row r="577" ht="12.75" customHeight="1" x14ac:dyDescent="0.35"/>
    <row r="578" ht="12.75" customHeight="1" x14ac:dyDescent="0.35"/>
    <row r="579" ht="12.75" customHeight="1" x14ac:dyDescent="0.35"/>
    <row r="580" ht="12.75" customHeight="1" x14ac:dyDescent="0.35"/>
    <row r="581" ht="12.75" customHeight="1" x14ac:dyDescent="0.35"/>
    <row r="582" ht="12.75" customHeight="1" x14ac:dyDescent="0.35"/>
    <row r="583" ht="12.75" customHeight="1" x14ac:dyDescent="0.35"/>
    <row r="584" ht="12.75" customHeight="1" x14ac:dyDescent="0.35"/>
    <row r="585" ht="12.75" customHeight="1" x14ac:dyDescent="0.35"/>
    <row r="586" ht="12.75" customHeight="1" x14ac:dyDescent="0.35"/>
    <row r="587" ht="12.75" customHeight="1" x14ac:dyDescent="0.35"/>
    <row r="588" ht="12.75" customHeight="1" x14ac:dyDescent="0.35"/>
    <row r="589" ht="12.75" customHeight="1" x14ac:dyDescent="0.35"/>
    <row r="590" ht="12.75" customHeight="1" x14ac:dyDescent="0.35"/>
    <row r="591" ht="12.75" customHeight="1" x14ac:dyDescent="0.35"/>
    <row r="592" ht="12.75" customHeight="1" x14ac:dyDescent="0.35"/>
    <row r="593" ht="12.75" customHeight="1" x14ac:dyDescent="0.35"/>
    <row r="594" ht="12.75" customHeight="1" x14ac:dyDescent="0.35"/>
    <row r="595" ht="12.75" customHeight="1" x14ac:dyDescent="0.35"/>
    <row r="596" ht="12.75" customHeight="1" x14ac:dyDescent="0.35"/>
    <row r="597" ht="12.75" customHeight="1" x14ac:dyDescent="0.35"/>
    <row r="598" ht="12.75" customHeight="1" x14ac:dyDescent="0.35"/>
    <row r="599" ht="12.75" customHeight="1" x14ac:dyDescent="0.35"/>
    <row r="600" ht="12.75" customHeight="1" x14ac:dyDescent="0.35"/>
    <row r="601" ht="12.75" customHeight="1" x14ac:dyDescent="0.35"/>
    <row r="602" ht="12.75" customHeight="1" x14ac:dyDescent="0.35"/>
    <row r="603" ht="12.75" customHeight="1" x14ac:dyDescent="0.35"/>
    <row r="604" ht="12.75" customHeight="1" x14ac:dyDescent="0.35"/>
    <row r="605" ht="12.75" customHeight="1" x14ac:dyDescent="0.35"/>
    <row r="606" ht="12.75" customHeight="1" x14ac:dyDescent="0.35"/>
    <row r="607" ht="12.75" customHeight="1" x14ac:dyDescent="0.35"/>
    <row r="608" ht="12.75" customHeight="1" x14ac:dyDescent="0.35"/>
    <row r="609" ht="12.75" customHeight="1" x14ac:dyDescent="0.35"/>
    <row r="610" ht="12.75" customHeight="1" x14ac:dyDescent="0.35"/>
    <row r="611" ht="12.75" customHeight="1" x14ac:dyDescent="0.35"/>
    <row r="612" ht="12.75" customHeight="1" x14ac:dyDescent="0.35"/>
    <row r="613" ht="12.75" customHeight="1" x14ac:dyDescent="0.35"/>
    <row r="614" ht="12.75" customHeight="1" x14ac:dyDescent="0.35"/>
    <row r="615" ht="12.75" customHeight="1" x14ac:dyDescent="0.35"/>
    <row r="616" ht="12.75" customHeight="1" x14ac:dyDescent="0.35"/>
    <row r="617" ht="12.75" customHeight="1" x14ac:dyDescent="0.35"/>
    <row r="618" ht="12.75" customHeight="1" x14ac:dyDescent="0.35"/>
    <row r="619" ht="12.75" customHeight="1" x14ac:dyDescent="0.35"/>
    <row r="620" ht="12.75" customHeight="1" x14ac:dyDescent="0.35"/>
    <row r="621" ht="12.75" customHeight="1" x14ac:dyDescent="0.35"/>
    <row r="622" ht="12.75" customHeight="1" x14ac:dyDescent="0.35"/>
    <row r="623" ht="12.75" customHeight="1" x14ac:dyDescent="0.35"/>
    <row r="624" ht="12.75" customHeight="1" x14ac:dyDescent="0.35"/>
    <row r="625" ht="12.75" customHeight="1" x14ac:dyDescent="0.35"/>
    <row r="626" ht="12.75" customHeight="1" x14ac:dyDescent="0.35"/>
    <row r="627" ht="12.75" customHeight="1" x14ac:dyDescent="0.35"/>
    <row r="628" ht="12.75" customHeight="1" x14ac:dyDescent="0.35"/>
    <row r="629" ht="12.75" customHeight="1" x14ac:dyDescent="0.35"/>
    <row r="630" ht="12.75" customHeight="1" x14ac:dyDescent="0.35"/>
    <row r="631" ht="12.75" customHeight="1" x14ac:dyDescent="0.35"/>
    <row r="632" ht="12.75" customHeight="1" x14ac:dyDescent="0.35"/>
    <row r="633" ht="12.75" customHeight="1" x14ac:dyDescent="0.35"/>
    <row r="634" ht="12.75" customHeight="1" x14ac:dyDescent="0.35"/>
    <row r="635" ht="12.75" customHeight="1" x14ac:dyDescent="0.35"/>
    <row r="636" ht="12.75" customHeight="1" x14ac:dyDescent="0.35"/>
    <row r="637" ht="12.75" customHeight="1" x14ac:dyDescent="0.35"/>
    <row r="638" ht="12.75" customHeight="1" x14ac:dyDescent="0.35"/>
    <row r="639" ht="12.75" customHeight="1" x14ac:dyDescent="0.35"/>
    <row r="640" ht="12.75" customHeight="1" x14ac:dyDescent="0.35"/>
    <row r="641" ht="12.75" customHeight="1" x14ac:dyDescent="0.35"/>
    <row r="642" ht="12.75" customHeight="1" x14ac:dyDescent="0.35"/>
    <row r="643" ht="12.75" customHeight="1" x14ac:dyDescent="0.35"/>
    <row r="644" ht="12.75" customHeight="1" x14ac:dyDescent="0.35"/>
    <row r="645" ht="12.75" customHeight="1" x14ac:dyDescent="0.35"/>
    <row r="646" ht="12.75" customHeight="1" x14ac:dyDescent="0.35"/>
    <row r="647" ht="12.75" customHeight="1" x14ac:dyDescent="0.35"/>
    <row r="648" ht="12.75" customHeight="1" x14ac:dyDescent="0.35"/>
    <row r="649" ht="12.75" customHeight="1" x14ac:dyDescent="0.35"/>
    <row r="650" ht="12.75" customHeight="1" x14ac:dyDescent="0.35"/>
    <row r="651" ht="12.75" customHeight="1" x14ac:dyDescent="0.35"/>
    <row r="652" ht="12.75" customHeight="1" x14ac:dyDescent="0.35"/>
    <row r="653" ht="12.75" customHeight="1" x14ac:dyDescent="0.35"/>
    <row r="654" ht="12.75" customHeight="1" x14ac:dyDescent="0.35"/>
    <row r="655" ht="12.75" customHeight="1" x14ac:dyDescent="0.35"/>
    <row r="656" ht="12.75" customHeight="1" x14ac:dyDescent="0.35"/>
    <row r="657" ht="12.75" customHeight="1" x14ac:dyDescent="0.35"/>
    <row r="658" ht="12.75" customHeight="1" x14ac:dyDescent="0.35"/>
    <row r="659" ht="12.75" customHeight="1" x14ac:dyDescent="0.35"/>
    <row r="660" ht="12.75" customHeight="1" x14ac:dyDescent="0.35"/>
    <row r="661" ht="12.75" customHeight="1" x14ac:dyDescent="0.35"/>
    <row r="662" ht="12.75" customHeight="1" x14ac:dyDescent="0.35"/>
    <row r="663" ht="12.75" customHeight="1" x14ac:dyDescent="0.35"/>
    <row r="664" ht="12.75" customHeight="1" x14ac:dyDescent="0.35"/>
    <row r="665" ht="12.75" customHeight="1" x14ac:dyDescent="0.35"/>
    <row r="666" ht="12.75" customHeight="1" x14ac:dyDescent="0.35"/>
    <row r="667" ht="12.75" customHeight="1" x14ac:dyDescent="0.35"/>
    <row r="668" ht="12.75" customHeight="1" x14ac:dyDescent="0.35"/>
    <row r="669" ht="12.75" customHeight="1" x14ac:dyDescent="0.35"/>
    <row r="670" ht="12.75" customHeight="1" x14ac:dyDescent="0.35"/>
    <row r="671" ht="12.75" customHeight="1" x14ac:dyDescent="0.35"/>
    <row r="672" ht="12.75" customHeight="1" x14ac:dyDescent="0.35"/>
    <row r="673" ht="12.75" customHeight="1" x14ac:dyDescent="0.35"/>
    <row r="674" ht="12.75" customHeight="1" x14ac:dyDescent="0.35"/>
    <row r="675" ht="12.75" customHeight="1" x14ac:dyDescent="0.35"/>
    <row r="676" ht="12.75" customHeight="1" x14ac:dyDescent="0.35"/>
    <row r="677" ht="12.75" customHeight="1" x14ac:dyDescent="0.35"/>
    <row r="678" ht="12.75" customHeight="1" x14ac:dyDescent="0.35"/>
    <row r="679" ht="12.75" customHeight="1" x14ac:dyDescent="0.35"/>
    <row r="680" ht="12.75" customHeight="1" x14ac:dyDescent="0.35"/>
    <row r="681" ht="12.75" customHeight="1" x14ac:dyDescent="0.35"/>
    <row r="682" ht="12.75" customHeight="1" x14ac:dyDescent="0.35"/>
    <row r="683" ht="12.75" customHeight="1" x14ac:dyDescent="0.35"/>
    <row r="684" ht="12.75" customHeight="1" x14ac:dyDescent="0.35"/>
    <row r="685" ht="12.75" customHeight="1" x14ac:dyDescent="0.35"/>
    <row r="686" ht="12.75" customHeight="1" x14ac:dyDescent="0.35"/>
    <row r="687" ht="12.75" customHeight="1" x14ac:dyDescent="0.35"/>
    <row r="688" ht="12.75" customHeight="1" x14ac:dyDescent="0.35"/>
    <row r="689" ht="12.75" customHeight="1" x14ac:dyDescent="0.35"/>
    <row r="690" ht="12.75" customHeight="1" x14ac:dyDescent="0.35"/>
    <row r="691" ht="12.75" customHeight="1" x14ac:dyDescent="0.35"/>
    <row r="692" ht="12.75" customHeight="1" x14ac:dyDescent="0.35"/>
    <row r="693" ht="12.75" customHeight="1" x14ac:dyDescent="0.35"/>
    <row r="694" ht="12.75" customHeight="1" x14ac:dyDescent="0.35"/>
    <row r="695" ht="12.75" customHeight="1" x14ac:dyDescent="0.35"/>
    <row r="696" ht="12.75" customHeight="1" x14ac:dyDescent="0.35"/>
    <row r="697" ht="12.75" customHeight="1" x14ac:dyDescent="0.35"/>
    <row r="698" ht="12.75" customHeight="1" x14ac:dyDescent="0.35"/>
    <row r="699" ht="12.75" customHeight="1" x14ac:dyDescent="0.35"/>
    <row r="700" ht="12.75" customHeight="1" x14ac:dyDescent="0.35"/>
    <row r="701" ht="12.75" customHeight="1" x14ac:dyDescent="0.35"/>
    <row r="702" ht="12.75" customHeight="1" x14ac:dyDescent="0.35"/>
    <row r="703" ht="12.75" customHeight="1" x14ac:dyDescent="0.35"/>
    <row r="704" ht="12.75" customHeight="1" x14ac:dyDescent="0.35"/>
    <row r="705" ht="12.75" customHeight="1" x14ac:dyDescent="0.35"/>
    <row r="706" ht="12.75" customHeight="1" x14ac:dyDescent="0.35"/>
    <row r="707" ht="12.75" customHeight="1" x14ac:dyDescent="0.35"/>
    <row r="708" ht="12.75" customHeight="1" x14ac:dyDescent="0.35"/>
    <row r="709" ht="12.75" customHeight="1" x14ac:dyDescent="0.35"/>
    <row r="710" ht="12.75" customHeight="1" x14ac:dyDescent="0.35"/>
    <row r="711" ht="12.75" customHeight="1" x14ac:dyDescent="0.35"/>
    <row r="712" ht="12.75" customHeight="1" x14ac:dyDescent="0.35"/>
    <row r="713" ht="12.75" customHeight="1" x14ac:dyDescent="0.35"/>
    <row r="714" ht="12.75" customHeight="1" x14ac:dyDescent="0.35"/>
    <row r="715" ht="12.75" customHeight="1" x14ac:dyDescent="0.35"/>
    <row r="716" ht="12.75" customHeight="1" x14ac:dyDescent="0.35"/>
    <row r="717" ht="12.75" customHeight="1" x14ac:dyDescent="0.35"/>
    <row r="718" ht="12.75" customHeight="1" x14ac:dyDescent="0.35"/>
    <row r="719" ht="12.75" customHeight="1" x14ac:dyDescent="0.35"/>
    <row r="720" ht="12.75" customHeight="1" x14ac:dyDescent="0.35"/>
    <row r="721" ht="12.75" customHeight="1" x14ac:dyDescent="0.35"/>
    <row r="722" ht="12.75" customHeight="1" x14ac:dyDescent="0.35"/>
    <row r="723" ht="12.75" customHeight="1" x14ac:dyDescent="0.35"/>
    <row r="724" ht="12.75" customHeight="1" x14ac:dyDescent="0.35"/>
    <row r="725" ht="12.75" customHeight="1" x14ac:dyDescent="0.35"/>
    <row r="726" ht="12.75" customHeight="1" x14ac:dyDescent="0.35"/>
    <row r="727" ht="12.75" customHeight="1" x14ac:dyDescent="0.35"/>
    <row r="728" ht="12.75" customHeight="1" x14ac:dyDescent="0.35"/>
    <row r="729" ht="12.75" customHeight="1" x14ac:dyDescent="0.35"/>
    <row r="730" ht="12.75" customHeight="1" x14ac:dyDescent="0.35"/>
    <row r="731" ht="12.75" customHeight="1" x14ac:dyDescent="0.35"/>
    <row r="732" ht="12.75" customHeight="1" x14ac:dyDescent="0.35"/>
    <row r="733" ht="12.75" customHeight="1" x14ac:dyDescent="0.35"/>
    <row r="734" ht="12.75" customHeight="1" x14ac:dyDescent="0.35"/>
    <row r="735" ht="12.75" customHeight="1" x14ac:dyDescent="0.35"/>
    <row r="736" ht="12.75" customHeight="1" x14ac:dyDescent="0.35"/>
    <row r="737" ht="12.75" customHeight="1" x14ac:dyDescent="0.35"/>
    <row r="738" ht="12.75" customHeight="1" x14ac:dyDescent="0.35"/>
    <row r="739" ht="12.75" customHeight="1" x14ac:dyDescent="0.35"/>
    <row r="740" ht="12.75" customHeight="1" x14ac:dyDescent="0.35"/>
    <row r="741" ht="12.75" customHeight="1" x14ac:dyDescent="0.35"/>
    <row r="742" ht="12.75" customHeight="1" x14ac:dyDescent="0.35"/>
    <row r="743" ht="12.75" customHeight="1" x14ac:dyDescent="0.35"/>
    <row r="744" ht="12.75" customHeight="1" x14ac:dyDescent="0.35"/>
    <row r="745" ht="12.75" customHeight="1" x14ac:dyDescent="0.35"/>
    <row r="746" ht="12.75" customHeight="1" x14ac:dyDescent="0.35"/>
    <row r="747" ht="12.75" customHeight="1" x14ac:dyDescent="0.35"/>
    <row r="748" ht="12.75" customHeight="1" x14ac:dyDescent="0.35"/>
    <row r="749" ht="12.75" customHeight="1" x14ac:dyDescent="0.35"/>
    <row r="750" ht="12.75" customHeight="1" x14ac:dyDescent="0.35"/>
    <row r="751" ht="12.75" customHeight="1" x14ac:dyDescent="0.35"/>
    <row r="752" ht="12.75" customHeight="1" x14ac:dyDescent="0.35"/>
    <row r="753" ht="12.75" customHeight="1" x14ac:dyDescent="0.35"/>
    <row r="754" ht="12.75" customHeight="1" x14ac:dyDescent="0.35"/>
    <row r="755" ht="12.75" customHeight="1" x14ac:dyDescent="0.35"/>
    <row r="756" ht="12.75" customHeight="1" x14ac:dyDescent="0.35"/>
    <row r="757" ht="12.75" customHeight="1" x14ac:dyDescent="0.35"/>
    <row r="758" ht="12.75" customHeight="1" x14ac:dyDescent="0.35"/>
    <row r="759" ht="12.75" customHeight="1" x14ac:dyDescent="0.35"/>
    <row r="760" ht="12.75" customHeight="1" x14ac:dyDescent="0.35"/>
    <row r="761" ht="12.75" customHeight="1" x14ac:dyDescent="0.35"/>
    <row r="762" ht="12.75" customHeight="1" x14ac:dyDescent="0.35"/>
    <row r="763" ht="12.75" customHeight="1" x14ac:dyDescent="0.35"/>
    <row r="764" ht="12.75" customHeight="1" x14ac:dyDescent="0.35"/>
    <row r="765" ht="12.75" customHeight="1" x14ac:dyDescent="0.35"/>
    <row r="766" ht="12.75" customHeight="1" x14ac:dyDescent="0.35"/>
    <row r="767" ht="12.75" customHeight="1" x14ac:dyDescent="0.35"/>
    <row r="768" ht="12.75" customHeight="1" x14ac:dyDescent="0.35"/>
    <row r="769" ht="12.75" customHeight="1" x14ac:dyDescent="0.35"/>
    <row r="770" ht="12.75" customHeight="1" x14ac:dyDescent="0.35"/>
    <row r="771" ht="12.75" customHeight="1" x14ac:dyDescent="0.35"/>
    <row r="772" ht="12.75" customHeight="1" x14ac:dyDescent="0.35"/>
    <row r="773" ht="12.75" customHeight="1" x14ac:dyDescent="0.35"/>
    <row r="774" ht="12.75" customHeight="1" x14ac:dyDescent="0.35"/>
    <row r="775" ht="12.75" customHeight="1" x14ac:dyDescent="0.35"/>
    <row r="776" ht="12.75" customHeight="1" x14ac:dyDescent="0.35"/>
    <row r="777" ht="12.75" customHeight="1" x14ac:dyDescent="0.35"/>
    <row r="778" ht="12.75" customHeight="1" x14ac:dyDescent="0.35"/>
    <row r="779" ht="12.75" customHeight="1" x14ac:dyDescent="0.35"/>
    <row r="780" ht="12.75" customHeight="1" x14ac:dyDescent="0.35"/>
    <row r="781" ht="12.75" customHeight="1" x14ac:dyDescent="0.35"/>
    <row r="782" ht="12.75" customHeight="1" x14ac:dyDescent="0.35"/>
    <row r="783" ht="12.75" customHeight="1" x14ac:dyDescent="0.35"/>
    <row r="784" ht="12.75" customHeight="1" x14ac:dyDescent="0.35"/>
    <row r="785" ht="12.75" customHeight="1" x14ac:dyDescent="0.35"/>
    <row r="786" ht="12.75" customHeight="1" x14ac:dyDescent="0.35"/>
    <row r="787" ht="12.75" customHeight="1" x14ac:dyDescent="0.35"/>
    <row r="788" ht="12.75" customHeight="1" x14ac:dyDescent="0.35"/>
    <row r="789" ht="12.75" customHeight="1" x14ac:dyDescent="0.35"/>
    <row r="790" ht="12.75" customHeight="1" x14ac:dyDescent="0.35"/>
    <row r="791" ht="12.75" customHeight="1" x14ac:dyDescent="0.35"/>
    <row r="792" ht="12.75" customHeight="1" x14ac:dyDescent="0.35"/>
    <row r="793" ht="12.75" customHeight="1" x14ac:dyDescent="0.35"/>
    <row r="794" ht="12.75" customHeight="1" x14ac:dyDescent="0.35"/>
    <row r="795" ht="12.75" customHeight="1" x14ac:dyDescent="0.35"/>
    <row r="796" ht="12.75" customHeight="1" x14ac:dyDescent="0.35"/>
    <row r="797" ht="12.75" customHeight="1" x14ac:dyDescent="0.35"/>
    <row r="798" ht="12.75" customHeight="1" x14ac:dyDescent="0.35"/>
    <row r="799" ht="12.75" customHeight="1" x14ac:dyDescent="0.35"/>
    <row r="800" ht="12.75" customHeight="1" x14ac:dyDescent="0.35"/>
    <row r="801" ht="12.75" customHeight="1" x14ac:dyDescent="0.35"/>
    <row r="802" ht="12.75" customHeight="1" x14ac:dyDescent="0.35"/>
    <row r="803" ht="12.75" customHeight="1" x14ac:dyDescent="0.35"/>
    <row r="804" ht="12.75" customHeight="1" x14ac:dyDescent="0.35"/>
    <row r="805" ht="12.75" customHeight="1" x14ac:dyDescent="0.35"/>
    <row r="806" ht="12.75" customHeight="1" x14ac:dyDescent="0.35"/>
    <row r="807" ht="12.75" customHeight="1" x14ac:dyDescent="0.35"/>
    <row r="808" ht="12.75" customHeight="1" x14ac:dyDescent="0.35"/>
    <row r="809" ht="12.75" customHeight="1" x14ac:dyDescent="0.35"/>
    <row r="810" ht="12.75" customHeight="1" x14ac:dyDescent="0.35"/>
    <row r="811" ht="12.75" customHeight="1" x14ac:dyDescent="0.35"/>
    <row r="812" ht="12.75" customHeight="1" x14ac:dyDescent="0.35"/>
    <row r="813" ht="12.75" customHeight="1" x14ac:dyDescent="0.35"/>
    <row r="814" ht="12.75" customHeight="1" x14ac:dyDescent="0.35"/>
    <row r="815" ht="12.75" customHeight="1" x14ac:dyDescent="0.35"/>
    <row r="816" ht="12.75" customHeight="1" x14ac:dyDescent="0.35"/>
    <row r="817" ht="12.75" customHeight="1" x14ac:dyDescent="0.35"/>
    <row r="818" ht="12.75" customHeight="1" x14ac:dyDescent="0.35"/>
    <row r="819" ht="12.75" customHeight="1" x14ac:dyDescent="0.35"/>
    <row r="820" ht="12.75" customHeight="1" x14ac:dyDescent="0.35"/>
    <row r="821" ht="12.75" customHeight="1" x14ac:dyDescent="0.35"/>
    <row r="822" ht="12.75" customHeight="1" x14ac:dyDescent="0.35"/>
    <row r="823" ht="12.75" customHeight="1" x14ac:dyDescent="0.35"/>
    <row r="824" ht="12.75" customHeight="1" x14ac:dyDescent="0.35"/>
    <row r="825" ht="12.75" customHeight="1" x14ac:dyDescent="0.35"/>
    <row r="826" ht="12.75" customHeight="1" x14ac:dyDescent="0.35"/>
    <row r="827" ht="12.75" customHeight="1" x14ac:dyDescent="0.35"/>
    <row r="828" ht="12.75" customHeight="1" x14ac:dyDescent="0.35"/>
    <row r="829" ht="12.75" customHeight="1" x14ac:dyDescent="0.35"/>
    <row r="830" ht="12.75" customHeight="1" x14ac:dyDescent="0.35"/>
    <row r="831" ht="12.75" customHeight="1" x14ac:dyDescent="0.35"/>
    <row r="832" ht="12.75" customHeight="1" x14ac:dyDescent="0.35"/>
    <row r="833" ht="12.75" customHeight="1" x14ac:dyDescent="0.35"/>
    <row r="834" ht="12.75" customHeight="1" x14ac:dyDescent="0.35"/>
    <row r="835" ht="12.75" customHeight="1" x14ac:dyDescent="0.35"/>
    <row r="836" ht="12.75" customHeight="1" x14ac:dyDescent="0.35"/>
    <row r="837" ht="12.75" customHeight="1" x14ac:dyDescent="0.35"/>
    <row r="838" ht="12.75" customHeight="1" x14ac:dyDescent="0.35"/>
    <row r="839" ht="12.75" customHeight="1" x14ac:dyDescent="0.35"/>
    <row r="840" ht="12.75" customHeight="1" x14ac:dyDescent="0.35"/>
    <row r="841" ht="12.75" customHeight="1" x14ac:dyDescent="0.35"/>
    <row r="842" ht="12.75" customHeight="1" x14ac:dyDescent="0.35"/>
    <row r="843" ht="12.75" customHeight="1" x14ac:dyDescent="0.35"/>
    <row r="844" ht="12.75" customHeight="1" x14ac:dyDescent="0.35"/>
    <row r="845" ht="12.75" customHeight="1" x14ac:dyDescent="0.35"/>
    <row r="846" ht="12.75" customHeight="1" x14ac:dyDescent="0.35"/>
    <row r="847" ht="12.75" customHeight="1" x14ac:dyDescent="0.35"/>
    <row r="848" ht="12.75" customHeight="1" x14ac:dyDescent="0.35"/>
    <row r="849" ht="12.75" customHeight="1" x14ac:dyDescent="0.35"/>
    <row r="850" ht="12.75" customHeight="1" x14ac:dyDescent="0.35"/>
    <row r="851" ht="12.75" customHeight="1" x14ac:dyDescent="0.35"/>
    <row r="852" ht="12.75" customHeight="1" x14ac:dyDescent="0.35"/>
    <row r="853" ht="12.75" customHeight="1" x14ac:dyDescent="0.35"/>
    <row r="854" ht="12.75" customHeight="1" x14ac:dyDescent="0.35"/>
    <row r="855" ht="12.75" customHeight="1" x14ac:dyDescent="0.35"/>
    <row r="856" ht="12.75" customHeight="1" x14ac:dyDescent="0.35"/>
    <row r="857" ht="12.75" customHeight="1" x14ac:dyDescent="0.35"/>
    <row r="858" ht="12.75" customHeight="1" x14ac:dyDescent="0.35"/>
    <row r="859" ht="12.75" customHeight="1" x14ac:dyDescent="0.35"/>
    <row r="860" ht="12.75" customHeight="1" x14ac:dyDescent="0.35"/>
    <row r="861" ht="12.75" customHeight="1" x14ac:dyDescent="0.35"/>
    <row r="862" ht="12.75" customHeight="1" x14ac:dyDescent="0.35"/>
    <row r="863" ht="12.75" customHeight="1" x14ac:dyDescent="0.35"/>
    <row r="864" ht="12.75" customHeight="1" x14ac:dyDescent="0.35"/>
    <row r="865" ht="12.75" customHeight="1" x14ac:dyDescent="0.35"/>
    <row r="866" ht="12.75" customHeight="1" x14ac:dyDescent="0.35"/>
    <row r="867" ht="12.75" customHeight="1" x14ac:dyDescent="0.35"/>
    <row r="868" ht="12.75" customHeight="1" x14ac:dyDescent="0.35"/>
    <row r="869" ht="12.75" customHeight="1" x14ac:dyDescent="0.35"/>
    <row r="870" ht="12.75" customHeight="1" x14ac:dyDescent="0.35"/>
    <row r="871" ht="12.75" customHeight="1" x14ac:dyDescent="0.35"/>
    <row r="872" ht="12.75" customHeight="1" x14ac:dyDescent="0.35"/>
    <row r="873" ht="12.75" customHeight="1" x14ac:dyDescent="0.35"/>
    <row r="874" ht="12.75" customHeight="1" x14ac:dyDescent="0.35"/>
    <row r="875" ht="12.75" customHeight="1" x14ac:dyDescent="0.35"/>
    <row r="876" ht="12.75" customHeight="1" x14ac:dyDescent="0.35"/>
    <row r="877" ht="12.75" customHeight="1" x14ac:dyDescent="0.35"/>
    <row r="878" ht="12.75" customHeight="1" x14ac:dyDescent="0.35"/>
    <row r="879" ht="12.75" customHeight="1" x14ac:dyDescent="0.35"/>
    <row r="880" ht="12.75" customHeight="1" x14ac:dyDescent="0.35"/>
    <row r="881" ht="12.75" customHeight="1" x14ac:dyDescent="0.35"/>
    <row r="882" ht="12.75" customHeight="1" x14ac:dyDescent="0.35"/>
    <row r="883" ht="12.75" customHeight="1" x14ac:dyDescent="0.35"/>
    <row r="884" ht="12.75" customHeight="1" x14ac:dyDescent="0.35"/>
    <row r="885" ht="12.75" customHeight="1" x14ac:dyDescent="0.35"/>
    <row r="886" ht="12.75" customHeight="1" x14ac:dyDescent="0.35"/>
    <row r="887" ht="12.75" customHeight="1" x14ac:dyDescent="0.35"/>
    <row r="888" ht="12.75" customHeight="1" x14ac:dyDescent="0.35"/>
    <row r="889" ht="12.75" customHeight="1" x14ac:dyDescent="0.35"/>
    <row r="890" ht="12.75" customHeight="1" x14ac:dyDescent="0.35"/>
    <row r="891" ht="12.75" customHeight="1" x14ac:dyDescent="0.35"/>
    <row r="892" ht="12.75" customHeight="1" x14ac:dyDescent="0.35"/>
    <row r="893" ht="12.75" customHeight="1" x14ac:dyDescent="0.35"/>
    <row r="894" ht="12.75" customHeight="1" x14ac:dyDescent="0.35"/>
    <row r="895" ht="12.75" customHeight="1" x14ac:dyDescent="0.35"/>
    <row r="896" ht="12.75" customHeight="1" x14ac:dyDescent="0.35"/>
    <row r="897" ht="12.75" customHeight="1" x14ac:dyDescent="0.35"/>
    <row r="898" ht="12.75" customHeight="1" x14ac:dyDescent="0.35"/>
    <row r="899" ht="12.75" customHeight="1" x14ac:dyDescent="0.35"/>
    <row r="900" ht="12.75" customHeight="1" x14ac:dyDescent="0.35"/>
    <row r="901" ht="12.75" customHeight="1" x14ac:dyDescent="0.35"/>
    <row r="902" ht="12.75" customHeight="1" x14ac:dyDescent="0.35"/>
    <row r="903" ht="12.75" customHeight="1" x14ac:dyDescent="0.35"/>
    <row r="904" ht="12.75" customHeight="1" x14ac:dyDescent="0.35"/>
    <row r="905" ht="12.75" customHeight="1" x14ac:dyDescent="0.35"/>
    <row r="906" ht="12.75" customHeight="1" x14ac:dyDescent="0.35"/>
    <row r="907" ht="12.75" customHeight="1" x14ac:dyDescent="0.35"/>
    <row r="908" ht="12.75" customHeight="1" x14ac:dyDescent="0.35"/>
    <row r="909" ht="12.75" customHeight="1" x14ac:dyDescent="0.35"/>
    <row r="910" ht="12.75" customHeight="1" x14ac:dyDescent="0.35"/>
    <row r="911" ht="12.75" customHeight="1" x14ac:dyDescent="0.35"/>
    <row r="912" ht="12.75" customHeight="1" x14ac:dyDescent="0.35"/>
    <row r="913" ht="12.75" customHeight="1" x14ac:dyDescent="0.35"/>
    <row r="914" ht="12.75" customHeight="1" x14ac:dyDescent="0.35"/>
    <row r="915" ht="12.75" customHeight="1" x14ac:dyDescent="0.35"/>
    <row r="916" ht="12.75" customHeight="1" x14ac:dyDescent="0.35"/>
    <row r="917" ht="12.75" customHeight="1" x14ac:dyDescent="0.35"/>
    <row r="918" ht="12.75" customHeight="1" x14ac:dyDescent="0.35"/>
    <row r="919" ht="12.75" customHeight="1" x14ac:dyDescent="0.35"/>
    <row r="920" ht="12.75" customHeight="1" x14ac:dyDescent="0.35"/>
    <row r="921" ht="12.75" customHeight="1" x14ac:dyDescent="0.35"/>
    <row r="922" ht="12.75" customHeight="1" x14ac:dyDescent="0.35"/>
    <row r="923" ht="12.75" customHeight="1" x14ac:dyDescent="0.35"/>
    <row r="924" ht="12.75" customHeight="1" x14ac:dyDescent="0.35"/>
    <row r="925" ht="12.75" customHeight="1" x14ac:dyDescent="0.35"/>
    <row r="926" ht="12.75" customHeight="1" x14ac:dyDescent="0.35"/>
    <row r="927" ht="12.75" customHeight="1" x14ac:dyDescent="0.35"/>
    <row r="928" ht="12.75" customHeight="1" x14ac:dyDescent="0.35"/>
    <row r="929" ht="12.75" customHeight="1" x14ac:dyDescent="0.35"/>
    <row r="930" ht="12.75" customHeight="1" x14ac:dyDescent="0.35"/>
    <row r="931" ht="12.75" customHeight="1" x14ac:dyDescent="0.35"/>
    <row r="932" ht="12.75" customHeight="1" x14ac:dyDescent="0.35"/>
    <row r="933" ht="12.75" customHeight="1" x14ac:dyDescent="0.35"/>
    <row r="934" ht="12.75" customHeight="1" x14ac:dyDescent="0.35"/>
    <row r="935" ht="12.75" customHeight="1" x14ac:dyDescent="0.35"/>
    <row r="936" ht="12.75" customHeight="1" x14ac:dyDescent="0.35"/>
    <row r="937" ht="12.75" customHeight="1" x14ac:dyDescent="0.35"/>
    <row r="938" ht="12.75" customHeight="1" x14ac:dyDescent="0.35"/>
    <row r="939" ht="12.75" customHeight="1" x14ac:dyDescent="0.35"/>
    <row r="940" ht="12.75" customHeight="1" x14ac:dyDescent="0.35"/>
    <row r="941" ht="12.75" customHeight="1" x14ac:dyDescent="0.35"/>
    <row r="942" ht="12.75" customHeight="1" x14ac:dyDescent="0.35"/>
    <row r="943" ht="12.75" customHeight="1" x14ac:dyDescent="0.35"/>
    <row r="944" ht="12.75" customHeight="1" x14ac:dyDescent="0.35"/>
    <row r="945" ht="12.75" customHeight="1" x14ac:dyDescent="0.35"/>
    <row r="946" ht="12.75" customHeight="1" x14ac:dyDescent="0.35"/>
    <row r="947" ht="12.75" customHeight="1" x14ac:dyDescent="0.35"/>
    <row r="948" ht="12.75" customHeight="1" x14ac:dyDescent="0.35"/>
    <row r="949" ht="12.75" customHeight="1" x14ac:dyDescent="0.35"/>
    <row r="950" ht="12.75" customHeight="1" x14ac:dyDescent="0.35"/>
    <row r="951" ht="12.75" customHeight="1" x14ac:dyDescent="0.35"/>
    <row r="952" ht="12.75" customHeight="1" x14ac:dyDescent="0.35"/>
    <row r="953" ht="12.75" customHeight="1" x14ac:dyDescent="0.35"/>
    <row r="954" ht="12.75" customHeight="1" x14ac:dyDescent="0.35"/>
    <row r="955" ht="12.75" customHeight="1" x14ac:dyDescent="0.35"/>
    <row r="956" ht="12.75" customHeight="1" x14ac:dyDescent="0.35"/>
    <row r="957" ht="12.75" customHeight="1" x14ac:dyDescent="0.35"/>
    <row r="958" ht="12.75" customHeight="1" x14ac:dyDescent="0.35"/>
    <row r="959" ht="12.75" customHeight="1" x14ac:dyDescent="0.35"/>
    <row r="960" ht="12.75" customHeight="1" x14ac:dyDescent="0.35"/>
    <row r="961" ht="12.75" customHeight="1" x14ac:dyDescent="0.35"/>
    <row r="962" ht="12.75" customHeight="1" x14ac:dyDescent="0.35"/>
    <row r="963" ht="12.75" customHeight="1" x14ac:dyDescent="0.35"/>
    <row r="964" ht="12.75" customHeight="1" x14ac:dyDescent="0.35"/>
    <row r="965" ht="12.75" customHeight="1" x14ac:dyDescent="0.35"/>
    <row r="966" ht="12.75" customHeight="1" x14ac:dyDescent="0.35"/>
    <row r="967" ht="12.75" customHeight="1" x14ac:dyDescent="0.35"/>
    <row r="968" ht="12.75" customHeight="1" x14ac:dyDescent="0.35"/>
    <row r="969" ht="12.75" customHeight="1" x14ac:dyDescent="0.35"/>
    <row r="970" ht="12.75" customHeight="1" x14ac:dyDescent="0.35"/>
    <row r="971" ht="12.75" customHeight="1" x14ac:dyDescent="0.35"/>
    <row r="972" ht="12.75" customHeight="1" x14ac:dyDescent="0.35"/>
    <row r="973" ht="12.75" customHeight="1" x14ac:dyDescent="0.35"/>
    <row r="974" ht="12.75" customHeight="1" x14ac:dyDescent="0.35"/>
    <row r="975" ht="12.75" customHeight="1" x14ac:dyDescent="0.35"/>
    <row r="976" ht="12.75" customHeight="1" x14ac:dyDescent="0.35"/>
    <row r="977" ht="12.75" customHeight="1" x14ac:dyDescent="0.35"/>
    <row r="978" ht="12.75" customHeight="1" x14ac:dyDescent="0.35"/>
    <row r="979" ht="12.75" customHeight="1" x14ac:dyDescent="0.35"/>
    <row r="980" ht="12.75" customHeight="1" x14ac:dyDescent="0.35"/>
    <row r="981" ht="12.75" customHeight="1" x14ac:dyDescent="0.35"/>
    <row r="982" ht="12.75" customHeight="1" x14ac:dyDescent="0.35"/>
    <row r="983" ht="12.75" customHeight="1" x14ac:dyDescent="0.35"/>
    <row r="984" ht="12.75" customHeight="1" x14ac:dyDescent="0.35"/>
    <row r="985" ht="12.75" customHeight="1" x14ac:dyDescent="0.35"/>
    <row r="986" ht="12.75" customHeight="1" x14ac:dyDescent="0.35"/>
    <row r="987" ht="12.75" customHeight="1" x14ac:dyDescent="0.35"/>
    <row r="988" ht="12.75" customHeight="1" x14ac:dyDescent="0.35"/>
    <row r="989" ht="12.75" customHeight="1" x14ac:dyDescent="0.35"/>
    <row r="990" ht="12.75" customHeight="1" x14ac:dyDescent="0.35"/>
    <row r="991" ht="12.75" customHeight="1" x14ac:dyDescent="0.35"/>
    <row r="992" ht="12.75" customHeight="1" x14ac:dyDescent="0.35"/>
    <row r="993" ht="12.75" customHeight="1" x14ac:dyDescent="0.35"/>
    <row r="994" ht="12.75" customHeight="1" x14ac:dyDescent="0.35"/>
    <row r="995" ht="12.75" customHeight="1" x14ac:dyDescent="0.35"/>
    <row r="996" ht="12.75" customHeight="1" x14ac:dyDescent="0.35"/>
    <row r="997" ht="12.75" customHeight="1" x14ac:dyDescent="0.35"/>
    <row r="998" ht="12.75" customHeight="1" x14ac:dyDescent="0.35"/>
    <row r="999" ht="12.75" customHeight="1" x14ac:dyDescent="0.35"/>
    <row r="1000" ht="12.75" customHeight="1" x14ac:dyDescent="0.35"/>
    <row r="1001" ht="12.75" customHeight="1" x14ac:dyDescent="0.35"/>
    <row r="1002" ht="12.75" customHeight="1" x14ac:dyDescent="0.35"/>
    <row r="1003" ht="12.75" customHeight="1" x14ac:dyDescent="0.35"/>
    <row r="1004" ht="12.75" customHeight="1" x14ac:dyDescent="0.35"/>
    <row r="1005" ht="12.75" customHeight="1" x14ac:dyDescent="0.35"/>
    <row r="1006" ht="12.75" customHeight="1" x14ac:dyDescent="0.35"/>
    <row r="1007" ht="12.75" customHeight="1" x14ac:dyDescent="0.35"/>
    <row r="1008" ht="12.75" customHeight="1" x14ac:dyDescent="0.35"/>
    <row r="1009" ht="12.75" customHeight="1" x14ac:dyDescent="0.35"/>
    <row r="1010" ht="12.75" customHeight="1" x14ac:dyDescent="0.35"/>
    <row r="1011" ht="12.75" customHeight="1" x14ac:dyDescent="0.35"/>
    <row r="1012" ht="12.75" customHeight="1" x14ac:dyDescent="0.35"/>
    <row r="1013" ht="12.75" customHeight="1" x14ac:dyDescent="0.35"/>
    <row r="1014" ht="12.75" customHeight="1" x14ac:dyDescent="0.35"/>
    <row r="1015" ht="12.75" customHeight="1" x14ac:dyDescent="0.35"/>
    <row r="1016" ht="12.75" customHeight="1" x14ac:dyDescent="0.35"/>
    <row r="1017" ht="12.75" customHeight="1" x14ac:dyDescent="0.35"/>
    <row r="1018" ht="12.75" customHeight="1" x14ac:dyDescent="0.35"/>
    <row r="1019" ht="12.75" customHeight="1" x14ac:dyDescent="0.35"/>
    <row r="1020" ht="12.75" customHeight="1" x14ac:dyDescent="0.35"/>
    <row r="1021" ht="12.75" customHeight="1" x14ac:dyDescent="0.35"/>
    <row r="1022" ht="12.75" customHeight="1" x14ac:dyDescent="0.35"/>
    <row r="1023" ht="12.75" customHeight="1" x14ac:dyDescent="0.35"/>
    <row r="1024" ht="12.75" customHeight="1" x14ac:dyDescent="0.35"/>
    <row r="1025" ht="12.75" customHeight="1" x14ac:dyDescent="0.35"/>
    <row r="1026" ht="12.75" customHeight="1" x14ac:dyDescent="0.35"/>
    <row r="1027" ht="12.75" customHeight="1" x14ac:dyDescent="0.35"/>
    <row r="1028" ht="12.75" customHeight="1" x14ac:dyDescent="0.35"/>
    <row r="1029" ht="12.75" customHeight="1" x14ac:dyDescent="0.35"/>
    <row r="1030" ht="12.75" customHeight="1" x14ac:dyDescent="0.35"/>
    <row r="1031" ht="12.75" customHeight="1" x14ac:dyDescent="0.35"/>
    <row r="1032" ht="12.75" customHeight="1" x14ac:dyDescent="0.35"/>
    <row r="1033" ht="12.75" customHeight="1" x14ac:dyDescent="0.35"/>
    <row r="1034" ht="12.75" customHeight="1" x14ac:dyDescent="0.35"/>
    <row r="1035" ht="12.75" customHeight="1" x14ac:dyDescent="0.35"/>
    <row r="1036" ht="12.75" customHeight="1" x14ac:dyDescent="0.35"/>
    <row r="1037" ht="12.75" customHeight="1" x14ac:dyDescent="0.35"/>
    <row r="1038" ht="12.75" customHeight="1" x14ac:dyDescent="0.35"/>
    <row r="1039" ht="12.75" customHeight="1" x14ac:dyDescent="0.35"/>
    <row r="1040" ht="12.75" customHeight="1" x14ac:dyDescent="0.35"/>
    <row r="1041" ht="12.75" customHeight="1" x14ac:dyDescent="0.35"/>
    <row r="1042" ht="12.75" customHeight="1" x14ac:dyDescent="0.35"/>
    <row r="1043" ht="12.75" customHeight="1" x14ac:dyDescent="0.35"/>
    <row r="1044" ht="12.75" customHeight="1" x14ac:dyDescent="0.35"/>
    <row r="1045" ht="12.75" customHeight="1" x14ac:dyDescent="0.35"/>
    <row r="1046" ht="12.75" customHeight="1" x14ac:dyDescent="0.35"/>
    <row r="1047" ht="12.75" customHeight="1" x14ac:dyDescent="0.35"/>
    <row r="1048" ht="12.75" customHeight="1" x14ac:dyDescent="0.35"/>
    <row r="1049" ht="12.75" customHeight="1" x14ac:dyDescent="0.35"/>
    <row r="1050" ht="12.75" customHeight="1" x14ac:dyDescent="0.35"/>
    <row r="1051" ht="12.75" customHeight="1" x14ac:dyDescent="0.35"/>
    <row r="1052" ht="12.75" customHeight="1" x14ac:dyDescent="0.35"/>
    <row r="1053" ht="12.75" customHeight="1" x14ac:dyDescent="0.35"/>
    <row r="1054" ht="12.75" customHeight="1" x14ac:dyDescent="0.35"/>
    <row r="1055" ht="12.75" customHeight="1" x14ac:dyDescent="0.35"/>
    <row r="1056" ht="12.75" customHeight="1" x14ac:dyDescent="0.35"/>
    <row r="1057" ht="12.75" customHeight="1" x14ac:dyDescent="0.35"/>
    <row r="1058" ht="12.75" customHeight="1" x14ac:dyDescent="0.35"/>
    <row r="1059" ht="12.75" customHeight="1" x14ac:dyDescent="0.35"/>
    <row r="1060" ht="12.75" customHeight="1" x14ac:dyDescent="0.35"/>
    <row r="1061" ht="12.75" customHeight="1" x14ac:dyDescent="0.35"/>
    <row r="1062" ht="12.75" customHeight="1" x14ac:dyDescent="0.35"/>
    <row r="1063" ht="12.75" customHeight="1" x14ac:dyDescent="0.35"/>
    <row r="1064" ht="12.75" customHeight="1" x14ac:dyDescent="0.35"/>
    <row r="1065" ht="12.75" customHeight="1" x14ac:dyDescent="0.35"/>
    <row r="1066" ht="12.75" customHeight="1" x14ac:dyDescent="0.35"/>
    <row r="1067" ht="12.75" customHeight="1" x14ac:dyDescent="0.35"/>
    <row r="1068" ht="12.75" customHeight="1" x14ac:dyDescent="0.35"/>
    <row r="1069" ht="12.75" customHeight="1" x14ac:dyDescent="0.35"/>
    <row r="1070" ht="12.75" customHeight="1" x14ac:dyDescent="0.35"/>
    <row r="1071" ht="12.75" customHeight="1" x14ac:dyDescent="0.35"/>
    <row r="1072" ht="12.75" customHeight="1" x14ac:dyDescent="0.35"/>
    <row r="1073" ht="12.75" customHeight="1" x14ac:dyDescent="0.35"/>
    <row r="1074" ht="12.75" customHeight="1" x14ac:dyDescent="0.35"/>
    <row r="1075" ht="12.75" customHeight="1" x14ac:dyDescent="0.35"/>
    <row r="1076" ht="12.75" customHeight="1" x14ac:dyDescent="0.35"/>
    <row r="1077" ht="12.75" customHeight="1" x14ac:dyDescent="0.35"/>
    <row r="1078" ht="12.75" customHeight="1" x14ac:dyDescent="0.35"/>
    <row r="1079" ht="12.75" customHeight="1" x14ac:dyDescent="0.35"/>
    <row r="1080" ht="12.75" customHeight="1" x14ac:dyDescent="0.35"/>
    <row r="1081" ht="12.75" customHeight="1" x14ac:dyDescent="0.35"/>
    <row r="1082" ht="12.75" customHeight="1" x14ac:dyDescent="0.35"/>
    <row r="1083" ht="12.75" customHeight="1" x14ac:dyDescent="0.35"/>
    <row r="1084" ht="12.75" customHeight="1" x14ac:dyDescent="0.35"/>
    <row r="1085" ht="12.75" customHeight="1" x14ac:dyDescent="0.35"/>
    <row r="1086" ht="12.75" customHeight="1" x14ac:dyDescent="0.35"/>
    <row r="1087" ht="12.75" customHeight="1" x14ac:dyDescent="0.35"/>
    <row r="1088" ht="12.75" customHeight="1" x14ac:dyDescent="0.35"/>
    <row r="1089" ht="12.75" customHeight="1" x14ac:dyDescent="0.35"/>
    <row r="1090" ht="12.75" customHeight="1" x14ac:dyDescent="0.35"/>
    <row r="1091" ht="12.75" customHeight="1" x14ac:dyDescent="0.35"/>
    <row r="1092" ht="12.75" customHeight="1" x14ac:dyDescent="0.35"/>
    <row r="1093" ht="12.75" customHeight="1" x14ac:dyDescent="0.35"/>
    <row r="1094" ht="12.75" customHeight="1" x14ac:dyDescent="0.35"/>
    <row r="1095" ht="12.75" customHeight="1" x14ac:dyDescent="0.35"/>
    <row r="1096" ht="12.75" customHeight="1" x14ac:dyDescent="0.35"/>
    <row r="1097" ht="12.75" customHeight="1" x14ac:dyDescent="0.35"/>
    <row r="1098" ht="12.75" customHeight="1" x14ac:dyDescent="0.35"/>
    <row r="1099" ht="12.75" customHeight="1" x14ac:dyDescent="0.35"/>
    <row r="1100" ht="12.75" customHeight="1" x14ac:dyDescent="0.35"/>
    <row r="1101" ht="12.75" customHeight="1" x14ac:dyDescent="0.35"/>
    <row r="1102" ht="12.75" customHeight="1" x14ac:dyDescent="0.35"/>
    <row r="1103" ht="12.75" customHeight="1" x14ac:dyDescent="0.35"/>
    <row r="1104" ht="12.75" customHeight="1" x14ac:dyDescent="0.35"/>
    <row r="1105" ht="12.75" customHeight="1" x14ac:dyDescent="0.35"/>
    <row r="1106" ht="12.75" customHeight="1" x14ac:dyDescent="0.35"/>
    <row r="1107" ht="12.75" customHeight="1" x14ac:dyDescent="0.35"/>
    <row r="1108" ht="12.75" customHeight="1" x14ac:dyDescent="0.35"/>
    <row r="1109" ht="12.75" customHeight="1" x14ac:dyDescent="0.35"/>
    <row r="1110" ht="12.75" customHeight="1" x14ac:dyDescent="0.35"/>
    <row r="1111" ht="12.75" customHeight="1" x14ac:dyDescent="0.35"/>
    <row r="1112" ht="12.75" customHeight="1" x14ac:dyDescent="0.35"/>
    <row r="1113" ht="12.75" customHeight="1" x14ac:dyDescent="0.35"/>
    <row r="1114" ht="12.75" customHeight="1" x14ac:dyDescent="0.35"/>
    <row r="1115" ht="12.75" customHeight="1" x14ac:dyDescent="0.35"/>
    <row r="1116" ht="12.75" customHeight="1" x14ac:dyDescent="0.35"/>
    <row r="1117" ht="12.75" customHeight="1" x14ac:dyDescent="0.35"/>
    <row r="1118" ht="12.75" customHeight="1" x14ac:dyDescent="0.35"/>
    <row r="1119" ht="12.75" customHeight="1" x14ac:dyDescent="0.35"/>
    <row r="1120" ht="12.75" customHeight="1" x14ac:dyDescent="0.35"/>
    <row r="1121" ht="12.75" customHeight="1" x14ac:dyDescent="0.35"/>
    <row r="1122" ht="12.75" customHeight="1" x14ac:dyDescent="0.35"/>
    <row r="1123" ht="12.75" customHeight="1" x14ac:dyDescent="0.35"/>
    <row r="1124" ht="12.75" customHeight="1" x14ac:dyDescent="0.35"/>
    <row r="1125" ht="12.75" customHeight="1" x14ac:dyDescent="0.35"/>
    <row r="1126" ht="12.75" customHeight="1" x14ac:dyDescent="0.35"/>
    <row r="1127" ht="12.75" customHeight="1" x14ac:dyDescent="0.35"/>
    <row r="1128" ht="12.75" customHeight="1" x14ac:dyDescent="0.35"/>
    <row r="1129" ht="12.75" customHeight="1" x14ac:dyDescent="0.35"/>
    <row r="1130" ht="12.75" customHeight="1" x14ac:dyDescent="0.35"/>
    <row r="1131" ht="12.75" customHeight="1" x14ac:dyDescent="0.35"/>
    <row r="1132" ht="12.75" customHeight="1" x14ac:dyDescent="0.35"/>
    <row r="1133" ht="12.75" customHeight="1" x14ac:dyDescent="0.35"/>
    <row r="1134" ht="12.75" customHeight="1" x14ac:dyDescent="0.35"/>
    <row r="1135" ht="12.75" customHeight="1" x14ac:dyDescent="0.35"/>
    <row r="1136" ht="12.75" customHeight="1" x14ac:dyDescent="0.35"/>
    <row r="1137" ht="12.75" customHeight="1" x14ac:dyDescent="0.35"/>
    <row r="1138" ht="12.75" customHeight="1" x14ac:dyDescent="0.35"/>
    <row r="1139" ht="12.75" customHeight="1" x14ac:dyDescent="0.35"/>
    <row r="1140" ht="12.75" customHeight="1" x14ac:dyDescent="0.35"/>
    <row r="1141" ht="12.75" customHeight="1" x14ac:dyDescent="0.35"/>
    <row r="1142" ht="12.75" customHeight="1" x14ac:dyDescent="0.35"/>
    <row r="1143" ht="12.75" customHeight="1" x14ac:dyDescent="0.35"/>
    <row r="1144" ht="12.75" customHeight="1" x14ac:dyDescent="0.35"/>
    <row r="1145" ht="12.75" customHeight="1" x14ac:dyDescent="0.35"/>
    <row r="1146" ht="12.75" customHeight="1" x14ac:dyDescent="0.35"/>
    <row r="1147" ht="12.75" customHeight="1" x14ac:dyDescent="0.35"/>
    <row r="1148" ht="12.75" customHeight="1" x14ac:dyDescent="0.35"/>
    <row r="1149" ht="12.75" customHeight="1" x14ac:dyDescent="0.35"/>
    <row r="1150" ht="12.75" customHeight="1" x14ac:dyDescent="0.35"/>
    <row r="1151" ht="12.75" customHeight="1" x14ac:dyDescent="0.35"/>
    <row r="1152" ht="12.75" customHeight="1" x14ac:dyDescent="0.35"/>
    <row r="1153" ht="12.75" customHeight="1" x14ac:dyDescent="0.35"/>
    <row r="1154" ht="12.75" customHeight="1" x14ac:dyDescent="0.35"/>
    <row r="1155" ht="12.75" customHeight="1" x14ac:dyDescent="0.35"/>
    <row r="1156" ht="12.75" customHeight="1" x14ac:dyDescent="0.35"/>
    <row r="1157" ht="12.75" customHeight="1" x14ac:dyDescent="0.35"/>
    <row r="1158" ht="12.75" customHeight="1" x14ac:dyDescent="0.35"/>
    <row r="1159" ht="12.75" customHeight="1" x14ac:dyDescent="0.35"/>
    <row r="1160" ht="12.75" customHeight="1" x14ac:dyDescent="0.35"/>
    <row r="1161" ht="12.75" customHeight="1" x14ac:dyDescent="0.35"/>
    <row r="1162" ht="12.75" customHeight="1" x14ac:dyDescent="0.35"/>
    <row r="1163" ht="12.75" customHeight="1" x14ac:dyDescent="0.35"/>
    <row r="1164" ht="12.75" customHeight="1" x14ac:dyDescent="0.35"/>
    <row r="1165" ht="12.75" customHeight="1" x14ac:dyDescent="0.35"/>
    <row r="1166" ht="12.75" customHeight="1" x14ac:dyDescent="0.35"/>
    <row r="1167" ht="12.75" customHeight="1" x14ac:dyDescent="0.35"/>
    <row r="1168" ht="12.75" customHeight="1" x14ac:dyDescent="0.35"/>
    <row r="1169" ht="12.75" customHeight="1" x14ac:dyDescent="0.35"/>
    <row r="1170" ht="12.75" customHeight="1" x14ac:dyDescent="0.35"/>
    <row r="1171" ht="12.75" customHeight="1" x14ac:dyDescent="0.35"/>
    <row r="1172" ht="12.75" customHeight="1" x14ac:dyDescent="0.35"/>
    <row r="1173" ht="12.75" customHeight="1" x14ac:dyDescent="0.35"/>
    <row r="1174" ht="12.75" customHeight="1" x14ac:dyDescent="0.35"/>
    <row r="1175" ht="12.75" customHeight="1" x14ac:dyDescent="0.35"/>
    <row r="1176" ht="12.75" customHeight="1" x14ac:dyDescent="0.35"/>
    <row r="1177" ht="12.75" customHeight="1" x14ac:dyDescent="0.35"/>
    <row r="1178" ht="12.75" customHeight="1" x14ac:dyDescent="0.35"/>
    <row r="1179" ht="12.75" customHeight="1" x14ac:dyDescent="0.35"/>
    <row r="1180" ht="12.75" customHeight="1" x14ac:dyDescent="0.35"/>
    <row r="1181" ht="12.75" customHeight="1" x14ac:dyDescent="0.35"/>
    <row r="1182" ht="12.75" customHeight="1" x14ac:dyDescent="0.35"/>
    <row r="1183" ht="12.75" customHeight="1" x14ac:dyDescent="0.35"/>
    <row r="1184" ht="12.75" customHeight="1" x14ac:dyDescent="0.35"/>
    <row r="1185" ht="12.75" customHeight="1" x14ac:dyDescent="0.35"/>
    <row r="1186" ht="12.75" customHeight="1" x14ac:dyDescent="0.35"/>
    <row r="1187" ht="12.75" customHeight="1" x14ac:dyDescent="0.35"/>
    <row r="1188" ht="12.75" customHeight="1" x14ac:dyDescent="0.35"/>
    <row r="1189" ht="12.75" customHeight="1" x14ac:dyDescent="0.35"/>
    <row r="1190" ht="12.75" customHeight="1" x14ac:dyDescent="0.35"/>
    <row r="1191" ht="12.75" customHeight="1" x14ac:dyDescent="0.35"/>
    <row r="1192" ht="12.75" customHeight="1" x14ac:dyDescent="0.35"/>
    <row r="1193" ht="12.75" customHeight="1" x14ac:dyDescent="0.35"/>
    <row r="1194" ht="12.75" customHeight="1" x14ac:dyDescent="0.35"/>
    <row r="1195" ht="12.75" customHeight="1" x14ac:dyDescent="0.35"/>
    <row r="1196" ht="12.75" customHeight="1" x14ac:dyDescent="0.35"/>
    <row r="1197" ht="12.75" customHeight="1" x14ac:dyDescent="0.35"/>
    <row r="1198" ht="12.75" customHeight="1" x14ac:dyDescent="0.35"/>
    <row r="1199" ht="12.75" customHeight="1" x14ac:dyDescent="0.35"/>
    <row r="1200" ht="12.75" customHeight="1" x14ac:dyDescent="0.35"/>
    <row r="1201" ht="12.75" customHeight="1" x14ac:dyDescent="0.35"/>
    <row r="1202" ht="12.75" customHeight="1" x14ac:dyDescent="0.35"/>
    <row r="1203" ht="12.75" customHeight="1" x14ac:dyDescent="0.35"/>
    <row r="1204" ht="12.75" customHeight="1" x14ac:dyDescent="0.35"/>
    <row r="1205" ht="12.75" customHeight="1" x14ac:dyDescent="0.35"/>
    <row r="1206" ht="12.75" customHeight="1" x14ac:dyDescent="0.35"/>
    <row r="1207" ht="12.75" customHeight="1" x14ac:dyDescent="0.35"/>
    <row r="1208" ht="12.75" customHeight="1" x14ac:dyDescent="0.35"/>
    <row r="1209" ht="12.75" customHeight="1" x14ac:dyDescent="0.35"/>
    <row r="1210" ht="12.75" customHeight="1" x14ac:dyDescent="0.35"/>
    <row r="1211" ht="12.75" customHeight="1" x14ac:dyDescent="0.35"/>
    <row r="1212" ht="12.75" customHeight="1" x14ac:dyDescent="0.35"/>
    <row r="1213" ht="12.75" customHeight="1" x14ac:dyDescent="0.35"/>
    <row r="1214" ht="12.75" customHeight="1" x14ac:dyDescent="0.35"/>
    <row r="1215" ht="12.75" customHeight="1" x14ac:dyDescent="0.35"/>
    <row r="1216" ht="12.75" customHeight="1" x14ac:dyDescent="0.35"/>
    <row r="1217" ht="12.75" customHeight="1" x14ac:dyDescent="0.35"/>
    <row r="1218" ht="12.75" customHeight="1" x14ac:dyDescent="0.35"/>
    <row r="1219" ht="12.75" customHeight="1" x14ac:dyDescent="0.35"/>
    <row r="1220" ht="12.75" customHeight="1" x14ac:dyDescent="0.35"/>
    <row r="1221" ht="12.75" customHeight="1" x14ac:dyDescent="0.35"/>
    <row r="1222" ht="12.75" customHeight="1" x14ac:dyDescent="0.35"/>
    <row r="1223" ht="12.75" customHeight="1" x14ac:dyDescent="0.35"/>
    <row r="1224" ht="12.75" customHeight="1" x14ac:dyDescent="0.35"/>
    <row r="1225" ht="12.75" customHeight="1" x14ac:dyDescent="0.35"/>
    <row r="1226" ht="12.75" customHeight="1" x14ac:dyDescent="0.35"/>
    <row r="1227" ht="12.75" customHeight="1" x14ac:dyDescent="0.35"/>
    <row r="1228" ht="12.75" customHeight="1" x14ac:dyDescent="0.35"/>
    <row r="1229" ht="12.75" customHeight="1" x14ac:dyDescent="0.35"/>
    <row r="1230" ht="12.75" customHeight="1" x14ac:dyDescent="0.35"/>
    <row r="1231" ht="12.75" customHeight="1" x14ac:dyDescent="0.35"/>
    <row r="1232" ht="12.75" customHeight="1" x14ac:dyDescent="0.35"/>
    <row r="1233" ht="12.75" customHeight="1" x14ac:dyDescent="0.35"/>
    <row r="1234" ht="12.75" customHeight="1" x14ac:dyDescent="0.35"/>
    <row r="1235" ht="12.75" customHeight="1" x14ac:dyDescent="0.35"/>
    <row r="1236" ht="12.75" customHeight="1" x14ac:dyDescent="0.35"/>
    <row r="1237" ht="12.75" customHeight="1" x14ac:dyDescent="0.35"/>
    <row r="1238" ht="12.75" customHeight="1" x14ac:dyDescent="0.35"/>
    <row r="1239" ht="12.75" customHeight="1" x14ac:dyDescent="0.35"/>
    <row r="1240" ht="12.75" customHeight="1" x14ac:dyDescent="0.35"/>
    <row r="1241" ht="12.75" customHeight="1" x14ac:dyDescent="0.35"/>
    <row r="1242" ht="12.75" customHeight="1" x14ac:dyDescent="0.35"/>
    <row r="1243" ht="12.75" customHeight="1" x14ac:dyDescent="0.35"/>
    <row r="1244" ht="12.75" customHeight="1" x14ac:dyDescent="0.35"/>
    <row r="1245" ht="12.75" customHeight="1" x14ac:dyDescent="0.35"/>
    <row r="1246" ht="12.75" customHeight="1" x14ac:dyDescent="0.35"/>
    <row r="1247" ht="12.75" customHeight="1" x14ac:dyDescent="0.35"/>
    <row r="1248" ht="12.75" customHeight="1" x14ac:dyDescent="0.35"/>
    <row r="1249" ht="12.75" customHeight="1" x14ac:dyDescent="0.35"/>
    <row r="1250" ht="12.75" customHeight="1" x14ac:dyDescent="0.35"/>
    <row r="1251" ht="12.75" customHeight="1" x14ac:dyDescent="0.35"/>
    <row r="1252" ht="12.75" customHeight="1" x14ac:dyDescent="0.35"/>
    <row r="1253" ht="12.75" customHeight="1" x14ac:dyDescent="0.35"/>
    <row r="1254" ht="12.75" customHeight="1" x14ac:dyDescent="0.35"/>
    <row r="1255" ht="12.75" customHeight="1" x14ac:dyDescent="0.35"/>
    <row r="1256" ht="12.75" customHeight="1" x14ac:dyDescent="0.35"/>
    <row r="1257" ht="12.75" customHeight="1" x14ac:dyDescent="0.35"/>
    <row r="1258" ht="12.75" customHeight="1" x14ac:dyDescent="0.35"/>
    <row r="1259" ht="12.75" customHeight="1" x14ac:dyDescent="0.35"/>
    <row r="1260" ht="12.75" customHeight="1" x14ac:dyDescent="0.35"/>
    <row r="1261" ht="12.75" customHeight="1" x14ac:dyDescent="0.35"/>
    <row r="1262" ht="12.75" customHeight="1" x14ac:dyDescent="0.35"/>
    <row r="1263" ht="12.75" customHeight="1" x14ac:dyDescent="0.35"/>
    <row r="1264" ht="12.75" customHeight="1" x14ac:dyDescent="0.35"/>
    <row r="1265" ht="12.75" customHeight="1" x14ac:dyDescent="0.35"/>
    <row r="1266" ht="12.75" customHeight="1" x14ac:dyDescent="0.35"/>
    <row r="1267" ht="12.75" customHeight="1" x14ac:dyDescent="0.35"/>
    <row r="1268" ht="12.75" customHeight="1" x14ac:dyDescent="0.35"/>
    <row r="1269" ht="12.75" customHeight="1" x14ac:dyDescent="0.35"/>
    <row r="1270" ht="12.75" customHeight="1" x14ac:dyDescent="0.35"/>
    <row r="1271" ht="12.75" customHeight="1" x14ac:dyDescent="0.35"/>
    <row r="1272" ht="12.75" customHeight="1" x14ac:dyDescent="0.35"/>
    <row r="1273" ht="12.75" customHeight="1" x14ac:dyDescent="0.35"/>
    <row r="1274" ht="12.75" customHeight="1" x14ac:dyDescent="0.35"/>
    <row r="1275" ht="12.75" customHeight="1" x14ac:dyDescent="0.35"/>
    <row r="1276" ht="12.75" customHeight="1" x14ac:dyDescent="0.35"/>
    <row r="1277" ht="12.75" customHeight="1" x14ac:dyDescent="0.35"/>
    <row r="1278" ht="12.75" customHeight="1" x14ac:dyDescent="0.35"/>
    <row r="1279" ht="12.75" customHeight="1" x14ac:dyDescent="0.35"/>
    <row r="1280" ht="12.75" customHeight="1" x14ac:dyDescent="0.35"/>
    <row r="1281" ht="12.75" customHeight="1" x14ac:dyDescent="0.35"/>
    <row r="1282" ht="12.75" customHeight="1" x14ac:dyDescent="0.35"/>
    <row r="1283" ht="12.75" customHeight="1" x14ac:dyDescent="0.35"/>
    <row r="1284" ht="12.75" customHeight="1" x14ac:dyDescent="0.35"/>
    <row r="1285" ht="12.75" customHeight="1" x14ac:dyDescent="0.35"/>
    <row r="1286" ht="12.75" customHeight="1" x14ac:dyDescent="0.35"/>
    <row r="1287" ht="12.75" customHeight="1" x14ac:dyDescent="0.35"/>
    <row r="1288" ht="12.75" customHeight="1" x14ac:dyDescent="0.35"/>
    <row r="1289" ht="12.75" customHeight="1" x14ac:dyDescent="0.35"/>
    <row r="1290" ht="12.75" customHeight="1" x14ac:dyDescent="0.35"/>
    <row r="1291" ht="12.75" customHeight="1" x14ac:dyDescent="0.35"/>
    <row r="1292" ht="12.75" customHeight="1" x14ac:dyDescent="0.35"/>
    <row r="1293" ht="12.75" customHeight="1" x14ac:dyDescent="0.35"/>
    <row r="1294" ht="12.75" customHeight="1" x14ac:dyDescent="0.35"/>
    <row r="1295" ht="12.75" customHeight="1" x14ac:dyDescent="0.35"/>
    <row r="1296" ht="12.75" customHeight="1" x14ac:dyDescent="0.35"/>
    <row r="1297" ht="12.75" customHeight="1" x14ac:dyDescent="0.35"/>
    <row r="1298" ht="12.75" customHeight="1" x14ac:dyDescent="0.35"/>
    <row r="1299" ht="12.75" customHeight="1" x14ac:dyDescent="0.35"/>
    <row r="1300" ht="12.75" customHeight="1" x14ac:dyDescent="0.35"/>
    <row r="1301" ht="12.75" customHeight="1" x14ac:dyDescent="0.35"/>
    <row r="1302" ht="12.75" customHeight="1" x14ac:dyDescent="0.35"/>
    <row r="1303" ht="12.75" customHeight="1" x14ac:dyDescent="0.35"/>
    <row r="1304" ht="12.75" customHeight="1" x14ac:dyDescent="0.35"/>
    <row r="1305" ht="12.75" customHeight="1" x14ac:dyDescent="0.35"/>
    <row r="1306" ht="12.75" customHeight="1" x14ac:dyDescent="0.35"/>
    <row r="1307" ht="12.75" customHeight="1" x14ac:dyDescent="0.35"/>
    <row r="1308" ht="12.75" customHeight="1" x14ac:dyDescent="0.35"/>
    <row r="1309" ht="12.75" customHeight="1" x14ac:dyDescent="0.35"/>
    <row r="1310" ht="12.75" customHeight="1" x14ac:dyDescent="0.35"/>
    <row r="1311" ht="12.75" customHeight="1" x14ac:dyDescent="0.35"/>
    <row r="1312" ht="12.75" customHeight="1" x14ac:dyDescent="0.35"/>
    <row r="1313" ht="12.75" customHeight="1" x14ac:dyDescent="0.35"/>
    <row r="1314" ht="12.75" customHeight="1" x14ac:dyDescent="0.35"/>
    <row r="1315" ht="12.75" customHeight="1" x14ac:dyDescent="0.35"/>
    <row r="1316" ht="12.75" customHeight="1" x14ac:dyDescent="0.35"/>
    <row r="1317" ht="12.75" customHeight="1" x14ac:dyDescent="0.35"/>
    <row r="1318" ht="12.75" customHeight="1" x14ac:dyDescent="0.35"/>
    <row r="1319" ht="12.75" customHeight="1" x14ac:dyDescent="0.35"/>
    <row r="1320" ht="12.75" customHeight="1" x14ac:dyDescent="0.35"/>
    <row r="1321" ht="12.75" customHeight="1" x14ac:dyDescent="0.35"/>
    <row r="1322" ht="12.75" customHeight="1" x14ac:dyDescent="0.35"/>
    <row r="1323" ht="12.75" customHeight="1" x14ac:dyDescent="0.35"/>
    <row r="1324" ht="12.75" customHeight="1" x14ac:dyDescent="0.35"/>
    <row r="1325" ht="12.75" customHeight="1" x14ac:dyDescent="0.35"/>
    <row r="1326" ht="12.75" customHeight="1" x14ac:dyDescent="0.35"/>
    <row r="1327" ht="12.75" customHeight="1" x14ac:dyDescent="0.35"/>
    <row r="1328" ht="12.75" customHeight="1" x14ac:dyDescent="0.35"/>
    <row r="1329" ht="12.75" customHeight="1" x14ac:dyDescent="0.35"/>
    <row r="1330" ht="12.75" customHeight="1" x14ac:dyDescent="0.35"/>
    <row r="1331" ht="12.75" customHeight="1" x14ac:dyDescent="0.35"/>
    <row r="1332" ht="12.75" customHeight="1" x14ac:dyDescent="0.35"/>
    <row r="1333" ht="12.75" customHeight="1" x14ac:dyDescent="0.35"/>
    <row r="1334" ht="12.75" customHeight="1" x14ac:dyDescent="0.35"/>
    <row r="1335" ht="12.75" customHeight="1" x14ac:dyDescent="0.35"/>
    <row r="1336" ht="12.75" customHeight="1" x14ac:dyDescent="0.35"/>
    <row r="1337" ht="12.75" customHeight="1" x14ac:dyDescent="0.35"/>
    <row r="1338" ht="12.75" customHeight="1" x14ac:dyDescent="0.35"/>
    <row r="1339" ht="12.75" customHeight="1" x14ac:dyDescent="0.35"/>
    <row r="1340" ht="12.75" customHeight="1" x14ac:dyDescent="0.35"/>
    <row r="1341" ht="12.75" customHeight="1" x14ac:dyDescent="0.35"/>
    <row r="1342" ht="12.75" customHeight="1" x14ac:dyDescent="0.35"/>
    <row r="1343" ht="12.75" customHeight="1" x14ac:dyDescent="0.35"/>
    <row r="1344" ht="12.75" customHeight="1" x14ac:dyDescent="0.35"/>
    <row r="1345" ht="12.75" customHeight="1" x14ac:dyDescent="0.35"/>
    <row r="1346" ht="12.75" customHeight="1" x14ac:dyDescent="0.35"/>
    <row r="1347" ht="12.75" customHeight="1" x14ac:dyDescent="0.35"/>
    <row r="1348" ht="12.75" customHeight="1" x14ac:dyDescent="0.35"/>
    <row r="1349" ht="12.75" customHeight="1" x14ac:dyDescent="0.35"/>
    <row r="1350" ht="12.75" customHeight="1" x14ac:dyDescent="0.35"/>
    <row r="1351" ht="12.75" customHeight="1" x14ac:dyDescent="0.35"/>
    <row r="1352" ht="12.75" customHeight="1" x14ac:dyDescent="0.35"/>
    <row r="1353" ht="12.75" customHeight="1" x14ac:dyDescent="0.35"/>
    <row r="1354" ht="12.75" customHeight="1" x14ac:dyDescent="0.35"/>
    <row r="1355" ht="12.75" customHeight="1" x14ac:dyDescent="0.35"/>
    <row r="1356" ht="12.75" customHeight="1" x14ac:dyDescent="0.35"/>
    <row r="1357" ht="12.75" customHeight="1" x14ac:dyDescent="0.35"/>
    <row r="1358" ht="12.75" customHeight="1" x14ac:dyDescent="0.35"/>
    <row r="1359" ht="12.75" customHeight="1" x14ac:dyDescent="0.35"/>
    <row r="1360" ht="12.75" customHeight="1" x14ac:dyDescent="0.35"/>
    <row r="1361" ht="12.75" customHeight="1" x14ac:dyDescent="0.35"/>
    <row r="1362" ht="12.75" customHeight="1" x14ac:dyDescent="0.35"/>
    <row r="1363" ht="12.75" customHeight="1" x14ac:dyDescent="0.35"/>
    <row r="1364" ht="12.75" customHeight="1" x14ac:dyDescent="0.35"/>
    <row r="1365" ht="12.75" customHeight="1" x14ac:dyDescent="0.35"/>
    <row r="1366" ht="12.75" customHeight="1" x14ac:dyDescent="0.35"/>
    <row r="1367" ht="12.75" customHeight="1" x14ac:dyDescent="0.35"/>
    <row r="1368" ht="12.75" customHeight="1" x14ac:dyDescent="0.35"/>
    <row r="1369" ht="12.75" customHeight="1" x14ac:dyDescent="0.35"/>
    <row r="1370" ht="12.75" customHeight="1" x14ac:dyDescent="0.35"/>
    <row r="1371" ht="12.75" customHeight="1" x14ac:dyDescent="0.35"/>
    <row r="1372" ht="12.75" customHeight="1" x14ac:dyDescent="0.35"/>
    <row r="1373" ht="12.75" customHeight="1" x14ac:dyDescent="0.35"/>
    <row r="1374" ht="12.75" customHeight="1" x14ac:dyDescent="0.35"/>
    <row r="1375" ht="12.75" customHeight="1" x14ac:dyDescent="0.35"/>
    <row r="1376" ht="12.75" customHeight="1" x14ac:dyDescent="0.35"/>
    <row r="1377" ht="12.75" customHeight="1" x14ac:dyDescent="0.35"/>
    <row r="1378" ht="12.75" customHeight="1" x14ac:dyDescent="0.35"/>
    <row r="1379" ht="12.75" customHeight="1" x14ac:dyDescent="0.35"/>
    <row r="1380" ht="12.75" customHeight="1" x14ac:dyDescent="0.35"/>
    <row r="1381" ht="12.75" customHeight="1" x14ac:dyDescent="0.35"/>
    <row r="1382" ht="12.75" customHeight="1" x14ac:dyDescent="0.35"/>
    <row r="1383" ht="12.75" customHeight="1" x14ac:dyDescent="0.35"/>
    <row r="1384" ht="12.75" customHeight="1" x14ac:dyDescent="0.35"/>
    <row r="1385" ht="12.75" customHeight="1" x14ac:dyDescent="0.35"/>
    <row r="1386" ht="12.75" customHeight="1" x14ac:dyDescent="0.35"/>
    <row r="1387" ht="12.75" customHeight="1" x14ac:dyDescent="0.35"/>
    <row r="1388" ht="12.75" customHeight="1" x14ac:dyDescent="0.35"/>
    <row r="1389" ht="12.75" customHeight="1" x14ac:dyDescent="0.35"/>
    <row r="1390" ht="12.75" customHeight="1" x14ac:dyDescent="0.35"/>
    <row r="1391" ht="12.75" customHeight="1" x14ac:dyDescent="0.35"/>
    <row r="1392" ht="12.75" customHeight="1" x14ac:dyDescent="0.35"/>
    <row r="1393" ht="12.75" customHeight="1" x14ac:dyDescent="0.35"/>
    <row r="1394" ht="12.75" customHeight="1" x14ac:dyDescent="0.35"/>
    <row r="1395" ht="12.75" customHeight="1" x14ac:dyDescent="0.35"/>
    <row r="1396" ht="12.75" customHeight="1" x14ac:dyDescent="0.35"/>
    <row r="1397" ht="12.75" customHeight="1" x14ac:dyDescent="0.35"/>
    <row r="1398" ht="12.75" customHeight="1" x14ac:dyDescent="0.35"/>
    <row r="1399" ht="12.75" customHeight="1" x14ac:dyDescent="0.35"/>
    <row r="1400" ht="12.75" customHeight="1" x14ac:dyDescent="0.35"/>
    <row r="1401" ht="12.75" customHeight="1" x14ac:dyDescent="0.35"/>
    <row r="1402" ht="12.75" customHeight="1" x14ac:dyDescent="0.35"/>
    <row r="1403" ht="12.75" customHeight="1" x14ac:dyDescent="0.35"/>
    <row r="1404" ht="12.75" customHeight="1" x14ac:dyDescent="0.35"/>
    <row r="1405" ht="12.75" customHeight="1" x14ac:dyDescent="0.35"/>
    <row r="1406" ht="12.75" customHeight="1" x14ac:dyDescent="0.35"/>
    <row r="1407" ht="12.75" customHeight="1" x14ac:dyDescent="0.35"/>
    <row r="1408" ht="12.75" customHeight="1" x14ac:dyDescent="0.35"/>
    <row r="1409" ht="12.75" customHeight="1" x14ac:dyDescent="0.35"/>
    <row r="1410" ht="12.75" customHeight="1" x14ac:dyDescent="0.35"/>
    <row r="1411" ht="12.75" customHeight="1" x14ac:dyDescent="0.35"/>
    <row r="1412" ht="12.75" customHeight="1" x14ac:dyDescent="0.35"/>
    <row r="1413" ht="12.75" customHeight="1" x14ac:dyDescent="0.35"/>
    <row r="1414" ht="12.75" customHeight="1" x14ac:dyDescent="0.35"/>
    <row r="1415" ht="12.75" customHeight="1" x14ac:dyDescent="0.35"/>
    <row r="1416" ht="12.75" customHeight="1" x14ac:dyDescent="0.35"/>
    <row r="1417" ht="12.75" customHeight="1" x14ac:dyDescent="0.35"/>
    <row r="1418" ht="12.75" customHeight="1" x14ac:dyDescent="0.35"/>
    <row r="1419" ht="12.75" customHeight="1" x14ac:dyDescent="0.35"/>
    <row r="1420" ht="12.75" customHeight="1" x14ac:dyDescent="0.35"/>
    <row r="1421" ht="12.75" customHeight="1" x14ac:dyDescent="0.35"/>
    <row r="1422" ht="12.75" customHeight="1" x14ac:dyDescent="0.35"/>
    <row r="1423" ht="12.75" customHeight="1" x14ac:dyDescent="0.35"/>
    <row r="1424" ht="12.75" customHeight="1" x14ac:dyDescent="0.35"/>
    <row r="1425" ht="12.75" customHeight="1" x14ac:dyDescent="0.35"/>
    <row r="1426" ht="12.75" customHeight="1" x14ac:dyDescent="0.35"/>
    <row r="1427" ht="12.75" customHeight="1" x14ac:dyDescent="0.35"/>
    <row r="1428" ht="12.75" customHeight="1" x14ac:dyDescent="0.35"/>
    <row r="1429" ht="12.75" customHeight="1" x14ac:dyDescent="0.35"/>
    <row r="1430" ht="12.75" customHeight="1" x14ac:dyDescent="0.35"/>
    <row r="1431" ht="12.75" customHeight="1" x14ac:dyDescent="0.35"/>
    <row r="1432" ht="12.75" customHeight="1" x14ac:dyDescent="0.35"/>
    <row r="1433" ht="12.75" customHeight="1" x14ac:dyDescent="0.35"/>
    <row r="1434" ht="12.75" customHeight="1" x14ac:dyDescent="0.35"/>
    <row r="1435" ht="12.75" customHeight="1" x14ac:dyDescent="0.35"/>
    <row r="1436" ht="12.75" customHeight="1" x14ac:dyDescent="0.35"/>
    <row r="1437" ht="12.75" customHeight="1" x14ac:dyDescent="0.35"/>
    <row r="1438" ht="12.75" customHeight="1" x14ac:dyDescent="0.35"/>
    <row r="1439" ht="12.75" customHeight="1" x14ac:dyDescent="0.35"/>
    <row r="1440" ht="12.75" customHeight="1" x14ac:dyDescent="0.35"/>
    <row r="1441" ht="12.75" customHeight="1" x14ac:dyDescent="0.35"/>
    <row r="1442" ht="12.75" customHeight="1" x14ac:dyDescent="0.35"/>
    <row r="1443" ht="12.75" customHeight="1" x14ac:dyDescent="0.35"/>
    <row r="1444" ht="12.75" customHeight="1" x14ac:dyDescent="0.35"/>
    <row r="1445" ht="12.75" customHeight="1" x14ac:dyDescent="0.35"/>
    <row r="1446" ht="12.75" customHeight="1" x14ac:dyDescent="0.35"/>
    <row r="1447" ht="12.75" customHeight="1" x14ac:dyDescent="0.35"/>
    <row r="1448" ht="12.75" customHeight="1" x14ac:dyDescent="0.35"/>
    <row r="1449" ht="12.75" customHeight="1" x14ac:dyDescent="0.35"/>
    <row r="1450" ht="12.75" customHeight="1" x14ac:dyDescent="0.35"/>
    <row r="1451" ht="12.75" customHeight="1" x14ac:dyDescent="0.35"/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00DC3-7AFB-4C27-AA11-5B885CFB5F74}">
  <dimension ref="A1:M29"/>
  <sheetViews>
    <sheetView showGridLines="0" topLeftCell="A13" zoomScale="75" zoomScaleNormal="75" workbookViewId="0">
      <selection activeCell="J17" sqref="J17"/>
    </sheetView>
  </sheetViews>
  <sheetFormatPr defaultColWidth="9.08984375" defaultRowHeight="14.5" x14ac:dyDescent="0.35"/>
  <cols>
    <col min="1" max="1" width="32.08984375" bestFit="1" customWidth="1"/>
    <col min="2" max="2" width="11.453125" bestFit="1" customWidth="1"/>
    <col min="3" max="3" width="11" bestFit="1" customWidth="1"/>
    <col min="4" max="4" width="7.453125" customWidth="1"/>
    <col min="5" max="5" width="10.08984375" bestFit="1" customWidth="1"/>
    <col min="6" max="6" width="28.54296875" bestFit="1" customWidth="1"/>
    <col min="7" max="7" width="12.08984375" bestFit="1" customWidth="1"/>
    <col min="8" max="9" width="6.54296875" bestFit="1" customWidth="1"/>
    <col min="10" max="10" width="6" bestFit="1" customWidth="1"/>
    <col min="11" max="11" width="5.08984375" bestFit="1" customWidth="1"/>
    <col min="12" max="12" width="11.08984375" bestFit="1" customWidth="1"/>
    <col min="13" max="13" width="12.90625" bestFit="1" customWidth="1"/>
    <col min="14" max="14" width="11.08984375" bestFit="1" customWidth="1"/>
    <col min="15" max="15" width="10.08984375" bestFit="1" customWidth="1"/>
  </cols>
  <sheetData>
    <row r="1" spans="1:13" x14ac:dyDescent="0.35">
      <c r="A1" s="8" t="s">
        <v>514</v>
      </c>
    </row>
    <row r="2" spans="1:13" x14ac:dyDescent="0.35">
      <c r="A2" s="8" t="s">
        <v>515</v>
      </c>
    </row>
    <row r="3" spans="1:13" x14ac:dyDescent="0.35">
      <c r="A3" s="8" t="s">
        <v>516</v>
      </c>
    </row>
    <row r="4" spans="1:13" x14ac:dyDescent="0.35">
      <c r="A4" s="8" t="s">
        <v>517</v>
      </c>
    </row>
    <row r="5" spans="1:13" x14ac:dyDescent="0.35">
      <c r="A5" s="8" t="s">
        <v>493</v>
      </c>
    </row>
    <row r="7" spans="1:13" x14ac:dyDescent="0.35">
      <c r="A7" s="1" t="s">
        <v>454</v>
      </c>
      <c r="B7" s="594" t="s">
        <v>455</v>
      </c>
      <c r="C7" s="594"/>
      <c r="F7" s="1" t="s">
        <v>456</v>
      </c>
      <c r="G7" s="595" t="s">
        <v>457</v>
      </c>
      <c r="H7" s="595"/>
      <c r="I7" s="595"/>
      <c r="J7" s="595"/>
      <c r="L7" s="1"/>
      <c r="M7" s="1"/>
    </row>
    <row r="8" spans="1:13" x14ac:dyDescent="0.35">
      <c r="A8" s="9" t="s">
        <v>458</v>
      </c>
      <c r="B8" s="22" t="s">
        <v>518</v>
      </c>
      <c r="C8" s="22" t="s">
        <v>459</v>
      </c>
      <c r="F8" s="9" t="s">
        <v>458</v>
      </c>
      <c r="G8" s="22" t="s">
        <v>518</v>
      </c>
      <c r="H8" s="22" t="s">
        <v>460</v>
      </c>
      <c r="I8" s="22" t="s">
        <v>456</v>
      </c>
      <c r="J8" s="22" t="s">
        <v>459</v>
      </c>
    </row>
    <row r="9" spans="1:13" x14ac:dyDescent="0.35">
      <c r="A9" s="10" t="s">
        <v>426</v>
      </c>
      <c r="B9" s="2">
        <v>6.58</v>
      </c>
      <c r="C9" s="2">
        <f>+B9/(MAX($B$9:$B$12))*100</f>
        <v>75.286041189931353</v>
      </c>
      <c r="F9" s="10" t="s">
        <v>426</v>
      </c>
      <c r="G9" s="13">
        <v>0.12</v>
      </c>
      <c r="H9" s="2"/>
      <c r="I9" s="12"/>
      <c r="J9" s="2" t="e">
        <f>(MIN($H$9:$H$12))/H9*100</f>
        <v>#DIV/0!</v>
      </c>
      <c r="L9" s="6"/>
      <c r="M9" s="6"/>
    </row>
    <row r="10" spans="1:13" x14ac:dyDescent="0.35">
      <c r="A10" s="10" t="s">
        <v>304</v>
      </c>
      <c r="B10" s="2">
        <v>8.74</v>
      </c>
      <c r="C10" s="2">
        <f>+B10/(MAX($B$9:$B$12))*100</f>
        <v>100</v>
      </c>
      <c r="F10" s="10" t="s">
        <v>304</v>
      </c>
      <c r="G10" s="13">
        <v>0.19</v>
      </c>
      <c r="H10" s="2"/>
      <c r="I10" s="12"/>
      <c r="J10" s="2" t="e">
        <f>(MIN($H$9:$H$12))/H10*100</f>
        <v>#DIV/0!</v>
      </c>
      <c r="L10" s="6"/>
      <c r="M10" s="6"/>
    </row>
    <row r="11" spans="1:13" x14ac:dyDescent="0.35">
      <c r="A11" s="10" t="s">
        <v>305</v>
      </c>
      <c r="B11" s="2">
        <v>0.65</v>
      </c>
      <c r="C11" s="2">
        <f>+B11/(MAX($B$9:$B$12))*100</f>
        <v>7.4370709382151023</v>
      </c>
      <c r="F11" s="10" t="s">
        <v>305</v>
      </c>
      <c r="G11" s="13">
        <v>0.01</v>
      </c>
      <c r="H11" s="2"/>
      <c r="I11" s="12"/>
      <c r="J11" s="2" t="e">
        <f>(MIN($H$9:$H$12))/H11*100</f>
        <v>#DIV/0!</v>
      </c>
    </row>
    <row r="12" spans="1:13" x14ac:dyDescent="0.35">
      <c r="A12" s="10" t="s">
        <v>302</v>
      </c>
      <c r="B12" s="2">
        <v>0.06</v>
      </c>
      <c r="C12" s="2">
        <f>+B12/(MAX($B$9:$B$12))*100</f>
        <v>0.68649885583524028</v>
      </c>
      <c r="F12" s="10" t="s">
        <v>302</v>
      </c>
      <c r="G12" s="13">
        <v>0</v>
      </c>
      <c r="H12" s="2"/>
      <c r="I12" s="12"/>
      <c r="J12" s="2" t="e">
        <f>(MIN($H$9:$H$12))/H12*100</f>
        <v>#DIV/0!</v>
      </c>
    </row>
    <row r="14" spans="1:13" x14ac:dyDescent="0.35">
      <c r="A14" s="1" t="s">
        <v>462</v>
      </c>
      <c r="B14" s="594" t="s">
        <v>463</v>
      </c>
      <c r="C14" s="594"/>
      <c r="F14" s="1"/>
      <c r="G14" s="595" t="s">
        <v>464</v>
      </c>
      <c r="H14" s="595"/>
      <c r="I14" s="595"/>
      <c r="J14" s="595"/>
    </row>
    <row r="15" spans="1:13" x14ac:dyDescent="0.35">
      <c r="A15" s="9" t="s">
        <v>458</v>
      </c>
      <c r="B15" s="22" t="s">
        <v>518</v>
      </c>
      <c r="C15" s="22" t="s">
        <v>459</v>
      </c>
      <c r="F15" s="9" t="s">
        <v>227</v>
      </c>
      <c r="G15" s="22" t="s">
        <v>518</v>
      </c>
      <c r="H15" s="24" t="s">
        <v>465</v>
      </c>
      <c r="I15" s="24" t="s">
        <v>466</v>
      </c>
      <c r="J15" s="24" t="s">
        <v>459</v>
      </c>
    </row>
    <row r="16" spans="1:13" x14ac:dyDescent="0.35">
      <c r="A16" s="10" t="s">
        <v>426</v>
      </c>
      <c r="B16" s="31">
        <v>1.1331018518519E-2</v>
      </c>
      <c r="C16" s="2">
        <f>+B16/(MAX($B$16:$B$19))*100</f>
        <v>84.323858742466982</v>
      </c>
      <c r="F16" s="10" t="s">
        <v>426</v>
      </c>
      <c r="G16" s="13">
        <v>1.38</v>
      </c>
      <c r="H16" s="13">
        <v>0.92</v>
      </c>
      <c r="I16" s="3">
        <f>G16/H16</f>
        <v>1.4999999999999998</v>
      </c>
      <c r="J16" s="2">
        <f>I16/(MAX($I$16:$I$19))*100</f>
        <v>74.999999999999986</v>
      </c>
    </row>
    <row r="17" spans="1:10" x14ac:dyDescent="0.35">
      <c r="A17" s="10" t="s">
        <v>304</v>
      </c>
      <c r="B17" s="31">
        <v>1.34375E-2</v>
      </c>
      <c r="C17" s="2">
        <f>+B17/(MAX($B$16:$B$19))*100</f>
        <v>100</v>
      </c>
      <c r="F17" s="10" t="s">
        <v>304</v>
      </c>
      <c r="G17" s="13">
        <v>2.1800000000000002</v>
      </c>
      <c r="H17" s="13">
        <v>1.47</v>
      </c>
      <c r="I17" s="3">
        <f>G17/H17</f>
        <v>1.4829931972789117</v>
      </c>
      <c r="J17" s="2">
        <f>I17/(MAX($I$16:$I$19))*100</f>
        <v>74.149659863945587</v>
      </c>
    </row>
    <row r="18" spans="1:10" x14ac:dyDescent="0.35">
      <c r="A18" s="10" t="s">
        <v>305</v>
      </c>
      <c r="B18" s="31">
        <v>8.1365740740739993E-3</v>
      </c>
      <c r="C18" s="2">
        <f>+B18/(MAX($B$16:$B$19))*100</f>
        <v>60.551248923341397</v>
      </c>
      <c r="F18" s="10" t="s">
        <v>305</v>
      </c>
      <c r="G18" s="13">
        <v>0.1</v>
      </c>
      <c r="H18" s="13">
        <v>0.05</v>
      </c>
      <c r="I18" s="3">
        <f>G18/H18</f>
        <v>2</v>
      </c>
      <c r="J18" s="2">
        <f>I18/(MAX($I$16:$I$19))*100</f>
        <v>100</v>
      </c>
    </row>
    <row r="19" spans="1:10" x14ac:dyDescent="0.35">
      <c r="A19" s="10" t="s">
        <v>302</v>
      </c>
      <c r="B19" s="31">
        <v>4.94212962963E-3</v>
      </c>
      <c r="C19" s="2">
        <f>+B19/(MAX($B$16:$B$19))*100</f>
        <v>36.778639104223252</v>
      </c>
      <c r="F19" s="10" t="s">
        <v>302</v>
      </c>
      <c r="G19" s="13">
        <v>0.01</v>
      </c>
      <c r="H19" s="13">
        <v>0.01</v>
      </c>
      <c r="I19" s="3">
        <f>G19/H19</f>
        <v>1</v>
      </c>
      <c r="J19" s="2">
        <f>I19/(MAX($I$16:$I$19))*100</f>
        <v>50</v>
      </c>
    </row>
    <row r="20" spans="1:10" x14ac:dyDescent="0.35">
      <c r="A20" s="27"/>
      <c r="B20" s="29"/>
      <c r="C20" s="7"/>
      <c r="F20" s="27"/>
      <c r="G20" s="30"/>
      <c r="H20" s="30"/>
      <c r="I20" s="28"/>
      <c r="J20" s="7"/>
    </row>
    <row r="21" spans="1:10" x14ac:dyDescent="0.35">
      <c r="A21" s="27"/>
      <c r="B21" s="29"/>
      <c r="C21" s="7"/>
      <c r="F21" s="27"/>
      <c r="G21" s="30"/>
      <c r="H21" s="30"/>
      <c r="I21" s="28"/>
      <c r="J21" s="7"/>
    </row>
    <row r="23" spans="1:10" x14ac:dyDescent="0.35">
      <c r="A23" s="22" t="s">
        <v>518</v>
      </c>
    </row>
    <row r="24" spans="1:10" x14ac:dyDescent="0.35">
      <c r="A24" s="9" t="s">
        <v>467</v>
      </c>
      <c r="B24" s="22">
        <v>0.3</v>
      </c>
      <c r="C24" s="22">
        <v>0.2</v>
      </c>
      <c r="D24" s="22">
        <v>0.3</v>
      </c>
      <c r="E24" s="22">
        <v>0.2</v>
      </c>
      <c r="F24" s="22"/>
    </row>
    <row r="25" spans="1:10" x14ac:dyDescent="0.35">
      <c r="A25" s="9" t="s">
        <v>458</v>
      </c>
      <c r="B25" s="22" t="s">
        <v>36</v>
      </c>
      <c r="C25" s="22" t="s">
        <v>468</v>
      </c>
      <c r="D25" s="22" t="s">
        <v>456</v>
      </c>
      <c r="E25" s="22" t="s">
        <v>469</v>
      </c>
      <c r="F25" s="22" t="s">
        <v>470</v>
      </c>
    </row>
    <row r="26" spans="1:10" x14ac:dyDescent="0.35">
      <c r="A26" s="33" t="s">
        <v>304</v>
      </c>
      <c r="B26" s="34">
        <f>VLOOKUP(A26,$A$8:$C$12,3,0)</f>
        <v>100</v>
      </c>
      <c r="C26" s="34">
        <f>VLOOKUP(A26,$A$15:$C$19,3,0)</f>
        <v>100</v>
      </c>
      <c r="D26" s="34" t="e">
        <f>VLOOKUP(A26,$F$8:$J$12,5,0)</f>
        <v>#DIV/0!</v>
      </c>
      <c r="E26" s="34">
        <f>VLOOKUP(A26,$F$15:$J$19,5,0)</f>
        <v>74.149659863945587</v>
      </c>
      <c r="F26" s="26" t="e">
        <f>B26*$B$24+C26*$C$24+D26*$D$24+E26*$E$24</f>
        <v>#DIV/0!</v>
      </c>
    </row>
    <row r="27" spans="1:10" x14ac:dyDescent="0.35">
      <c r="A27" s="10" t="s">
        <v>305</v>
      </c>
      <c r="B27" s="2">
        <f>VLOOKUP(A27,$A$8:$C$12,3,0)</f>
        <v>7.4370709382151023</v>
      </c>
      <c r="C27" s="2">
        <f>VLOOKUP(A27,$A$15:$C$19,3,0)</f>
        <v>60.551248923341397</v>
      </c>
      <c r="D27" s="2" t="e">
        <f>VLOOKUP(A27,$F$8:$J$12,5,0)</f>
        <v>#DIV/0!</v>
      </c>
      <c r="E27" s="2">
        <f>VLOOKUP(A27,$F$15:$J$19,5,0)</f>
        <v>100</v>
      </c>
      <c r="F27" s="26" t="e">
        <f>B27*$B$24+C27*$C$24+D27*$D$24+E27*$E$24</f>
        <v>#DIV/0!</v>
      </c>
    </row>
    <row r="28" spans="1:10" x14ac:dyDescent="0.35">
      <c r="A28" s="10" t="s">
        <v>426</v>
      </c>
      <c r="B28" s="2">
        <f>VLOOKUP(A28,$A$8:$C$12,3,0)</f>
        <v>75.286041189931353</v>
      </c>
      <c r="C28" s="2">
        <f>VLOOKUP(A28,$A$15:$C$19,3,0)</f>
        <v>84.323858742466982</v>
      </c>
      <c r="D28" s="2" t="e">
        <f>VLOOKUP(A28,$F$8:$J$12,5,0)</f>
        <v>#DIV/0!</v>
      </c>
      <c r="E28" s="2">
        <f>VLOOKUP(A28,$F$15:$J$19,5,0)</f>
        <v>74.999999999999986</v>
      </c>
      <c r="F28" s="26" t="e">
        <f>B28*$B$24+C28*$C$24+D28*$D$24+E28*$E$24</f>
        <v>#DIV/0!</v>
      </c>
    </row>
    <row r="29" spans="1:10" x14ac:dyDescent="0.35">
      <c r="A29" s="10" t="s">
        <v>302</v>
      </c>
      <c r="B29" s="2">
        <f>VLOOKUP(A29,$A$8:$C$12,3,0)</f>
        <v>0.68649885583524028</v>
      </c>
      <c r="C29" s="2">
        <f>VLOOKUP(A29,$A$15:$C$19,3,0)</f>
        <v>36.778639104223252</v>
      </c>
      <c r="D29" s="2" t="e">
        <f>VLOOKUP(A29,$F$8:$J$12,5,0)</f>
        <v>#DIV/0!</v>
      </c>
      <c r="E29" s="2">
        <f>VLOOKUP(A29,$F$15:$J$19,5,0)</f>
        <v>50</v>
      </c>
      <c r="F29" s="26" t="e">
        <f>B29*$B$24+C29*$C$24+D29*$D$24+E29*$E$24</f>
        <v>#DIV/0!</v>
      </c>
    </row>
  </sheetData>
  <mergeCells count="4">
    <mergeCell ref="B7:C7"/>
    <mergeCell ref="G7:J7"/>
    <mergeCell ref="B14:C14"/>
    <mergeCell ref="G14:J14"/>
  </mergeCells>
  <conditionalFormatting sqref="F26:F29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961A7-8DE9-41F0-81FB-293FA87C4FDD}">
  <sheetPr>
    <tabColor theme="9" tint="0.79998168889431442"/>
  </sheetPr>
  <dimension ref="B1:AP216"/>
  <sheetViews>
    <sheetView showGridLines="0" zoomScale="60" zoomScaleNormal="60" workbookViewId="0">
      <pane ySplit="2" topLeftCell="A3" activePane="bottomLeft" state="frozen"/>
      <selection activeCell="I30" sqref="I30"/>
      <selection pane="bottomLeft" activeCell="AO37" sqref="AO37"/>
    </sheetView>
  </sheetViews>
  <sheetFormatPr defaultColWidth="8.54296875" defaultRowHeight="13" x14ac:dyDescent="0.35"/>
  <cols>
    <col min="1" max="1" width="0.81640625" style="260" customWidth="1"/>
    <col min="2" max="2" width="19.6328125" style="260" bestFit="1" customWidth="1"/>
    <col min="3" max="3" width="12.36328125" style="260" bestFit="1" customWidth="1"/>
    <col min="4" max="4" width="25.54296875" style="260" customWidth="1"/>
    <col min="5" max="5" width="14.81640625" style="362" bestFit="1" customWidth="1"/>
    <col min="6" max="6" width="14.36328125" style="260" hidden="1" customWidth="1"/>
    <col min="7" max="7" width="15.08984375" style="260" hidden="1" customWidth="1"/>
    <col min="8" max="8" width="14" style="260" hidden="1" customWidth="1"/>
    <col min="9" max="9" width="22.1796875" style="260" hidden="1" customWidth="1"/>
    <col min="10" max="10" width="45.81640625" style="276" hidden="1" customWidth="1"/>
    <col min="11" max="11" width="16.1796875" style="260" hidden="1" customWidth="1"/>
    <col min="12" max="12" width="16.90625" style="260" customWidth="1"/>
    <col min="13" max="13" width="16.26953125" style="260" customWidth="1"/>
    <col min="14" max="14" width="15.36328125" style="260" customWidth="1"/>
    <col min="15" max="15" width="14.6328125" style="260" customWidth="1"/>
    <col min="16" max="16" width="17.08984375" style="260" hidden="1" customWidth="1"/>
    <col min="17" max="17" width="12.81640625" style="260" customWidth="1"/>
    <col min="18" max="18" width="16" style="260" customWidth="1"/>
    <col min="19" max="19" width="11.6328125" style="260" hidden="1" customWidth="1"/>
    <col min="20" max="20" width="14" style="363" hidden="1" customWidth="1"/>
    <col min="21" max="21" width="13.08984375" style="260" hidden="1" customWidth="1"/>
    <col min="22" max="22" width="15.26953125" style="260" hidden="1" customWidth="1"/>
    <col min="23" max="23" width="9" style="260" hidden="1" customWidth="1"/>
    <col min="24" max="24" width="15.26953125" style="260" hidden="1" customWidth="1"/>
    <col min="25" max="25" width="19.1796875" style="260" hidden="1" customWidth="1"/>
    <col min="26" max="26" width="12.81640625" style="260" hidden="1" customWidth="1"/>
    <col min="27" max="27" width="12.1796875" style="260" hidden="1" customWidth="1"/>
    <col min="28" max="28" width="15.26953125" style="260" hidden="1" customWidth="1"/>
    <col min="29" max="29" width="15.36328125" style="260" hidden="1" customWidth="1"/>
    <col min="30" max="30" width="8.54296875" style="260" hidden="1" customWidth="1"/>
    <col min="31" max="32" width="11.453125" style="261" hidden="1" customWidth="1"/>
    <col min="33" max="33" width="1" style="261" hidden="1" customWidth="1"/>
    <col min="34" max="34" width="43" style="313" hidden="1" customWidth="1"/>
    <col min="35" max="35" width="21.1796875" style="260" bestFit="1" customWidth="1"/>
    <col min="36" max="37" width="19.36328125" style="363" bestFit="1" customWidth="1"/>
    <col min="38" max="38" width="15.7265625" style="363" bestFit="1" customWidth="1"/>
    <col min="39" max="39" width="8.54296875" style="260"/>
    <col min="40" max="41" width="19.36328125" style="363" bestFit="1" customWidth="1"/>
    <col min="42" max="42" width="15.7265625" style="363" bestFit="1" customWidth="1"/>
    <col min="43" max="16384" width="8.54296875" style="260"/>
  </cols>
  <sheetData>
    <row r="1" spans="2:42" x14ac:dyDescent="0.35">
      <c r="AJ1" s="577" t="s">
        <v>33</v>
      </c>
      <c r="AK1" s="577"/>
      <c r="AL1" s="577"/>
      <c r="AN1" s="577" t="s">
        <v>34</v>
      </c>
      <c r="AO1" s="577"/>
      <c r="AP1" s="577"/>
    </row>
    <row r="2" spans="2:42" ht="18.649999999999999" customHeight="1" x14ac:dyDescent="0.35">
      <c r="B2" s="249" t="s">
        <v>64</v>
      </c>
      <c r="C2" s="250" t="s">
        <v>65</v>
      </c>
      <c r="D2" s="250" t="s">
        <v>66</v>
      </c>
      <c r="E2" s="250" t="s">
        <v>67</v>
      </c>
      <c r="F2" s="250" t="s">
        <v>68</v>
      </c>
      <c r="G2" s="250" t="s">
        <v>69</v>
      </c>
      <c r="H2" s="250" t="s">
        <v>70</v>
      </c>
      <c r="I2" s="250" t="s">
        <v>71</v>
      </c>
      <c r="J2" s="250" t="s">
        <v>72</v>
      </c>
      <c r="K2" s="250" t="s">
        <v>73</v>
      </c>
      <c r="L2" s="251" t="s">
        <v>74</v>
      </c>
      <c r="M2" s="251" t="s">
        <v>75</v>
      </c>
      <c r="N2" s="251" t="s">
        <v>76</v>
      </c>
      <c r="O2" s="251" t="s">
        <v>77</v>
      </c>
      <c r="P2" s="251" t="s">
        <v>78</v>
      </c>
      <c r="Q2" s="252" t="s">
        <v>79</v>
      </c>
      <c r="R2" s="251" t="s">
        <v>80</v>
      </c>
      <c r="S2" s="251" t="s">
        <v>81</v>
      </c>
      <c r="T2" s="253" t="s">
        <v>35</v>
      </c>
      <c r="U2" s="251" t="s">
        <v>36</v>
      </c>
      <c r="V2" s="254" t="s">
        <v>82</v>
      </c>
      <c r="W2" s="254"/>
      <c r="X2" s="255" t="s">
        <v>83</v>
      </c>
      <c r="Y2" s="256" t="s">
        <v>84</v>
      </c>
      <c r="Z2" s="257" t="s">
        <v>39</v>
      </c>
      <c r="AA2" s="257" t="s">
        <v>40</v>
      </c>
      <c r="AB2" s="258" t="s">
        <v>41</v>
      </c>
      <c r="AC2" s="259" t="s">
        <v>58</v>
      </c>
      <c r="AH2" s="258" t="s">
        <v>85</v>
      </c>
      <c r="AJ2" s="358" t="s">
        <v>604</v>
      </c>
      <c r="AK2" s="358" t="s">
        <v>605</v>
      </c>
      <c r="AL2" s="358" t="s">
        <v>606</v>
      </c>
      <c r="AN2" s="358" t="s">
        <v>604</v>
      </c>
      <c r="AO2" s="358" t="s">
        <v>605</v>
      </c>
      <c r="AP2" s="358" t="s">
        <v>606</v>
      </c>
    </row>
    <row r="3" spans="2:42" ht="18.649999999999999" customHeight="1" x14ac:dyDescent="0.35">
      <c r="B3" s="321" t="s">
        <v>575</v>
      </c>
      <c r="C3" s="293" t="s">
        <v>576</v>
      </c>
      <c r="D3" s="264" t="s">
        <v>547</v>
      </c>
      <c r="E3" s="264" t="s">
        <v>45</v>
      </c>
      <c r="F3" s="263" t="s">
        <v>87</v>
      </c>
      <c r="G3" s="263" t="s">
        <v>50</v>
      </c>
      <c r="H3" s="265" t="s">
        <v>95</v>
      </c>
      <c r="I3" s="265" t="s">
        <v>534</v>
      </c>
      <c r="J3" s="263" t="s">
        <v>579</v>
      </c>
      <c r="K3" s="263" t="s">
        <v>89</v>
      </c>
      <c r="L3" s="266">
        <f t="shared" ref="L3:L7" si="0">N3-(M3-1)</f>
        <v>21</v>
      </c>
      <c r="M3" s="267">
        <v>45460</v>
      </c>
      <c r="N3" s="267">
        <v>45480</v>
      </c>
      <c r="O3" s="266">
        <f>8500000*60%</f>
        <v>5100000</v>
      </c>
      <c r="P3" s="268" t="s">
        <v>17</v>
      </c>
      <c r="Q3" s="269"/>
      <c r="R3" s="266"/>
      <c r="S3" s="318">
        <v>0.8</v>
      </c>
      <c r="T3" s="319">
        <f t="shared" ref="T3:T7" si="1">O3*S3</f>
        <v>4080000</v>
      </c>
      <c r="U3" s="266">
        <f>O3/V3</f>
        <v>1700000</v>
      </c>
      <c r="V3" s="266">
        <v>3</v>
      </c>
      <c r="W3" s="266"/>
      <c r="X3" s="272">
        <v>200</v>
      </c>
      <c r="Y3" s="273">
        <f>(O3/1000)*X3</f>
        <v>1020000</v>
      </c>
      <c r="Z3" s="273">
        <f t="shared" ref="Z3:Z37" si="2">Y3/O3*1000</f>
        <v>200</v>
      </c>
      <c r="AA3" s="273"/>
      <c r="AB3" s="274"/>
      <c r="AC3" s="275"/>
      <c r="AD3" s="261"/>
      <c r="AE3" s="260"/>
      <c r="AG3" s="260"/>
      <c r="AH3" s="554" t="s">
        <v>583</v>
      </c>
      <c r="AJ3" s="346">
        <f>$O$3/$L$3*7</f>
        <v>1700000</v>
      </c>
      <c r="AK3" s="346">
        <f t="shared" ref="AK3:AL3" si="3">$O$3/$L$3*7</f>
        <v>1700000</v>
      </c>
      <c r="AL3" s="565">
        <f t="shared" si="3"/>
        <v>1700000</v>
      </c>
      <c r="AN3" s="346">
        <f>AJ3*$Q$3</f>
        <v>0</v>
      </c>
      <c r="AO3" s="346">
        <f t="shared" ref="AO3:AP3" si="4">AK3*$Q$3</f>
        <v>0</v>
      </c>
      <c r="AP3" s="346">
        <f t="shared" si="4"/>
        <v>0</v>
      </c>
    </row>
    <row r="4" spans="2:42" ht="18.649999999999999" customHeight="1" x14ac:dyDescent="0.35">
      <c r="B4" s="321" t="s">
        <v>575</v>
      </c>
      <c r="C4" s="293" t="s">
        <v>576</v>
      </c>
      <c r="D4" s="264" t="s">
        <v>547</v>
      </c>
      <c r="E4" s="264" t="s">
        <v>45</v>
      </c>
      <c r="F4" s="263" t="s">
        <v>87</v>
      </c>
      <c r="G4" s="263" t="s">
        <v>50</v>
      </c>
      <c r="H4" s="265" t="s">
        <v>95</v>
      </c>
      <c r="I4" s="265" t="s">
        <v>534</v>
      </c>
      <c r="J4" s="263" t="s">
        <v>580</v>
      </c>
      <c r="K4" s="263" t="s">
        <v>89</v>
      </c>
      <c r="L4" s="266">
        <f t="shared" si="0"/>
        <v>21</v>
      </c>
      <c r="M4" s="267">
        <v>45460</v>
      </c>
      <c r="N4" s="267">
        <v>45480</v>
      </c>
      <c r="O4" s="266">
        <f>8750000*60%</f>
        <v>5250000</v>
      </c>
      <c r="P4" s="268" t="s">
        <v>17</v>
      </c>
      <c r="Q4" s="269"/>
      <c r="R4" s="266"/>
      <c r="S4" s="318">
        <v>0.8</v>
      </c>
      <c r="T4" s="319">
        <f t="shared" si="1"/>
        <v>4200000</v>
      </c>
      <c r="U4" s="266">
        <f t="shared" ref="U4:U7" si="5">O4/V4</f>
        <v>1750000</v>
      </c>
      <c r="V4" s="266">
        <v>3</v>
      </c>
      <c r="W4" s="266"/>
      <c r="X4" s="272">
        <v>200</v>
      </c>
      <c r="Y4" s="273">
        <f>(O4/1000)*X4</f>
        <v>1050000</v>
      </c>
      <c r="Z4" s="273">
        <f t="shared" si="2"/>
        <v>200</v>
      </c>
      <c r="AA4" s="273"/>
      <c r="AB4" s="274"/>
      <c r="AC4" s="275"/>
      <c r="AD4" s="261"/>
      <c r="AE4" s="260"/>
      <c r="AG4" s="260"/>
      <c r="AH4" s="554" t="s">
        <v>584</v>
      </c>
      <c r="AJ4" s="346">
        <f>$O$4/$L$4*7</f>
        <v>1750000</v>
      </c>
      <c r="AK4" s="346">
        <f t="shared" ref="AK4:AL4" si="6">$O$4/$L$4*7</f>
        <v>1750000</v>
      </c>
      <c r="AL4" s="565">
        <f t="shared" si="6"/>
        <v>1750000</v>
      </c>
      <c r="AN4" s="346">
        <f>AJ4*$Q$4</f>
        <v>0</v>
      </c>
      <c r="AO4" s="346">
        <f t="shared" ref="AO4:AP4" si="7">AK4*$Q$4</f>
        <v>0</v>
      </c>
      <c r="AP4" s="346">
        <f t="shared" si="7"/>
        <v>0</v>
      </c>
    </row>
    <row r="5" spans="2:42" ht="18.649999999999999" customHeight="1" x14ac:dyDescent="0.35">
      <c r="B5" s="321" t="s">
        <v>575</v>
      </c>
      <c r="C5" s="293" t="s">
        <v>576</v>
      </c>
      <c r="D5" s="264" t="s">
        <v>547</v>
      </c>
      <c r="E5" s="264" t="s">
        <v>45</v>
      </c>
      <c r="F5" s="263" t="s">
        <v>87</v>
      </c>
      <c r="G5" s="263" t="s">
        <v>50</v>
      </c>
      <c r="H5" s="265" t="s">
        <v>95</v>
      </c>
      <c r="I5" s="265" t="s">
        <v>534</v>
      </c>
      <c r="J5" s="263" t="s">
        <v>581</v>
      </c>
      <c r="K5" s="263" t="s">
        <v>89</v>
      </c>
      <c r="L5" s="266">
        <f t="shared" si="0"/>
        <v>21</v>
      </c>
      <c r="M5" s="267">
        <v>45460</v>
      </c>
      <c r="N5" s="267">
        <v>45480</v>
      </c>
      <c r="O5" s="266">
        <f>13000000*50%</f>
        <v>6500000</v>
      </c>
      <c r="P5" s="268" t="s">
        <v>17</v>
      </c>
      <c r="Q5" s="269"/>
      <c r="R5" s="266"/>
      <c r="S5" s="318">
        <v>0.8</v>
      </c>
      <c r="T5" s="319">
        <f t="shared" si="1"/>
        <v>5200000</v>
      </c>
      <c r="U5" s="266">
        <f t="shared" si="5"/>
        <v>2166666.6666666665</v>
      </c>
      <c r="V5" s="266">
        <v>3</v>
      </c>
      <c r="W5" s="266"/>
      <c r="X5" s="272">
        <v>200</v>
      </c>
      <c r="Y5" s="273">
        <f>(O5/1000)*X5</f>
        <v>1300000</v>
      </c>
      <c r="Z5" s="273">
        <f t="shared" si="2"/>
        <v>200</v>
      </c>
      <c r="AA5" s="273"/>
      <c r="AB5" s="274"/>
      <c r="AC5" s="275"/>
      <c r="AD5" s="261"/>
      <c r="AE5" s="260"/>
      <c r="AG5" s="260"/>
      <c r="AH5" s="554" t="s">
        <v>585</v>
      </c>
      <c r="AJ5" s="346">
        <f>$O$5/$L$5*7</f>
        <v>2166666.6666666665</v>
      </c>
      <c r="AK5" s="346">
        <f t="shared" ref="AK5:AL5" si="8">$O$5/$L$5*7</f>
        <v>2166666.6666666665</v>
      </c>
      <c r="AL5" s="565">
        <f t="shared" si="8"/>
        <v>2166666.6666666665</v>
      </c>
      <c r="AN5" s="346">
        <f>AJ5*$Q$5</f>
        <v>0</v>
      </c>
      <c r="AO5" s="346">
        <f t="shared" ref="AO5:AP5" si="9">AK5*$Q$5</f>
        <v>0</v>
      </c>
      <c r="AP5" s="346">
        <f t="shared" si="9"/>
        <v>0</v>
      </c>
    </row>
    <row r="6" spans="2:42" ht="18.649999999999999" customHeight="1" x14ac:dyDescent="0.35">
      <c r="B6" s="321" t="s">
        <v>575</v>
      </c>
      <c r="C6" s="293" t="s">
        <v>576</v>
      </c>
      <c r="D6" s="264" t="s">
        <v>547</v>
      </c>
      <c r="E6" s="264" t="s">
        <v>45</v>
      </c>
      <c r="F6" s="263" t="s">
        <v>87</v>
      </c>
      <c r="G6" s="263" t="s">
        <v>50</v>
      </c>
      <c r="H6" s="265" t="s">
        <v>95</v>
      </c>
      <c r="I6" s="265" t="s">
        <v>534</v>
      </c>
      <c r="J6" s="263" t="s">
        <v>582</v>
      </c>
      <c r="K6" s="263" t="s">
        <v>89</v>
      </c>
      <c r="L6" s="266">
        <f t="shared" si="0"/>
        <v>21</v>
      </c>
      <c r="M6" s="267">
        <v>45460</v>
      </c>
      <c r="N6" s="267">
        <v>45480</v>
      </c>
      <c r="O6" s="266">
        <v>915000</v>
      </c>
      <c r="P6" s="268" t="s">
        <v>17</v>
      </c>
      <c r="Q6" s="269"/>
      <c r="R6" s="266"/>
      <c r="S6" s="318">
        <v>0.8</v>
      </c>
      <c r="T6" s="319">
        <f t="shared" si="1"/>
        <v>732000</v>
      </c>
      <c r="U6" s="266">
        <f t="shared" si="5"/>
        <v>305000</v>
      </c>
      <c r="V6" s="266">
        <v>3</v>
      </c>
      <c r="W6" s="266"/>
      <c r="X6" s="272">
        <v>200</v>
      </c>
      <c r="Y6" s="273">
        <f>(O6/1000)*X6</f>
        <v>183000</v>
      </c>
      <c r="Z6" s="273">
        <f t="shared" si="2"/>
        <v>200</v>
      </c>
      <c r="AA6" s="273"/>
      <c r="AB6" s="274"/>
      <c r="AC6" s="275"/>
      <c r="AD6" s="261"/>
      <c r="AE6" s="260"/>
      <c r="AG6" s="260"/>
      <c r="AH6" s="554" t="s">
        <v>586</v>
      </c>
      <c r="AJ6" s="346">
        <f>$O$6/$L$6*7</f>
        <v>305000</v>
      </c>
      <c r="AK6" s="346">
        <f t="shared" ref="AK6:AL6" si="10">$O$6/$L$6*7</f>
        <v>305000</v>
      </c>
      <c r="AL6" s="565">
        <f t="shared" si="10"/>
        <v>305000</v>
      </c>
      <c r="AN6" s="346">
        <f>AJ6*$Q$6</f>
        <v>0</v>
      </c>
      <c r="AO6" s="346">
        <f t="shared" ref="AO6:AP6" si="11">AK6*$Q$6</f>
        <v>0</v>
      </c>
      <c r="AP6" s="346">
        <f t="shared" si="11"/>
        <v>0</v>
      </c>
    </row>
    <row r="7" spans="2:42" ht="18.649999999999999" customHeight="1" x14ac:dyDescent="0.35">
      <c r="B7" s="321" t="s">
        <v>575</v>
      </c>
      <c r="C7" s="293" t="s">
        <v>576</v>
      </c>
      <c r="D7" s="264" t="s">
        <v>547</v>
      </c>
      <c r="E7" s="264" t="s">
        <v>45</v>
      </c>
      <c r="F7" s="263" t="s">
        <v>87</v>
      </c>
      <c r="G7" s="263" t="s">
        <v>577</v>
      </c>
      <c r="H7" s="265" t="s">
        <v>95</v>
      </c>
      <c r="I7" s="265" t="s">
        <v>534</v>
      </c>
      <c r="J7" s="263" t="s">
        <v>578</v>
      </c>
      <c r="K7" s="263" t="s">
        <v>89</v>
      </c>
      <c r="L7" s="266">
        <f t="shared" si="0"/>
        <v>21</v>
      </c>
      <c r="M7" s="267">
        <v>45460</v>
      </c>
      <c r="N7" s="267">
        <v>45480</v>
      </c>
      <c r="O7" s="266">
        <f>875000*60%</f>
        <v>525000</v>
      </c>
      <c r="P7" s="268" t="s">
        <v>17</v>
      </c>
      <c r="Q7" s="269"/>
      <c r="R7" s="266"/>
      <c r="S7" s="318">
        <v>0.8</v>
      </c>
      <c r="T7" s="319">
        <f t="shared" si="1"/>
        <v>420000</v>
      </c>
      <c r="U7" s="266">
        <f t="shared" si="5"/>
        <v>175000</v>
      </c>
      <c r="V7" s="266">
        <v>3</v>
      </c>
      <c r="W7" s="266"/>
      <c r="X7" s="272">
        <v>170</v>
      </c>
      <c r="Y7" s="273">
        <f>(O7/1000)*X7</f>
        <v>89250</v>
      </c>
      <c r="Z7" s="273">
        <f t="shared" si="2"/>
        <v>170</v>
      </c>
      <c r="AA7" s="273"/>
      <c r="AB7" s="274"/>
      <c r="AC7" s="275"/>
      <c r="AD7" s="261"/>
      <c r="AE7" s="260"/>
      <c r="AG7" s="260"/>
      <c r="AH7" s="554" t="s">
        <v>587</v>
      </c>
      <c r="AJ7" s="346">
        <f>$O$7/$L$7*7</f>
        <v>175000</v>
      </c>
      <c r="AK7" s="346">
        <f t="shared" ref="AK7:AL7" si="12">$O$7/$L$7*7</f>
        <v>175000</v>
      </c>
      <c r="AL7" s="565">
        <f t="shared" si="12"/>
        <v>175000</v>
      </c>
      <c r="AN7" s="346">
        <f>AJ7*$Q$7</f>
        <v>0</v>
      </c>
      <c r="AO7" s="346">
        <f t="shared" ref="AO7:AP7" si="13">AK7*$Q$7</f>
        <v>0</v>
      </c>
      <c r="AP7" s="346">
        <f t="shared" si="13"/>
        <v>0</v>
      </c>
    </row>
    <row r="8" spans="2:42" ht="18.649999999999999" customHeight="1" x14ac:dyDescent="0.35">
      <c r="B8" s="277"/>
      <c r="C8" s="278"/>
      <c r="D8" s="279"/>
      <c r="E8" s="280"/>
      <c r="F8" s="279"/>
      <c r="G8" s="280"/>
      <c r="H8" s="280"/>
      <c r="I8" s="281"/>
      <c r="J8" s="546"/>
      <c r="K8" s="283"/>
      <c r="L8" s="284"/>
      <c r="M8" s="284"/>
      <c r="N8" s="284"/>
      <c r="O8" s="284">
        <f>SUM(O3:O7)</f>
        <v>18290000</v>
      </c>
      <c r="P8" s="284"/>
      <c r="Q8" s="285"/>
      <c r="R8" s="284"/>
      <c r="S8" s="286"/>
      <c r="T8" s="316">
        <f>SUM(T3:T7)</f>
        <v>14632000</v>
      </c>
      <c r="U8" s="284">
        <f>U5+(SUM(U3:U4,U6:U7)*30%)</f>
        <v>3345666.6666666665</v>
      </c>
      <c r="V8" s="284"/>
      <c r="W8" s="284"/>
      <c r="X8" s="287"/>
      <c r="Y8" s="317">
        <f>SUM(Y3:Y7)</f>
        <v>3642250</v>
      </c>
      <c r="Z8" s="288">
        <f t="shared" si="2"/>
        <v>199.1388737014762</v>
      </c>
      <c r="AA8" s="288"/>
      <c r="AB8" s="284"/>
      <c r="AC8" s="289"/>
      <c r="AD8" s="261"/>
      <c r="AE8" s="290"/>
      <c r="AG8" s="290"/>
      <c r="AJ8" s="564"/>
      <c r="AK8" s="564"/>
      <c r="AL8" s="564"/>
      <c r="AN8" s="567"/>
      <c r="AO8" s="567"/>
      <c r="AP8" s="567"/>
    </row>
    <row r="9" spans="2:42" ht="18.649999999999999" customHeight="1" x14ac:dyDescent="0.35">
      <c r="B9" s="292" t="s">
        <v>92</v>
      </c>
      <c r="C9" s="293" t="s">
        <v>93</v>
      </c>
      <c r="D9" s="294" t="s">
        <v>94</v>
      </c>
      <c r="E9" s="294" t="s">
        <v>45</v>
      </c>
      <c r="F9" s="295" t="s">
        <v>87</v>
      </c>
      <c r="G9" s="295" t="s">
        <v>50</v>
      </c>
      <c r="H9" s="296" t="s">
        <v>95</v>
      </c>
      <c r="I9" s="296" t="s">
        <v>608</v>
      </c>
      <c r="J9" s="551" t="s">
        <v>96</v>
      </c>
      <c r="K9" s="295" t="s">
        <v>89</v>
      </c>
      <c r="L9" s="298">
        <f t="shared" ref="L9:L17" si="14">N9-(M9-1)</f>
        <v>21</v>
      </c>
      <c r="M9" s="299">
        <v>45460</v>
      </c>
      <c r="N9" s="299">
        <v>45480</v>
      </c>
      <c r="O9" s="298">
        <f t="shared" ref="O9:O18" si="15">U9*V9</f>
        <v>4146473.8759155716</v>
      </c>
      <c r="P9" s="300" t="s">
        <v>17</v>
      </c>
      <c r="Q9" s="301"/>
      <c r="R9" s="298"/>
      <c r="S9" s="302">
        <v>0.85</v>
      </c>
      <c r="T9" s="303">
        <f t="shared" ref="T9:T10" si="16">O9*S9</f>
        <v>3524502.7945282357</v>
      </c>
      <c r="U9" s="298">
        <f>AB9*AC9</f>
        <v>762219.46248448</v>
      </c>
      <c r="V9" s="298">
        <v>5.44</v>
      </c>
      <c r="W9" s="298"/>
      <c r="X9" s="304">
        <v>125</v>
      </c>
      <c r="Y9" s="305">
        <f t="shared" ref="Y9:Y14" si="17">(O9/1000)*X9</f>
        <v>518309.23448944645</v>
      </c>
      <c r="Z9" s="305">
        <f t="shared" si="2"/>
        <v>125</v>
      </c>
      <c r="AA9" s="305"/>
      <c r="AB9" s="306">
        <v>887432</v>
      </c>
      <c r="AC9" s="307">
        <f>85.890464%</f>
        <v>0.85890464</v>
      </c>
      <c r="AD9" s="261"/>
      <c r="AE9" s="260"/>
      <c r="AF9" s="261">
        <v>0.70400000000000007</v>
      </c>
      <c r="AG9" s="260"/>
      <c r="AH9" s="569"/>
      <c r="AJ9" s="346">
        <f>$O$9/$L$9*7</f>
        <v>1382157.9586385237</v>
      </c>
      <c r="AK9" s="346">
        <f t="shared" ref="AK9:AL9" si="18">$O$9/$L$9*7</f>
        <v>1382157.9586385237</v>
      </c>
      <c r="AL9" s="346">
        <f t="shared" si="18"/>
        <v>1382157.9586385237</v>
      </c>
      <c r="AN9" s="346">
        <f>AJ9*$Q$9</f>
        <v>0</v>
      </c>
      <c r="AO9" s="346">
        <f t="shared" ref="AO9:AP9" si="19">AK9*$Q$9</f>
        <v>0</v>
      </c>
      <c r="AP9" s="346">
        <f t="shared" si="19"/>
        <v>0</v>
      </c>
    </row>
    <row r="10" spans="2:42" ht="18.649999999999999" customHeight="1" x14ac:dyDescent="0.35">
      <c r="B10" s="292" t="s">
        <v>92</v>
      </c>
      <c r="C10" s="293" t="s">
        <v>93</v>
      </c>
      <c r="D10" s="295" t="s">
        <v>86</v>
      </c>
      <c r="E10" s="295" t="s">
        <v>45</v>
      </c>
      <c r="F10" s="295" t="s">
        <v>87</v>
      </c>
      <c r="G10" s="296" t="s">
        <v>50</v>
      </c>
      <c r="H10" s="296" t="s">
        <v>95</v>
      </c>
      <c r="I10" s="296" t="s">
        <v>610</v>
      </c>
      <c r="J10" s="551" t="s">
        <v>96</v>
      </c>
      <c r="K10" s="295" t="s">
        <v>89</v>
      </c>
      <c r="L10" s="298">
        <f t="shared" si="14"/>
        <v>21</v>
      </c>
      <c r="M10" s="299">
        <v>45460</v>
      </c>
      <c r="N10" s="299">
        <v>45480</v>
      </c>
      <c r="O10" s="298">
        <f>Y10/X10*1000</f>
        <v>16760060.0076</v>
      </c>
      <c r="P10" s="300" t="s">
        <v>17</v>
      </c>
      <c r="Q10" s="301"/>
      <c r="R10" s="298"/>
      <c r="S10" s="302">
        <v>0.8</v>
      </c>
      <c r="T10" s="303">
        <f t="shared" si="16"/>
        <v>13408048.006080002</v>
      </c>
      <c r="U10" s="298">
        <f>O10/V10</f>
        <v>2428994.2039999999</v>
      </c>
      <c r="V10" s="298">
        <v>6.9</v>
      </c>
      <c r="W10" s="298"/>
      <c r="X10" s="304">
        <v>110</v>
      </c>
      <c r="Y10" s="305">
        <f>1843606.600836</f>
        <v>1843606.6008359999</v>
      </c>
      <c r="Z10" s="305">
        <f t="shared" si="2"/>
        <v>110</v>
      </c>
      <c r="AA10" s="305"/>
      <c r="AB10" s="306">
        <v>2693600</v>
      </c>
      <c r="AC10" s="307">
        <f>U10/AB10</f>
        <v>0.90176499999999993</v>
      </c>
      <c r="AF10" s="261">
        <v>0.748</v>
      </c>
      <c r="AH10" s="291"/>
      <c r="AJ10" s="346">
        <f>$O$10/$L$10*7</f>
        <v>5586686.6692000004</v>
      </c>
      <c r="AK10" s="346">
        <f t="shared" ref="AK10:AL10" si="20">$O$10/$L$10*7</f>
        <v>5586686.6692000004</v>
      </c>
      <c r="AL10" s="346">
        <f t="shared" si="20"/>
        <v>5586686.6692000004</v>
      </c>
      <c r="AN10" s="346">
        <f>AJ10*$Q$10</f>
        <v>0</v>
      </c>
      <c r="AO10" s="566">
        <f t="shared" ref="AO10:AP10" si="21">AK10*$Q$10</f>
        <v>0</v>
      </c>
      <c r="AP10" s="346">
        <f t="shared" si="21"/>
        <v>0</v>
      </c>
    </row>
    <row r="11" spans="2:42" ht="18.649999999999999" customHeight="1" x14ac:dyDescent="0.35">
      <c r="B11" s="292" t="s">
        <v>92</v>
      </c>
      <c r="C11" s="293" t="s">
        <v>97</v>
      </c>
      <c r="D11" s="264" t="s">
        <v>561</v>
      </c>
      <c r="E11" s="264" t="s">
        <v>45</v>
      </c>
      <c r="F11" s="263" t="s">
        <v>87</v>
      </c>
      <c r="G11" s="263" t="s">
        <v>98</v>
      </c>
      <c r="H11" s="265" t="s">
        <v>90</v>
      </c>
      <c r="I11" s="265" t="s">
        <v>609</v>
      </c>
      <c r="J11" s="552" t="s">
        <v>96</v>
      </c>
      <c r="K11" s="263" t="s">
        <v>89</v>
      </c>
      <c r="L11" s="266">
        <f t="shared" si="14"/>
        <v>21</v>
      </c>
      <c r="M11" s="267">
        <v>45460</v>
      </c>
      <c r="N11" s="267">
        <v>45480</v>
      </c>
      <c r="O11" s="266">
        <f t="shared" si="15"/>
        <v>1780756.3758075</v>
      </c>
      <c r="P11" s="268" t="s">
        <v>17</v>
      </c>
      <c r="Q11" s="269">
        <v>1E-3</v>
      </c>
      <c r="R11" s="266">
        <f t="shared" ref="R11:R12" si="22">O11*Q11</f>
        <v>1780.7563758075</v>
      </c>
      <c r="S11" s="270">
        <v>0.7</v>
      </c>
      <c r="T11" s="271">
        <f>O11*S11</f>
        <v>1246529.4630652498</v>
      </c>
      <c r="U11" s="266">
        <f t="shared" ref="U11" si="23">AB11*AC11</f>
        <v>1780756.3758075</v>
      </c>
      <c r="V11" s="266">
        <v>1</v>
      </c>
      <c r="W11" s="266"/>
      <c r="X11" s="272">
        <v>70</v>
      </c>
      <c r="Y11" s="273">
        <f t="shared" si="17"/>
        <v>124652.946306525</v>
      </c>
      <c r="Z11" s="273">
        <f t="shared" si="2"/>
        <v>70</v>
      </c>
      <c r="AA11" s="273">
        <f t="shared" ref="AA11:AA27" si="24">Y11/R11</f>
        <v>70</v>
      </c>
      <c r="AB11" s="274">
        <f>3434340 *85%</f>
        <v>2919189</v>
      </c>
      <c r="AC11" s="275">
        <v>0.61001749999999999</v>
      </c>
      <c r="AE11" s="260"/>
      <c r="AF11" s="261">
        <v>0.70400000000000007</v>
      </c>
      <c r="AG11" s="260"/>
      <c r="AH11" s="291"/>
      <c r="AJ11" s="346">
        <f>$O11/$L11*7</f>
        <v>593585.45860249992</v>
      </c>
      <c r="AK11" s="346">
        <f t="shared" ref="AK11:AL28" si="25">$O11/$L11*7</f>
        <v>593585.45860249992</v>
      </c>
      <c r="AL11" s="346">
        <f t="shared" si="25"/>
        <v>593585.45860249992</v>
      </c>
      <c r="AN11" s="346">
        <f>AJ11*$Q$11</f>
        <v>593.5854586024999</v>
      </c>
      <c r="AO11" s="566">
        <f t="shared" ref="AO11:AP11" si="26">AK11*$Q$11</f>
        <v>593.5854586024999</v>
      </c>
      <c r="AP11" s="346">
        <f t="shared" si="26"/>
        <v>593.5854586024999</v>
      </c>
    </row>
    <row r="12" spans="2:42" ht="18.649999999999999" customHeight="1" x14ac:dyDescent="0.35">
      <c r="B12" s="292" t="s">
        <v>92</v>
      </c>
      <c r="C12" s="293" t="s">
        <v>97</v>
      </c>
      <c r="D12" s="264" t="s">
        <v>86</v>
      </c>
      <c r="E12" s="264" t="s">
        <v>45</v>
      </c>
      <c r="F12" s="263" t="s">
        <v>87</v>
      </c>
      <c r="G12" s="263" t="s">
        <v>98</v>
      </c>
      <c r="H12" s="265" t="s">
        <v>90</v>
      </c>
      <c r="I12" s="265" t="s">
        <v>610</v>
      </c>
      <c r="J12" s="552" t="s">
        <v>96</v>
      </c>
      <c r="K12" s="263" t="s">
        <v>89</v>
      </c>
      <c r="L12" s="266">
        <f t="shared" si="14"/>
        <v>21</v>
      </c>
      <c r="M12" s="267">
        <v>45460</v>
      </c>
      <c r="N12" s="267">
        <v>45480</v>
      </c>
      <c r="O12" s="266">
        <f>Y12/X12*1000</f>
        <v>3600794.1422578124</v>
      </c>
      <c r="P12" s="268" t="s">
        <v>17</v>
      </c>
      <c r="Q12" s="269">
        <v>1E-3</v>
      </c>
      <c r="R12" s="266">
        <f t="shared" si="22"/>
        <v>3600.7941422578124</v>
      </c>
      <c r="S12" s="270">
        <v>0.8</v>
      </c>
      <c r="T12" s="271">
        <f>O12*S12</f>
        <v>2880635.3138062502</v>
      </c>
      <c r="U12" s="266">
        <f>O12/V12</f>
        <v>2118114.2013281249</v>
      </c>
      <c r="V12" s="266">
        <f>1.7</f>
        <v>1.7</v>
      </c>
      <c r="W12" s="266"/>
      <c r="X12" s="272">
        <v>80</v>
      </c>
      <c r="Y12" s="273">
        <v>288063.53138062498</v>
      </c>
      <c r="Z12" s="273">
        <f t="shared" si="2"/>
        <v>80</v>
      </c>
      <c r="AA12" s="273">
        <f t="shared" si="24"/>
        <v>80</v>
      </c>
      <c r="AB12" s="274">
        <f>4906200*70%</f>
        <v>3434340</v>
      </c>
      <c r="AC12" s="275">
        <f>U12/AB12</f>
        <v>0.61674563419117645</v>
      </c>
      <c r="AE12" s="260"/>
      <c r="AF12" s="261">
        <v>0.70400000000000007</v>
      </c>
      <c r="AG12" s="260"/>
      <c r="AH12" s="458"/>
      <c r="AI12" s="459"/>
      <c r="AJ12" s="346">
        <f t="shared" ref="AJ12:AJ18" si="27">$O12/$L12*7</f>
        <v>1200264.7140859375</v>
      </c>
      <c r="AK12" s="346">
        <f t="shared" si="25"/>
        <v>1200264.7140859375</v>
      </c>
      <c r="AL12" s="346">
        <f t="shared" si="25"/>
        <v>1200264.7140859375</v>
      </c>
      <c r="AN12" s="346">
        <f>AJ12*$Q$12</f>
        <v>1200.2647140859376</v>
      </c>
      <c r="AO12" s="566">
        <f t="shared" ref="AO12:AP12" si="28">AK12*$Q$12</f>
        <v>1200.2647140859376</v>
      </c>
      <c r="AP12" s="346">
        <f t="shared" si="28"/>
        <v>1200.2647140859376</v>
      </c>
    </row>
    <row r="13" spans="2:42" ht="18.649999999999999" customHeight="1" x14ac:dyDescent="0.35">
      <c r="B13" s="292" t="s">
        <v>92</v>
      </c>
      <c r="C13" s="293" t="s">
        <v>97</v>
      </c>
      <c r="D13" s="263" t="s">
        <v>99</v>
      </c>
      <c r="E13" s="263" t="s">
        <v>46</v>
      </c>
      <c r="F13" s="263" t="s">
        <v>100</v>
      </c>
      <c r="G13" s="263" t="s">
        <v>101</v>
      </c>
      <c r="H13" s="265" t="s">
        <v>88</v>
      </c>
      <c r="I13" s="265" t="s">
        <v>102</v>
      </c>
      <c r="J13" s="553" t="s">
        <v>96</v>
      </c>
      <c r="K13" s="263" t="s">
        <v>89</v>
      </c>
      <c r="L13" s="266">
        <f t="shared" si="14"/>
        <v>21</v>
      </c>
      <c r="M13" s="267">
        <v>45460</v>
      </c>
      <c r="N13" s="267">
        <v>45480</v>
      </c>
      <c r="O13" s="266">
        <f t="shared" si="15"/>
        <v>759243.28838928568</v>
      </c>
      <c r="P13" s="268" t="s">
        <v>17</v>
      </c>
      <c r="Q13" s="269">
        <v>1.4999999999999999E-2</v>
      </c>
      <c r="R13" s="266">
        <f>O13*Q13</f>
        <v>11388.649325839284</v>
      </c>
      <c r="S13" s="268" t="s">
        <v>17</v>
      </c>
      <c r="T13" s="271" t="s">
        <v>17</v>
      </c>
      <c r="U13" s="266">
        <f>AB13*AC13</f>
        <v>893227.39810504194</v>
      </c>
      <c r="V13" s="266">
        <v>0.85</v>
      </c>
      <c r="W13" s="266"/>
      <c r="X13" s="272">
        <v>105</v>
      </c>
      <c r="Y13" s="273">
        <f t="shared" si="17"/>
        <v>79720.545280874998</v>
      </c>
      <c r="Z13" s="273">
        <f t="shared" si="2"/>
        <v>105</v>
      </c>
      <c r="AA13" s="273">
        <f t="shared" si="24"/>
        <v>7.0000000000000009</v>
      </c>
      <c r="AB13" s="274">
        <f>AB11*95%</f>
        <v>2773229.55</v>
      </c>
      <c r="AC13" s="275">
        <v>0.32208924</v>
      </c>
      <c r="AE13" s="260"/>
      <c r="AF13" s="261">
        <v>0.26400000000000001</v>
      </c>
      <c r="AG13" s="260"/>
      <c r="AH13" s="291"/>
      <c r="AI13" s="459"/>
      <c r="AJ13" s="346">
        <f t="shared" si="27"/>
        <v>253081.09612976189</v>
      </c>
      <c r="AK13" s="346">
        <f t="shared" si="25"/>
        <v>253081.09612976189</v>
      </c>
      <c r="AL13" s="346">
        <f t="shared" si="25"/>
        <v>253081.09612976189</v>
      </c>
      <c r="AN13" s="346">
        <f>AJ13*$Q$13</f>
        <v>3796.2164419464284</v>
      </c>
      <c r="AO13" s="566">
        <f t="shared" ref="AO13:AP13" si="29">AK13*$Q$13</f>
        <v>3796.2164419464284</v>
      </c>
      <c r="AP13" s="346">
        <f t="shared" si="29"/>
        <v>3796.2164419464284</v>
      </c>
    </row>
    <row r="14" spans="2:42" ht="18.649999999999999" customHeight="1" x14ac:dyDescent="0.35">
      <c r="B14" s="292" t="s">
        <v>92</v>
      </c>
      <c r="C14" s="293" t="s">
        <v>97</v>
      </c>
      <c r="D14" s="310" t="s">
        <v>103</v>
      </c>
      <c r="E14" s="263" t="s">
        <v>46</v>
      </c>
      <c r="F14" s="310" t="s">
        <v>100</v>
      </c>
      <c r="G14" s="263" t="s">
        <v>98</v>
      </c>
      <c r="H14" s="265" t="s">
        <v>88</v>
      </c>
      <c r="I14" s="265" t="s">
        <v>104</v>
      </c>
      <c r="J14" s="553" t="s">
        <v>96</v>
      </c>
      <c r="K14" s="263" t="s">
        <v>105</v>
      </c>
      <c r="L14" s="266">
        <f t="shared" si="14"/>
        <v>21</v>
      </c>
      <c r="M14" s="267">
        <v>45460</v>
      </c>
      <c r="N14" s="267">
        <v>45480</v>
      </c>
      <c r="O14" s="266">
        <f t="shared" si="15"/>
        <v>1268928.7249285898</v>
      </c>
      <c r="P14" s="268" t="s">
        <v>17</v>
      </c>
      <c r="Q14" s="269">
        <v>1.4999999999999999E-2</v>
      </c>
      <c r="R14" s="266">
        <f>O14*Q14</f>
        <v>19033.930873928846</v>
      </c>
      <c r="S14" s="268" t="s">
        <v>17</v>
      </c>
      <c r="T14" s="271" t="s">
        <v>17</v>
      </c>
      <c r="U14" s="266">
        <f>AB14*AC14</f>
        <v>1492857.3234453998</v>
      </c>
      <c r="V14" s="266">
        <v>0.85</v>
      </c>
      <c r="W14" s="266"/>
      <c r="X14" s="272">
        <v>120</v>
      </c>
      <c r="Y14" s="273">
        <f t="shared" si="17"/>
        <v>152271.44699143077</v>
      </c>
      <c r="Z14" s="273">
        <f t="shared" si="2"/>
        <v>120</v>
      </c>
      <c r="AA14" s="273">
        <f t="shared" si="24"/>
        <v>8</v>
      </c>
      <c r="AB14" s="274">
        <v>2780951</v>
      </c>
      <c r="AC14" s="275">
        <v>0.53681539999999994</v>
      </c>
      <c r="AE14" s="260"/>
      <c r="AF14" s="261">
        <v>0.44</v>
      </c>
      <c r="AG14" s="260"/>
      <c r="AH14" s="291"/>
      <c r="AJ14" s="346">
        <f t="shared" si="27"/>
        <v>422976.24164286326</v>
      </c>
      <c r="AK14" s="346">
        <f t="shared" si="25"/>
        <v>422976.24164286326</v>
      </c>
      <c r="AL14" s="346">
        <f t="shared" si="25"/>
        <v>422976.24164286326</v>
      </c>
      <c r="AN14" s="346">
        <f>AJ14*$Q$14</f>
        <v>6344.6436246429485</v>
      </c>
      <c r="AO14" s="566">
        <f t="shared" ref="AO14:AP14" si="30">AK14*$Q$14</f>
        <v>6344.6436246429485</v>
      </c>
      <c r="AP14" s="346">
        <f t="shared" si="30"/>
        <v>6344.6436246429485</v>
      </c>
    </row>
    <row r="15" spans="2:42" ht="18.649999999999999" customHeight="1" x14ac:dyDescent="0.35">
      <c r="B15" s="292" t="s">
        <v>92</v>
      </c>
      <c r="C15" s="293" t="s">
        <v>97</v>
      </c>
      <c r="D15" s="310" t="s">
        <v>106</v>
      </c>
      <c r="E15" s="311" t="s">
        <v>46</v>
      </c>
      <c r="F15" s="311" t="s">
        <v>91</v>
      </c>
      <c r="G15" s="263" t="s">
        <v>98</v>
      </c>
      <c r="H15" s="310" t="s">
        <v>88</v>
      </c>
      <c r="I15" s="263" t="s">
        <v>107</v>
      </c>
      <c r="J15" s="553" t="s">
        <v>96</v>
      </c>
      <c r="K15" s="263" t="s">
        <v>89</v>
      </c>
      <c r="L15" s="266">
        <f t="shared" si="14"/>
        <v>21</v>
      </c>
      <c r="M15" s="267">
        <v>45460</v>
      </c>
      <c r="N15" s="267">
        <v>45480</v>
      </c>
      <c r="O15" s="266">
        <f t="shared" si="15"/>
        <v>198714.08929849401</v>
      </c>
      <c r="P15" s="268" t="s">
        <v>17</v>
      </c>
      <c r="Q15" s="312">
        <v>0.01</v>
      </c>
      <c r="R15" s="266">
        <f t="shared" ref="R15:R16" si="31">O15*Q15</f>
        <v>1987.1408929849401</v>
      </c>
      <c r="S15" s="268" t="s">
        <v>17</v>
      </c>
      <c r="T15" s="271" t="s">
        <v>17</v>
      </c>
      <c r="U15" s="266">
        <f t="shared" ref="U15" si="32">AB15*AC15</f>
        <v>233781.28152764004</v>
      </c>
      <c r="V15" s="266">
        <v>0.85</v>
      </c>
      <c r="W15" s="266"/>
      <c r="X15" s="272">
        <v>200</v>
      </c>
      <c r="Y15" s="273">
        <f>O15*X15/1000</f>
        <v>39742.8178596988</v>
      </c>
      <c r="Z15" s="273">
        <f t="shared" si="2"/>
        <v>199.99999999999997</v>
      </c>
      <c r="AA15" s="273">
        <f t="shared" si="24"/>
        <v>20</v>
      </c>
      <c r="AB15" s="274">
        <v>989765</v>
      </c>
      <c r="AC15" s="275">
        <v>0.23619877600000003</v>
      </c>
      <c r="AE15" s="260"/>
      <c r="AF15" s="261">
        <v>0.17600000000000002</v>
      </c>
      <c r="AG15" s="260"/>
      <c r="AH15" s="562"/>
      <c r="AJ15" s="346">
        <f t="shared" si="27"/>
        <v>66238.029766164676</v>
      </c>
      <c r="AK15" s="346">
        <f t="shared" si="25"/>
        <v>66238.029766164676</v>
      </c>
      <c r="AL15" s="346">
        <f t="shared" si="25"/>
        <v>66238.029766164676</v>
      </c>
      <c r="AN15" s="346">
        <f>AJ15*$Q$15</f>
        <v>662.38029766164675</v>
      </c>
      <c r="AO15" s="566">
        <f t="shared" ref="AO15:AP15" si="33">AK15*$Q$15</f>
        <v>662.38029766164675</v>
      </c>
      <c r="AP15" s="346">
        <f t="shared" si="33"/>
        <v>662.38029766164675</v>
      </c>
    </row>
    <row r="16" spans="2:42" ht="18.649999999999999" customHeight="1" x14ac:dyDescent="0.35">
      <c r="B16" s="292" t="s">
        <v>112</v>
      </c>
      <c r="C16" s="293" t="s">
        <v>97</v>
      </c>
      <c r="D16" s="310" t="s">
        <v>588</v>
      </c>
      <c r="E16" s="263" t="s">
        <v>46</v>
      </c>
      <c r="F16" s="310" t="s">
        <v>589</v>
      </c>
      <c r="G16" s="263" t="s">
        <v>98</v>
      </c>
      <c r="H16" s="265" t="s">
        <v>88</v>
      </c>
      <c r="I16" s="265" t="s">
        <v>590</v>
      </c>
      <c r="J16" s="553" t="s">
        <v>591</v>
      </c>
      <c r="K16" s="263" t="s">
        <v>592</v>
      </c>
      <c r="L16" s="266">
        <f t="shared" si="14"/>
        <v>21</v>
      </c>
      <c r="M16" s="267">
        <v>45460</v>
      </c>
      <c r="N16" s="267">
        <v>45480</v>
      </c>
      <c r="O16" s="266">
        <f>U16*3</f>
        <v>472162.74000000005</v>
      </c>
      <c r="P16" s="268" t="s">
        <v>17</v>
      </c>
      <c r="Q16" s="269">
        <v>1.4999999999999999E-2</v>
      </c>
      <c r="R16" s="266">
        <f t="shared" si="31"/>
        <v>7082.4411000000009</v>
      </c>
      <c r="S16" s="268" t="s">
        <v>17</v>
      </c>
      <c r="T16" s="271" t="s">
        <v>17</v>
      </c>
      <c r="U16" s="266">
        <f>AB16*AC16</f>
        <v>157387.58000000002</v>
      </c>
      <c r="V16" s="266">
        <f>O16/U16</f>
        <v>3</v>
      </c>
      <c r="W16" s="266"/>
      <c r="X16" s="272">
        <v>2</v>
      </c>
      <c r="Y16" s="273">
        <f>O16/3*X16</f>
        <v>314775.16000000003</v>
      </c>
      <c r="Z16" s="273">
        <f t="shared" si="2"/>
        <v>666.66666666666663</v>
      </c>
      <c r="AA16" s="273">
        <f t="shared" si="24"/>
        <v>44.444444444444443</v>
      </c>
      <c r="AB16" s="274">
        <v>2248394</v>
      </c>
      <c r="AC16" s="275">
        <v>7.0000000000000007E-2</v>
      </c>
      <c r="AE16" s="260"/>
      <c r="AF16" s="261">
        <v>0.26400000000000001</v>
      </c>
      <c r="AG16" s="260"/>
      <c r="AJ16" s="346">
        <f t="shared" si="27"/>
        <v>157387.58000000002</v>
      </c>
      <c r="AK16" s="346">
        <f t="shared" si="25"/>
        <v>157387.58000000002</v>
      </c>
      <c r="AL16" s="346">
        <f t="shared" si="25"/>
        <v>157387.58000000002</v>
      </c>
      <c r="AN16" s="346">
        <f>AJ16*$Q$16</f>
        <v>2360.8137000000002</v>
      </c>
      <c r="AO16" s="566">
        <f t="shared" ref="AO16:AP16" si="34">AK16*$Q$16</f>
        <v>2360.8137000000002</v>
      </c>
      <c r="AP16" s="346">
        <f t="shared" si="34"/>
        <v>2360.8137000000002</v>
      </c>
    </row>
    <row r="17" spans="2:42" ht="17.5" customHeight="1" x14ac:dyDescent="0.35">
      <c r="B17" s="292" t="s">
        <v>92</v>
      </c>
      <c r="C17" s="293" t="s">
        <v>97</v>
      </c>
      <c r="D17" s="310" t="s">
        <v>109</v>
      </c>
      <c r="E17" s="263" t="s">
        <v>46</v>
      </c>
      <c r="F17" s="310" t="s">
        <v>100</v>
      </c>
      <c r="G17" s="263" t="s">
        <v>98</v>
      </c>
      <c r="H17" s="265" t="s">
        <v>88</v>
      </c>
      <c r="I17" s="265" t="s">
        <v>110</v>
      </c>
      <c r="J17" s="553" t="s">
        <v>96</v>
      </c>
      <c r="K17" s="263" t="s">
        <v>111</v>
      </c>
      <c r="L17" s="266">
        <f t="shared" si="14"/>
        <v>21</v>
      </c>
      <c r="M17" s="267">
        <v>45460</v>
      </c>
      <c r="N17" s="267">
        <v>45480</v>
      </c>
      <c r="O17" s="266">
        <f t="shared" si="15"/>
        <v>2620840.1458800002</v>
      </c>
      <c r="P17" s="268" t="s">
        <v>17</v>
      </c>
      <c r="Q17" s="269">
        <v>0.02</v>
      </c>
      <c r="R17" s="266">
        <f>O17*Q17</f>
        <v>52416.802917600005</v>
      </c>
      <c r="S17" s="268" t="s">
        <v>17</v>
      </c>
      <c r="T17" s="271" t="s">
        <v>17</v>
      </c>
      <c r="U17" s="266">
        <f>AB17*AC17</f>
        <v>2620840.1458800002</v>
      </c>
      <c r="V17" s="266">
        <v>1</v>
      </c>
      <c r="W17" s="266"/>
      <c r="X17" s="272">
        <v>4.5</v>
      </c>
      <c r="Y17" s="273">
        <f>R17*X17</f>
        <v>235875.61312920004</v>
      </c>
      <c r="Z17" s="273">
        <f t="shared" si="2"/>
        <v>90.000000000000014</v>
      </c>
      <c r="AA17" s="273">
        <f t="shared" si="24"/>
        <v>4.5</v>
      </c>
      <c r="AB17" s="274">
        <f>8137000*50%</f>
        <v>4068500</v>
      </c>
      <c r="AC17" s="275">
        <v>0.64417848</v>
      </c>
      <c r="AE17" s="260"/>
      <c r="AF17" s="261">
        <v>0.52800000000000002</v>
      </c>
      <c r="AG17" s="260"/>
      <c r="AJ17" s="346">
        <f t="shared" si="27"/>
        <v>873613.38196000003</v>
      </c>
      <c r="AK17" s="346">
        <f t="shared" si="25"/>
        <v>873613.38196000003</v>
      </c>
      <c r="AL17" s="346">
        <f t="shared" si="25"/>
        <v>873613.38196000003</v>
      </c>
      <c r="AN17" s="346">
        <f>AJ17*$Q$17</f>
        <v>17472.267639199999</v>
      </c>
      <c r="AO17" s="566">
        <f t="shared" ref="AO17:AP17" si="35">AK17*$Q$17</f>
        <v>17472.267639199999</v>
      </c>
      <c r="AP17" s="346">
        <f t="shared" si="35"/>
        <v>17472.267639199999</v>
      </c>
    </row>
    <row r="18" spans="2:42" ht="18.649999999999999" customHeight="1" x14ac:dyDescent="0.35">
      <c r="B18" s="292" t="s">
        <v>92</v>
      </c>
      <c r="C18" s="293" t="s">
        <v>97</v>
      </c>
      <c r="D18" s="310" t="s">
        <v>600</v>
      </c>
      <c r="E18" s="314" t="s">
        <v>46</v>
      </c>
      <c r="F18" s="311" t="s">
        <v>565</v>
      </c>
      <c r="G18" s="263" t="s">
        <v>101</v>
      </c>
      <c r="H18" s="265" t="s">
        <v>88</v>
      </c>
      <c r="I18" s="265" t="s">
        <v>527</v>
      </c>
      <c r="J18" s="552" t="s">
        <v>566</v>
      </c>
      <c r="K18" s="263" t="s">
        <v>89</v>
      </c>
      <c r="L18" s="266">
        <f t="shared" ref="L18" si="36">N18-M18+1</f>
        <v>13</v>
      </c>
      <c r="M18" s="267">
        <v>45460</v>
      </c>
      <c r="N18" s="267">
        <v>45472</v>
      </c>
      <c r="O18" s="266">
        <f t="shared" si="15"/>
        <v>812409.28</v>
      </c>
      <c r="P18" s="268" t="s">
        <v>17</v>
      </c>
      <c r="Q18" s="315">
        <v>5.0000000000000001E-3</v>
      </c>
      <c r="R18" s="266">
        <f t="shared" ref="R18" si="37">O18*Q18</f>
        <v>4062.0464000000002</v>
      </c>
      <c r="S18" s="268" t="s">
        <v>17</v>
      </c>
      <c r="T18" s="271" t="s">
        <v>17</v>
      </c>
      <c r="U18" s="266">
        <f t="shared" ref="U18" si="38">AB18*AC18</f>
        <v>406204.64</v>
      </c>
      <c r="V18" s="266">
        <v>2</v>
      </c>
      <c r="W18" s="266"/>
      <c r="X18" s="272">
        <v>105</v>
      </c>
      <c r="Y18" s="273">
        <f t="shared" ref="Y18" si="39">O18/1000*X18</f>
        <v>85302.974400000006</v>
      </c>
      <c r="Z18" s="273">
        <f t="shared" si="2"/>
        <v>105.00000000000001</v>
      </c>
      <c r="AA18" s="273">
        <f t="shared" si="24"/>
        <v>21</v>
      </c>
      <c r="AB18" s="274">
        <v>1015511.6</v>
      </c>
      <c r="AC18" s="275">
        <v>0.4</v>
      </c>
      <c r="AE18" s="260"/>
      <c r="AF18" s="261">
        <v>0.78032060075835807</v>
      </c>
      <c r="AG18" s="260"/>
      <c r="AJ18" s="346">
        <f t="shared" si="27"/>
        <v>437451.15076923079</v>
      </c>
      <c r="AK18" s="346">
        <f>$O18/$L18*6</f>
        <v>374958.12923076923</v>
      </c>
      <c r="AL18" s="346"/>
      <c r="AN18" s="346">
        <f>AJ18*$Q$18</f>
        <v>2187.2557538461542</v>
      </c>
      <c r="AO18" s="566">
        <f t="shared" ref="AO18:AP18" si="40">AK18*$Q$18</f>
        <v>1874.7906461538462</v>
      </c>
      <c r="AP18" s="346">
        <f t="shared" si="40"/>
        <v>0</v>
      </c>
    </row>
    <row r="19" spans="2:42" ht="18.649999999999999" customHeight="1" x14ac:dyDescent="0.35">
      <c r="B19" s="292" t="s">
        <v>112</v>
      </c>
      <c r="C19" s="293" t="s">
        <v>97</v>
      </c>
      <c r="D19" s="311" t="s">
        <v>116</v>
      </c>
      <c r="E19" s="263" t="s">
        <v>46</v>
      </c>
      <c r="F19" s="311" t="s">
        <v>114</v>
      </c>
      <c r="G19" s="263" t="s">
        <v>98</v>
      </c>
      <c r="H19" s="265" t="s">
        <v>88</v>
      </c>
      <c r="I19" s="265" t="s">
        <v>115</v>
      </c>
      <c r="J19" s="552" t="s">
        <v>96</v>
      </c>
      <c r="K19" s="263" t="s">
        <v>105</v>
      </c>
      <c r="L19" s="266">
        <f>N19-M19+1</f>
        <v>6</v>
      </c>
      <c r="M19" s="267">
        <v>45471</v>
      </c>
      <c r="N19" s="267">
        <v>45476</v>
      </c>
      <c r="O19" s="266">
        <f>867857/14*6</f>
        <v>371938.71428571432</v>
      </c>
      <c r="P19" s="268" t="s">
        <v>17</v>
      </c>
      <c r="Q19" s="315">
        <v>0.01</v>
      </c>
      <c r="R19" s="266">
        <f>O19*Q19</f>
        <v>3719.3871428571433</v>
      </c>
      <c r="S19" s="268" t="s">
        <v>17</v>
      </c>
      <c r="T19" s="271" t="s">
        <v>17</v>
      </c>
      <c r="U19" s="266">
        <f>O19/V19</f>
        <v>74387.742857142861</v>
      </c>
      <c r="V19" s="266">
        <v>5</v>
      </c>
      <c r="W19" s="266"/>
      <c r="X19" s="272">
        <v>260</v>
      </c>
      <c r="Y19" s="273">
        <f>(O19/1000)*X19</f>
        <v>96704.065714285724</v>
      </c>
      <c r="Z19" s="273">
        <f t="shared" si="2"/>
        <v>260</v>
      </c>
      <c r="AA19" s="273">
        <f t="shared" si="24"/>
        <v>26</v>
      </c>
      <c r="AB19" s="274">
        <v>202500</v>
      </c>
      <c r="AC19" s="275">
        <f>U19/AB19</f>
        <v>0.36734687830687834</v>
      </c>
      <c r="AE19" s="260"/>
      <c r="AF19" s="261">
        <v>0.37714279506172838</v>
      </c>
      <c r="AG19" s="260"/>
      <c r="AJ19" s="346"/>
      <c r="AK19" s="346">
        <f>$O19/$L19*3</f>
        <v>185969.35714285716</v>
      </c>
      <c r="AL19" s="346">
        <f>$O19/$L19*3</f>
        <v>185969.35714285716</v>
      </c>
      <c r="AN19" s="346">
        <f>AJ19*$Q$19</f>
        <v>0</v>
      </c>
      <c r="AO19" s="566">
        <f t="shared" ref="AO19:AP19" si="41">AK19*$Q$19</f>
        <v>1859.6935714285717</v>
      </c>
      <c r="AP19" s="346">
        <f t="shared" si="41"/>
        <v>1859.6935714285717</v>
      </c>
    </row>
    <row r="20" spans="2:42" ht="18.649999999999999" customHeight="1" x14ac:dyDescent="0.35">
      <c r="B20" s="277" t="str">
        <f>B17</f>
        <v>Telengana - Seg A</v>
      </c>
      <c r="C20" s="278"/>
      <c r="D20" s="279" t="s">
        <v>18</v>
      </c>
      <c r="E20" s="280"/>
      <c r="F20" s="279"/>
      <c r="G20" s="280"/>
      <c r="H20" s="280"/>
      <c r="I20" s="281"/>
      <c r="J20" s="546"/>
      <c r="K20" s="283"/>
      <c r="L20" s="284"/>
      <c r="M20" s="284"/>
      <c r="N20" s="284"/>
      <c r="O20" s="284">
        <f>SUM(O9:O19)</f>
        <v>32792321.384362966</v>
      </c>
      <c r="P20" s="284"/>
      <c r="Q20" s="285">
        <f>R20/O20</f>
        <v>3.2041631923435329E-3</v>
      </c>
      <c r="R20" s="284">
        <f>SUM(R9:R19)</f>
        <v>105071.94917127554</v>
      </c>
      <c r="S20" s="286"/>
      <c r="T20" s="316">
        <f>SUM(T9:T19)</f>
        <v>21059715.577479735</v>
      </c>
      <c r="U20" s="284">
        <f>U17+(SUM(U9:U12,U13:U16,U18:U19)*10%)</f>
        <v>3655633.1668355335</v>
      </c>
      <c r="V20" s="284">
        <f>O20/U20</f>
        <v>8.9703533937321591</v>
      </c>
      <c r="W20" s="284"/>
      <c r="X20" s="287"/>
      <c r="Y20" s="317">
        <f>SUM(Y9:Y19)</f>
        <v>3779024.936388087</v>
      </c>
      <c r="Z20" s="288">
        <f t="shared" si="2"/>
        <v>115.24115332042692</v>
      </c>
      <c r="AA20" s="288">
        <f t="shared" si="24"/>
        <v>35.966068643382442</v>
      </c>
      <c r="AB20" s="284">
        <f>AB17+(SUM(AB9:AB16,AB18:AB19)*2%)</f>
        <v>4467398.2429999998</v>
      </c>
      <c r="AC20" s="289">
        <f>U20/AB20</f>
        <v>0.81829131140559785</v>
      </c>
      <c r="AD20" s="261"/>
      <c r="AE20" s="290"/>
      <c r="AF20" s="261">
        <v>0.73916175187177169</v>
      </c>
      <c r="AG20" s="290"/>
    </row>
    <row r="21" spans="2:42" ht="18.649999999999999" customHeight="1" x14ac:dyDescent="0.35">
      <c r="B21" s="292" t="s">
        <v>117</v>
      </c>
      <c r="C21" s="293" t="s">
        <v>97</v>
      </c>
      <c r="D21" s="264" t="s">
        <v>544</v>
      </c>
      <c r="E21" s="264" t="s">
        <v>45</v>
      </c>
      <c r="F21" s="263" t="s">
        <v>87</v>
      </c>
      <c r="G21" s="263" t="s">
        <v>101</v>
      </c>
      <c r="H21" s="265" t="s">
        <v>95</v>
      </c>
      <c r="I21" s="265" t="s">
        <v>608</v>
      </c>
      <c r="J21" s="552" t="s">
        <v>96</v>
      </c>
      <c r="K21" s="263" t="s">
        <v>89</v>
      </c>
      <c r="L21" s="266">
        <f t="shared" ref="L21:L26" si="42">N21-(M21-1)</f>
        <v>21</v>
      </c>
      <c r="M21" s="267">
        <v>45460</v>
      </c>
      <c r="N21" s="267">
        <v>45480</v>
      </c>
      <c r="O21" s="266">
        <f>Y21/X21*1000</f>
        <v>7076157.2486874992</v>
      </c>
      <c r="P21" s="268" t="s">
        <v>17</v>
      </c>
      <c r="Q21" s="269">
        <v>2E-3</v>
      </c>
      <c r="R21" s="266">
        <f t="shared" ref="R21:R22" si="43">O21*Q21</f>
        <v>14152.314497374999</v>
      </c>
      <c r="S21" s="318">
        <v>0.85</v>
      </c>
      <c r="T21" s="319">
        <f t="shared" ref="T21:T22" si="44">O21*S21</f>
        <v>6014733.6613843739</v>
      </c>
      <c r="U21" s="266">
        <f>O21/V21</f>
        <v>2253553.2639132161</v>
      </c>
      <c r="V21" s="266">
        <v>3.14</v>
      </c>
      <c r="W21" s="266"/>
      <c r="X21" s="272">
        <v>80</v>
      </c>
      <c r="Y21" s="273">
        <v>566092.57989499997</v>
      </c>
      <c r="Z21" s="273">
        <f t="shared" si="2"/>
        <v>80</v>
      </c>
      <c r="AA21" s="273">
        <f t="shared" si="24"/>
        <v>40</v>
      </c>
      <c r="AB21" s="274">
        <f>1855988*2</f>
        <v>3711976</v>
      </c>
      <c r="AC21" s="275">
        <f>U21/AB21</f>
        <v>0.60710340366242022</v>
      </c>
      <c r="AD21" s="261"/>
      <c r="AE21" s="260"/>
      <c r="AF21" s="261">
        <v>0.70400000000000007</v>
      </c>
      <c r="AG21" s="260"/>
      <c r="AH21" s="458"/>
      <c r="AI21" s="459"/>
      <c r="AJ21" s="346">
        <f>$O21/$L21*7</f>
        <v>2358719.0828958331</v>
      </c>
      <c r="AK21" s="346">
        <f t="shared" si="25"/>
        <v>2358719.0828958331</v>
      </c>
      <c r="AL21" s="346">
        <f t="shared" si="25"/>
        <v>2358719.0828958331</v>
      </c>
      <c r="AN21" s="346">
        <f>$R21/$L21*7</f>
        <v>4717.4381657916656</v>
      </c>
      <c r="AO21" s="346">
        <f t="shared" ref="AO21:AP26" si="45">$R21/$L21*7</f>
        <v>4717.4381657916656</v>
      </c>
      <c r="AP21" s="346">
        <f t="shared" si="45"/>
        <v>4717.4381657916656</v>
      </c>
    </row>
    <row r="22" spans="2:42" ht="19.5" customHeight="1" x14ac:dyDescent="0.35">
      <c r="B22" s="292" t="s">
        <v>117</v>
      </c>
      <c r="C22" s="293" t="s">
        <v>97</v>
      </c>
      <c r="D22" s="263" t="s">
        <v>86</v>
      </c>
      <c r="E22" s="263" t="s">
        <v>45</v>
      </c>
      <c r="F22" s="263" t="s">
        <v>87</v>
      </c>
      <c r="G22" s="263" t="s">
        <v>101</v>
      </c>
      <c r="H22" s="265" t="s">
        <v>95</v>
      </c>
      <c r="I22" s="265" t="s">
        <v>610</v>
      </c>
      <c r="J22" s="552" t="s">
        <v>96</v>
      </c>
      <c r="K22" s="263" t="s">
        <v>89</v>
      </c>
      <c r="L22" s="266">
        <f t="shared" si="42"/>
        <v>21</v>
      </c>
      <c r="M22" s="267">
        <v>45460</v>
      </c>
      <c r="N22" s="267">
        <v>45480</v>
      </c>
      <c r="O22" s="266">
        <f>Y22/X22*1000</f>
        <v>29616306.923774995</v>
      </c>
      <c r="P22" s="268" t="s">
        <v>17</v>
      </c>
      <c r="Q22" s="269">
        <v>1E-3</v>
      </c>
      <c r="R22" s="266">
        <f t="shared" si="43"/>
        <v>29616.306923774995</v>
      </c>
      <c r="S22" s="318">
        <v>0.8</v>
      </c>
      <c r="T22" s="319">
        <f t="shared" si="44"/>
        <v>23693045.539019998</v>
      </c>
      <c r="U22" s="266">
        <f>O22/V22</f>
        <v>7258898.7558272043</v>
      </c>
      <c r="V22" s="266">
        <f>3*136%</f>
        <v>4.08</v>
      </c>
      <c r="W22" s="266"/>
      <c r="X22" s="272">
        <v>80</v>
      </c>
      <c r="Y22" s="273">
        <v>2369304.5539019997</v>
      </c>
      <c r="Z22" s="273">
        <f t="shared" si="2"/>
        <v>80</v>
      </c>
      <c r="AA22" s="273">
        <f t="shared" si="24"/>
        <v>80</v>
      </c>
      <c r="AB22" s="274">
        <f>5884840*2</f>
        <v>11769680</v>
      </c>
      <c r="AC22" s="275">
        <f>U22/AB22</f>
        <v>0.61674563419117634</v>
      </c>
      <c r="AF22" s="261">
        <v>0.70400000000000007</v>
      </c>
      <c r="AH22" s="458"/>
      <c r="AI22" s="459"/>
      <c r="AJ22" s="346">
        <f t="shared" ref="AJ22:AJ26" si="46">$O22/$L22*7</f>
        <v>9872102.3079249989</v>
      </c>
      <c r="AK22" s="346">
        <f t="shared" si="25"/>
        <v>9872102.3079249989</v>
      </c>
      <c r="AL22" s="346">
        <f t="shared" si="25"/>
        <v>9872102.3079249989</v>
      </c>
      <c r="AN22" s="346">
        <f t="shared" ref="AN22:AN26" si="47">$R22/$L22*7</f>
        <v>9872.1023079249971</v>
      </c>
      <c r="AO22" s="346">
        <f t="shared" si="45"/>
        <v>9872.1023079249971</v>
      </c>
      <c r="AP22" s="346">
        <f t="shared" si="45"/>
        <v>9872.1023079249971</v>
      </c>
    </row>
    <row r="23" spans="2:42" ht="18.649999999999999" customHeight="1" x14ac:dyDescent="0.35">
      <c r="B23" s="292" t="s">
        <v>117</v>
      </c>
      <c r="C23" s="293" t="s">
        <v>97</v>
      </c>
      <c r="D23" s="263" t="s">
        <v>99</v>
      </c>
      <c r="E23" s="263" t="s">
        <v>46</v>
      </c>
      <c r="F23" s="263" t="s">
        <v>100</v>
      </c>
      <c r="G23" s="263" t="s">
        <v>101</v>
      </c>
      <c r="H23" s="265" t="s">
        <v>88</v>
      </c>
      <c r="I23" s="265" t="s">
        <v>102</v>
      </c>
      <c r="J23" s="553" t="s">
        <v>96</v>
      </c>
      <c r="K23" s="263" t="s">
        <v>89</v>
      </c>
      <c r="L23" s="266">
        <f t="shared" si="42"/>
        <v>21</v>
      </c>
      <c r="M23" s="267">
        <v>45460</v>
      </c>
      <c r="N23" s="267">
        <v>45480</v>
      </c>
      <c r="O23" s="266">
        <f t="shared" ref="O23:O25" si="48">U23*V23</f>
        <v>3061141.4836413837</v>
      </c>
      <c r="P23" s="268" t="s">
        <v>17</v>
      </c>
      <c r="Q23" s="269">
        <v>1.4999999999999999E-2</v>
      </c>
      <c r="R23" s="266">
        <f>O23*Q23</f>
        <v>45917.122254620757</v>
      </c>
      <c r="S23" s="268" t="s">
        <v>17</v>
      </c>
      <c r="T23" s="271" t="s">
        <v>17</v>
      </c>
      <c r="U23" s="266">
        <f>AB23*AC23</f>
        <v>3601342.92193104</v>
      </c>
      <c r="V23" s="266">
        <v>0.85</v>
      </c>
      <c r="W23" s="266"/>
      <c r="X23" s="272">
        <v>105</v>
      </c>
      <c r="Y23" s="273">
        <f>(O23/1000)*X23</f>
        <v>321419.85578234529</v>
      </c>
      <c r="Z23" s="273">
        <f t="shared" si="2"/>
        <v>105</v>
      </c>
      <c r="AA23" s="273">
        <f t="shared" si="24"/>
        <v>7</v>
      </c>
      <c r="AB23" s="274">
        <f>AB22*95%</f>
        <v>11181196</v>
      </c>
      <c r="AC23" s="275">
        <v>0.32208924</v>
      </c>
      <c r="AE23" s="260"/>
      <c r="AF23" s="261">
        <v>0.26400000000000001</v>
      </c>
      <c r="AG23" s="260"/>
      <c r="AJ23" s="346">
        <f t="shared" si="46"/>
        <v>1020380.4945471279</v>
      </c>
      <c r="AK23" s="346">
        <f t="shared" si="25"/>
        <v>1020380.4945471279</v>
      </c>
      <c r="AL23" s="346">
        <f t="shared" si="25"/>
        <v>1020380.4945471279</v>
      </c>
      <c r="AN23" s="346">
        <f t="shared" si="47"/>
        <v>15305.707418206919</v>
      </c>
      <c r="AO23" s="346">
        <f t="shared" si="45"/>
        <v>15305.707418206919</v>
      </c>
      <c r="AP23" s="346">
        <f t="shared" si="45"/>
        <v>15305.707418206919</v>
      </c>
    </row>
    <row r="24" spans="2:42" ht="18.649999999999999" customHeight="1" x14ac:dyDescent="0.35">
      <c r="B24" s="292" t="s">
        <v>117</v>
      </c>
      <c r="C24" s="293" t="s">
        <v>97</v>
      </c>
      <c r="D24" s="310" t="s">
        <v>103</v>
      </c>
      <c r="E24" s="263" t="s">
        <v>46</v>
      </c>
      <c r="F24" s="310" t="s">
        <v>100</v>
      </c>
      <c r="G24" s="263" t="s">
        <v>98</v>
      </c>
      <c r="H24" s="265" t="s">
        <v>88</v>
      </c>
      <c r="I24" s="265" t="s">
        <v>104</v>
      </c>
      <c r="J24" s="553" t="s">
        <v>96</v>
      </c>
      <c r="K24" s="263" t="s">
        <v>105</v>
      </c>
      <c r="L24" s="266">
        <f t="shared" si="42"/>
        <v>21</v>
      </c>
      <c r="M24" s="267">
        <v>45460</v>
      </c>
      <c r="N24" s="267">
        <v>45480</v>
      </c>
      <c r="O24" s="266">
        <f t="shared" si="48"/>
        <v>3036273.4646070749</v>
      </c>
      <c r="P24" s="268" t="s">
        <v>17</v>
      </c>
      <c r="Q24" s="269">
        <v>1.4999999999999999E-2</v>
      </c>
      <c r="R24" s="266">
        <f>O24*Q24</f>
        <v>45544.101969106123</v>
      </c>
      <c r="S24" s="268" t="s">
        <v>17</v>
      </c>
      <c r="T24" s="271" t="s">
        <v>17</v>
      </c>
      <c r="U24" s="266">
        <f>AB24*AC24</f>
        <v>3572086.4289495</v>
      </c>
      <c r="V24" s="266">
        <v>0.85</v>
      </c>
      <c r="W24" s="266"/>
      <c r="X24" s="272">
        <v>120</v>
      </c>
      <c r="Y24" s="273">
        <f>(O24/1000)*X24</f>
        <v>364352.81575284898</v>
      </c>
      <c r="Z24" s="273">
        <f t="shared" si="2"/>
        <v>120</v>
      </c>
      <c r="AA24" s="273">
        <f t="shared" si="24"/>
        <v>8</v>
      </c>
      <c r="AB24" s="274">
        <f>4182651*2</f>
        <v>8365302</v>
      </c>
      <c r="AC24" s="275">
        <v>0.42701224999999998</v>
      </c>
      <c r="AE24" s="260"/>
      <c r="AF24" s="261">
        <v>0.44</v>
      </c>
      <c r="AG24" s="260"/>
      <c r="AH24" s="320"/>
      <c r="AI24" s="459"/>
      <c r="AJ24" s="346">
        <f t="shared" si="46"/>
        <v>1012091.1548690249</v>
      </c>
      <c r="AK24" s="346">
        <f t="shared" si="25"/>
        <v>1012091.1548690249</v>
      </c>
      <c r="AL24" s="346">
        <f t="shared" si="25"/>
        <v>1012091.1548690249</v>
      </c>
      <c r="AN24" s="346">
        <f t="shared" si="47"/>
        <v>15181.367323035374</v>
      </c>
      <c r="AO24" s="346">
        <f t="shared" si="45"/>
        <v>15181.367323035374</v>
      </c>
      <c r="AP24" s="346">
        <f t="shared" si="45"/>
        <v>15181.367323035374</v>
      </c>
    </row>
    <row r="25" spans="2:42" ht="18.649999999999999" customHeight="1" x14ac:dyDescent="0.35">
      <c r="B25" s="292" t="s">
        <v>117</v>
      </c>
      <c r="C25" s="293" t="s">
        <v>97</v>
      </c>
      <c r="D25" s="310" t="s">
        <v>106</v>
      </c>
      <c r="E25" s="311" t="s">
        <v>46</v>
      </c>
      <c r="F25" s="311" t="s">
        <v>91</v>
      </c>
      <c r="G25" s="263" t="s">
        <v>98</v>
      </c>
      <c r="H25" s="310" t="s">
        <v>88</v>
      </c>
      <c r="I25" s="263" t="s">
        <v>107</v>
      </c>
      <c r="J25" s="553" t="s">
        <v>96</v>
      </c>
      <c r="K25" s="263" t="s">
        <v>89</v>
      </c>
      <c r="L25" s="266">
        <f t="shared" si="42"/>
        <v>21</v>
      </c>
      <c r="M25" s="267">
        <v>45460</v>
      </c>
      <c r="N25" s="267">
        <v>45480</v>
      </c>
      <c r="O25" s="266">
        <f t="shared" si="48"/>
        <v>1656648.9249034242</v>
      </c>
      <c r="P25" s="268" t="s">
        <v>17</v>
      </c>
      <c r="Q25" s="312">
        <v>0.01</v>
      </c>
      <c r="R25" s="266">
        <f t="shared" ref="R25:R26" si="49">O25*Q25</f>
        <v>16566.489249034243</v>
      </c>
      <c r="S25" s="268" t="s">
        <v>17</v>
      </c>
      <c r="T25" s="271" t="s">
        <v>17</v>
      </c>
      <c r="U25" s="266">
        <f>AB25*AC25</f>
        <v>1948998.7351804993</v>
      </c>
      <c r="V25" s="266">
        <v>0.85</v>
      </c>
      <c r="W25" s="266"/>
      <c r="X25" s="272">
        <v>200</v>
      </c>
      <c r="Y25" s="273">
        <f>O25*X25/1000</f>
        <v>331329.78498068481</v>
      </c>
      <c r="Z25" s="273">
        <f t="shared" si="2"/>
        <v>199.99999999999997</v>
      </c>
      <c r="AA25" s="273">
        <f t="shared" si="24"/>
        <v>19.999999999999996</v>
      </c>
      <c r="AB25" s="274">
        <f>6876266*1.2</f>
        <v>8251519.1999999993</v>
      </c>
      <c r="AC25" s="275">
        <v>0.23619877600000003</v>
      </c>
      <c r="AE25" s="260"/>
      <c r="AF25" s="261">
        <v>0.17600000000000002</v>
      </c>
      <c r="AG25" s="260"/>
      <c r="AH25" s="562"/>
      <c r="AJ25" s="346">
        <f t="shared" si="46"/>
        <v>552216.30830114137</v>
      </c>
      <c r="AK25" s="346">
        <f t="shared" si="25"/>
        <v>552216.30830114137</v>
      </c>
      <c r="AL25" s="346">
        <f t="shared" si="25"/>
        <v>552216.30830114137</v>
      </c>
      <c r="AN25" s="346">
        <f t="shared" si="47"/>
        <v>5522.1630830114145</v>
      </c>
      <c r="AO25" s="346">
        <f t="shared" si="45"/>
        <v>5522.1630830114145</v>
      </c>
      <c r="AP25" s="346">
        <f t="shared" si="45"/>
        <v>5522.1630830114145</v>
      </c>
    </row>
    <row r="26" spans="2:42" ht="18.649999999999999" customHeight="1" x14ac:dyDescent="0.35">
      <c r="B26" s="292" t="s">
        <v>117</v>
      </c>
      <c r="C26" s="293" t="s">
        <v>97</v>
      </c>
      <c r="D26" s="314" t="s">
        <v>526</v>
      </c>
      <c r="E26" s="263" t="s">
        <v>46</v>
      </c>
      <c r="F26" s="310" t="s">
        <v>91</v>
      </c>
      <c r="G26" s="263" t="s">
        <v>101</v>
      </c>
      <c r="H26" s="265" t="s">
        <v>88</v>
      </c>
      <c r="I26" s="265" t="s">
        <v>527</v>
      </c>
      <c r="J26" s="552" t="s">
        <v>96</v>
      </c>
      <c r="K26" s="263" t="s">
        <v>89</v>
      </c>
      <c r="L26" s="266">
        <f t="shared" si="42"/>
        <v>21</v>
      </c>
      <c r="M26" s="267">
        <v>45460</v>
      </c>
      <c r="N26" s="267">
        <v>45480</v>
      </c>
      <c r="O26" s="266">
        <f>U26*V26</f>
        <v>3111089.25</v>
      </c>
      <c r="P26" s="268" t="s">
        <v>17</v>
      </c>
      <c r="Q26" s="315">
        <v>4.0000000000000001E-3</v>
      </c>
      <c r="R26" s="266">
        <f t="shared" si="49"/>
        <v>12444.357</v>
      </c>
      <c r="S26" s="268" t="s">
        <v>17</v>
      </c>
      <c r="T26" s="271" t="s">
        <v>17</v>
      </c>
      <c r="U26" s="266">
        <f>AB26*AC26</f>
        <v>3111089.25</v>
      </c>
      <c r="V26" s="266">
        <v>1</v>
      </c>
      <c r="W26" s="266"/>
      <c r="X26" s="272">
        <v>100</v>
      </c>
      <c r="Y26" s="273">
        <f>O26*X26/1000</f>
        <v>311108.92499999999</v>
      </c>
      <c r="Z26" s="273">
        <f t="shared" si="2"/>
        <v>99.999999999999986</v>
      </c>
      <c r="AA26" s="273">
        <f t="shared" si="24"/>
        <v>25</v>
      </c>
      <c r="AB26" s="274">
        <f>5000000*1.7</f>
        <v>8500000</v>
      </c>
      <c r="AC26" s="275">
        <v>0.36601050000000002</v>
      </c>
      <c r="AE26" s="260"/>
      <c r="AF26" s="261">
        <v>0.31798319327731073</v>
      </c>
      <c r="AG26" s="260"/>
      <c r="AJ26" s="346">
        <f t="shared" si="46"/>
        <v>1037029.7499999999</v>
      </c>
      <c r="AK26" s="346">
        <f t="shared" si="25"/>
        <v>1037029.7499999999</v>
      </c>
      <c r="AL26" s="346">
        <f t="shared" si="25"/>
        <v>1037029.7499999999</v>
      </c>
      <c r="AN26" s="346">
        <f t="shared" si="47"/>
        <v>4148.1190000000006</v>
      </c>
      <c r="AO26" s="346">
        <f t="shared" si="45"/>
        <v>4148.1190000000006</v>
      </c>
      <c r="AP26" s="346">
        <f t="shared" si="45"/>
        <v>4148.1190000000006</v>
      </c>
    </row>
    <row r="27" spans="2:42" ht="18.649999999999999" customHeight="1" x14ac:dyDescent="0.35">
      <c r="B27" s="277" t="str">
        <f>B26</f>
        <v>Telengana - Seg B</v>
      </c>
      <c r="C27" s="278"/>
      <c r="D27" s="279" t="s">
        <v>18</v>
      </c>
      <c r="E27" s="280"/>
      <c r="F27" s="279"/>
      <c r="G27" s="280"/>
      <c r="H27" s="280"/>
      <c r="I27" s="281"/>
      <c r="J27" s="546"/>
      <c r="K27" s="283"/>
      <c r="L27" s="284"/>
      <c r="M27" s="284"/>
      <c r="N27" s="284"/>
      <c r="O27" s="284">
        <f>SUM(O21:O26)</f>
        <v>47557617.295614377</v>
      </c>
      <c r="P27" s="284"/>
      <c r="Q27" s="285">
        <f>R27/O27</f>
        <v>3.4535096843267819E-3</v>
      </c>
      <c r="R27" s="284">
        <f>SUM(R21:R26)</f>
        <v>164240.69189391111</v>
      </c>
      <c r="S27" s="286"/>
      <c r="T27" s="316">
        <f>SUM(T21:T26)</f>
        <v>29707779.200404372</v>
      </c>
      <c r="U27" s="284">
        <f>U22+(SUM(U21,U23:U26)*15%)</f>
        <v>9431959.345823342</v>
      </c>
      <c r="V27" s="284">
        <f>O27/U27</f>
        <v>5.0421779348183717</v>
      </c>
      <c r="W27" s="284"/>
      <c r="X27" s="287"/>
      <c r="Y27" s="317">
        <f>SUM(Y21:Y26)</f>
        <v>4263608.5153128793</v>
      </c>
      <c r="Z27" s="288">
        <f t="shared" si="2"/>
        <v>89.651432467918369</v>
      </c>
      <c r="AA27" s="288">
        <f t="shared" si="24"/>
        <v>25.959513846099085</v>
      </c>
      <c r="AB27" s="284">
        <f>AB22+(SUM(AB21,AB23:AB26)*15%)</f>
        <v>17771178.98</v>
      </c>
      <c r="AC27" s="289">
        <f>U27/AB27</f>
        <v>0.53074471628687303</v>
      </c>
      <c r="AD27" s="261"/>
      <c r="AE27" s="290"/>
      <c r="AF27" s="261">
        <v>0.76430692665383249</v>
      </c>
      <c r="AG27" s="290"/>
    </row>
    <row r="28" spans="2:42" ht="18.649999999999999" customHeight="1" x14ac:dyDescent="0.35">
      <c r="B28" s="292" t="s">
        <v>118</v>
      </c>
      <c r="C28" s="293" t="s">
        <v>93</v>
      </c>
      <c r="D28" s="294" t="s">
        <v>94</v>
      </c>
      <c r="E28" s="294" t="s">
        <v>45</v>
      </c>
      <c r="F28" s="295" t="s">
        <v>87</v>
      </c>
      <c r="G28" s="295" t="s">
        <v>50</v>
      </c>
      <c r="H28" s="296" t="s">
        <v>95</v>
      </c>
      <c r="I28" s="296" t="s">
        <v>608</v>
      </c>
      <c r="J28" s="551" t="s">
        <v>96</v>
      </c>
      <c r="K28" s="295" t="s">
        <v>89</v>
      </c>
      <c r="L28" s="298">
        <f t="shared" ref="L28:L36" si="50">N28-(M28-1)</f>
        <v>21</v>
      </c>
      <c r="M28" s="299">
        <v>45460</v>
      </c>
      <c r="N28" s="299">
        <v>45480</v>
      </c>
      <c r="O28" s="298">
        <f t="shared" ref="O28:O37" si="51">U28*V28</f>
        <v>2443015.1059283204</v>
      </c>
      <c r="P28" s="300" t="s">
        <v>17</v>
      </c>
      <c r="Q28" s="301"/>
      <c r="R28" s="298"/>
      <c r="S28" s="302">
        <v>0.85</v>
      </c>
      <c r="T28" s="303">
        <f t="shared" ref="T28:T29" si="52">O28*S28</f>
        <v>2076562.8400390723</v>
      </c>
      <c r="U28" s="298">
        <f>AB28*AC28</f>
        <v>359266.92734240001</v>
      </c>
      <c r="V28" s="298">
        <f>5*136%</f>
        <v>6.8000000000000007</v>
      </c>
      <c r="W28" s="298"/>
      <c r="X28" s="304">
        <v>125</v>
      </c>
      <c r="Y28" s="305">
        <f t="shared" ref="Y28:Y33" si="53">(O28/1000)*X28</f>
        <v>305376.88824104005</v>
      </c>
      <c r="Z28" s="305">
        <f t="shared" si="2"/>
        <v>125</v>
      </c>
      <c r="AA28" s="305"/>
      <c r="AB28" s="306">
        <v>418285</v>
      </c>
      <c r="AC28" s="307">
        <v>0.85890464</v>
      </c>
      <c r="AD28" s="261"/>
      <c r="AE28" s="260"/>
      <c r="AF28" s="261">
        <v>0.70400000000000007</v>
      </c>
      <c r="AG28" s="260"/>
      <c r="AH28" s="458"/>
      <c r="AJ28" s="346">
        <f t="shared" ref="AJ28:AL43" si="54">$O28/$L28*7</f>
        <v>814338.36864277348</v>
      </c>
      <c r="AK28" s="346">
        <f t="shared" si="25"/>
        <v>814338.36864277348</v>
      </c>
      <c r="AL28" s="346">
        <f t="shared" si="25"/>
        <v>814338.36864277348</v>
      </c>
      <c r="AN28" s="346">
        <f>$R28/$L28*7</f>
        <v>0</v>
      </c>
      <c r="AO28" s="346">
        <f t="shared" ref="AO28:AP36" si="55">$R28/$L28*7</f>
        <v>0</v>
      </c>
      <c r="AP28" s="346">
        <f t="shared" si="55"/>
        <v>0</v>
      </c>
    </row>
    <row r="29" spans="2:42" ht="18.649999999999999" customHeight="1" x14ac:dyDescent="0.35">
      <c r="B29" s="292" t="s">
        <v>118</v>
      </c>
      <c r="C29" s="293" t="s">
        <v>93</v>
      </c>
      <c r="D29" s="295" t="s">
        <v>86</v>
      </c>
      <c r="E29" s="295" t="s">
        <v>45</v>
      </c>
      <c r="F29" s="295" t="s">
        <v>87</v>
      </c>
      <c r="G29" s="296" t="s">
        <v>50</v>
      </c>
      <c r="H29" s="296" t="s">
        <v>95</v>
      </c>
      <c r="I29" s="296" t="s">
        <v>610</v>
      </c>
      <c r="J29" s="551" t="s">
        <v>96</v>
      </c>
      <c r="K29" s="295" t="s">
        <v>89</v>
      </c>
      <c r="L29" s="298">
        <f t="shared" si="50"/>
        <v>21</v>
      </c>
      <c r="M29" s="299">
        <v>45460</v>
      </c>
      <c r="N29" s="299">
        <v>45480</v>
      </c>
      <c r="O29" s="298">
        <f>Y29/X29*1000</f>
        <v>12984442.093800001</v>
      </c>
      <c r="P29" s="300" t="s">
        <v>17</v>
      </c>
      <c r="Q29" s="301"/>
      <c r="R29" s="298"/>
      <c r="S29" s="302">
        <v>0.8</v>
      </c>
      <c r="T29" s="303">
        <f t="shared" si="52"/>
        <v>10387553.675040001</v>
      </c>
      <c r="U29" s="298">
        <f>O29/V29</f>
        <v>1564390.6137108433</v>
      </c>
      <c r="V29" s="298">
        <v>8.3000000000000007</v>
      </c>
      <c r="W29" s="298"/>
      <c r="X29" s="304">
        <v>110</v>
      </c>
      <c r="Y29" s="305">
        <f>1428288.630318</f>
        <v>1428288.630318</v>
      </c>
      <c r="Z29" s="305">
        <f t="shared" si="2"/>
        <v>109.99999999999999</v>
      </c>
      <c r="AA29" s="305"/>
      <c r="AB29" s="306">
        <v>1739000</v>
      </c>
      <c r="AC29" s="307">
        <f>U29/AB29</f>
        <v>0.89959207228915661</v>
      </c>
      <c r="AF29" s="261">
        <v>0.748</v>
      </c>
      <c r="AH29" s="458"/>
      <c r="AJ29" s="346">
        <f t="shared" si="54"/>
        <v>4328147.3646</v>
      </c>
      <c r="AK29" s="346">
        <f t="shared" si="54"/>
        <v>4328147.3646</v>
      </c>
      <c r="AL29" s="346">
        <f t="shared" si="54"/>
        <v>4328147.3646</v>
      </c>
      <c r="AN29" s="346">
        <f t="shared" ref="AN29:AN37" si="56">$R29/$L29*7</f>
        <v>0</v>
      </c>
      <c r="AO29" s="346">
        <f t="shared" si="55"/>
        <v>0</v>
      </c>
      <c r="AP29" s="346">
        <f t="shared" si="55"/>
        <v>0</v>
      </c>
    </row>
    <row r="30" spans="2:42" ht="18.649999999999999" customHeight="1" x14ac:dyDescent="0.35">
      <c r="B30" s="292" t="s">
        <v>118</v>
      </c>
      <c r="C30" s="293" t="s">
        <v>97</v>
      </c>
      <c r="D30" s="264" t="s">
        <v>561</v>
      </c>
      <c r="E30" s="264" t="s">
        <v>45</v>
      </c>
      <c r="F30" s="263" t="s">
        <v>87</v>
      </c>
      <c r="G30" s="263" t="s">
        <v>98</v>
      </c>
      <c r="H30" s="265" t="s">
        <v>90</v>
      </c>
      <c r="I30" s="265" t="s">
        <v>609</v>
      </c>
      <c r="J30" s="552" t="s">
        <v>96</v>
      </c>
      <c r="K30" s="263" t="s">
        <v>89</v>
      </c>
      <c r="L30" s="266">
        <f t="shared" si="50"/>
        <v>21</v>
      </c>
      <c r="M30" s="267">
        <v>45460</v>
      </c>
      <c r="N30" s="267">
        <v>45480</v>
      </c>
      <c r="O30" s="266">
        <f t="shared" si="51"/>
        <v>2975601.3131625</v>
      </c>
      <c r="P30" s="268" t="s">
        <v>17</v>
      </c>
      <c r="Q30" s="269">
        <v>1E-3</v>
      </c>
      <c r="R30" s="266">
        <f t="shared" ref="R30:R31" si="57">O30*Q30</f>
        <v>2975.6013131625</v>
      </c>
      <c r="S30" s="270">
        <v>0.7</v>
      </c>
      <c r="T30" s="271">
        <f>O30*S30</f>
        <v>2082920.9192137499</v>
      </c>
      <c r="U30" s="266">
        <f t="shared" ref="U30" si="58">AB30*AC30</f>
        <v>1983734.2087749999</v>
      </c>
      <c r="V30" s="266">
        <v>1.5</v>
      </c>
      <c r="W30" s="266"/>
      <c r="X30" s="272">
        <v>70</v>
      </c>
      <c r="Y30" s="273">
        <f t="shared" si="53"/>
        <v>208292.09192137499</v>
      </c>
      <c r="Z30" s="273">
        <f t="shared" si="2"/>
        <v>69.999999999999986</v>
      </c>
      <c r="AA30" s="273">
        <f t="shared" ref="AA30:AA46" si="59">Y30/R30</f>
        <v>70</v>
      </c>
      <c r="AB30" s="274">
        <f>3825800*85%</f>
        <v>3251930</v>
      </c>
      <c r="AC30" s="275">
        <v>0.61001749999999999</v>
      </c>
      <c r="AE30" s="260"/>
      <c r="AF30" s="261">
        <v>0.61599999999999999</v>
      </c>
      <c r="AG30" s="260"/>
      <c r="AH30" s="291"/>
      <c r="AJ30" s="346">
        <f t="shared" si="54"/>
        <v>991867.10438750009</v>
      </c>
      <c r="AK30" s="346">
        <f t="shared" si="54"/>
        <v>991867.10438750009</v>
      </c>
      <c r="AL30" s="346">
        <f t="shared" si="54"/>
        <v>991867.10438750009</v>
      </c>
      <c r="AN30" s="346">
        <f t="shared" si="56"/>
        <v>991.86710438750004</v>
      </c>
      <c r="AO30" s="346">
        <f t="shared" si="55"/>
        <v>991.86710438750004</v>
      </c>
      <c r="AP30" s="346">
        <f t="shared" si="55"/>
        <v>991.86710438750004</v>
      </c>
    </row>
    <row r="31" spans="2:42" ht="18.649999999999999" customHeight="1" x14ac:dyDescent="0.35">
      <c r="B31" s="292" t="s">
        <v>118</v>
      </c>
      <c r="C31" s="293" t="s">
        <v>97</v>
      </c>
      <c r="D31" s="264" t="s">
        <v>86</v>
      </c>
      <c r="E31" s="264" t="s">
        <v>45</v>
      </c>
      <c r="F31" s="263" t="s">
        <v>87</v>
      </c>
      <c r="G31" s="263" t="s">
        <v>98</v>
      </c>
      <c r="H31" s="265" t="s">
        <v>90</v>
      </c>
      <c r="I31" s="265" t="s">
        <v>610</v>
      </c>
      <c r="J31" s="552" t="s">
        <v>96</v>
      </c>
      <c r="K31" s="263" t="s">
        <v>89</v>
      </c>
      <c r="L31" s="266">
        <f t="shared" si="50"/>
        <v>21</v>
      </c>
      <c r="M31" s="267">
        <v>45460</v>
      </c>
      <c r="N31" s="267">
        <v>45480</v>
      </c>
      <c r="O31" s="266">
        <f>Y31/X31*1000</f>
        <v>5615718.1645468753</v>
      </c>
      <c r="P31" s="268" t="s">
        <v>17</v>
      </c>
      <c r="Q31" s="269">
        <v>1E-3</v>
      </c>
      <c r="R31" s="266">
        <f t="shared" si="57"/>
        <v>5615.7181645468754</v>
      </c>
      <c r="S31" s="270">
        <v>0.8</v>
      </c>
      <c r="T31" s="271">
        <f>O31*S31</f>
        <v>4492574.5316375</v>
      </c>
      <c r="U31" s="266">
        <f>O31/V31</f>
        <v>2359545.4472886026</v>
      </c>
      <c r="V31" s="266">
        <f>1.75*136%</f>
        <v>2.3800000000000003</v>
      </c>
      <c r="W31" s="266"/>
      <c r="X31" s="272">
        <v>80</v>
      </c>
      <c r="Y31" s="273">
        <v>449257.45316375</v>
      </c>
      <c r="Z31" s="273">
        <f t="shared" si="2"/>
        <v>80</v>
      </c>
      <c r="AA31" s="273">
        <f t="shared" si="59"/>
        <v>80</v>
      </c>
      <c r="AB31" s="274">
        <v>3825800</v>
      </c>
      <c r="AC31" s="275">
        <f>U31/AB31</f>
        <v>0.61674563419117634</v>
      </c>
      <c r="AE31" s="260"/>
      <c r="AF31" s="261">
        <v>0.61599999999999999</v>
      </c>
      <c r="AG31" s="260"/>
      <c r="AH31" s="458"/>
      <c r="AI31" s="459"/>
      <c r="AJ31" s="346">
        <f t="shared" si="54"/>
        <v>1871906.0548489583</v>
      </c>
      <c r="AK31" s="346">
        <f t="shared" si="54"/>
        <v>1871906.0548489583</v>
      </c>
      <c r="AL31" s="346">
        <f t="shared" si="54"/>
        <v>1871906.0548489583</v>
      </c>
      <c r="AN31" s="346">
        <f t="shared" si="56"/>
        <v>1871.9060548489588</v>
      </c>
      <c r="AO31" s="346">
        <f t="shared" si="55"/>
        <v>1871.9060548489588</v>
      </c>
      <c r="AP31" s="346">
        <f t="shared" si="55"/>
        <v>1871.9060548489588</v>
      </c>
    </row>
    <row r="32" spans="2:42" ht="18.649999999999999" customHeight="1" x14ac:dyDescent="0.35">
      <c r="B32" s="292" t="s">
        <v>118</v>
      </c>
      <c r="C32" s="293" t="s">
        <v>97</v>
      </c>
      <c r="D32" s="263" t="s">
        <v>99</v>
      </c>
      <c r="E32" s="263" t="s">
        <v>46</v>
      </c>
      <c r="F32" s="263" t="s">
        <v>100</v>
      </c>
      <c r="G32" s="263" t="s">
        <v>101</v>
      </c>
      <c r="H32" s="265" t="s">
        <v>88</v>
      </c>
      <c r="I32" s="265" t="s">
        <v>102</v>
      </c>
      <c r="J32" s="553" t="s">
        <v>96</v>
      </c>
      <c r="K32" s="263" t="s">
        <v>89</v>
      </c>
      <c r="L32" s="266">
        <f t="shared" si="50"/>
        <v>21</v>
      </c>
      <c r="M32" s="267">
        <v>45460</v>
      </c>
      <c r="N32" s="267">
        <v>45480</v>
      </c>
      <c r="O32" s="266">
        <f t="shared" si="51"/>
        <v>845784.91725330893</v>
      </c>
      <c r="P32" s="268" t="s">
        <v>17</v>
      </c>
      <c r="Q32" s="269">
        <v>1.4999999999999999E-2</v>
      </c>
      <c r="R32" s="266">
        <f>O32*Q32</f>
        <v>12686.773758799634</v>
      </c>
      <c r="S32" s="268" t="s">
        <v>17</v>
      </c>
      <c r="T32" s="271" t="s">
        <v>17</v>
      </c>
      <c r="U32" s="266">
        <f>AB32*AC32</f>
        <v>995041.07912153995</v>
      </c>
      <c r="V32" s="266">
        <v>0.85</v>
      </c>
      <c r="W32" s="266"/>
      <c r="X32" s="272">
        <v>105</v>
      </c>
      <c r="Y32" s="273">
        <f t="shared" si="53"/>
        <v>88807.416311597437</v>
      </c>
      <c r="Z32" s="273">
        <f t="shared" si="2"/>
        <v>105</v>
      </c>
      <c r="AA32" s="273">
        <f t="shared" si="59"/>
        <v>7</v>
      </c>
      <c r="AB32" s="274">
        <f>AB30*95%</f>
        <v>3089333.5</v>
      </c>
      <c r="AC32" s="275">
        <v>0.32208924</v>
      </c>
      <c r="AE32" s="260"/>
      <c r="AF32" s="261">
        <v>0.26400000000000001</v>
      </c>
      <c r="AG32" s="260"/>
      <c r="AH32" s="291"/>
      <c r="AI32" s="459"/>
      <c r="AJ32" s="346">
        <f t="shared" si="54"/>
        <v>281928.30575110298</v>
      </c>
      <c r="AK32" s="346">
        <f t="shared" si="54"/>
        <v>281928.30575110298</v>
      </c>
      <c r="AL32" s="346">
        <f t="shared" si="54"/>
        <v>281928.30575110298</v>
      </c>
      <c r="AN32" s="346">
        <f t="shared" si="56"/>
        <v>4228.9245862665448</v>
      </c>
      <c r="AO32" s="346">
        <f t="shared" si="55"/>
        <v>4228.9245862665448</v>
      </c>
      <c r="AP32" s="346">
        <f t="shared" si="55"/>
        <v>4228.9245862665448</v>
      </c>
    </row>
    <row r="33" spans="2:42" ht="18.649999999999999" customHeight="1" x14ac:dyDescent="0.35">
      <c r="B33" s="292" t="s">
        <v>118</v>
      </c>
      <c r="C33" s="293" t="s">
        <v>97</v>
      </c>
      <c r="D33" s="310" t="s">
        <v>103</v>
      </c>
      <c r="E33" s="263" t="s">
        <v>46</v>
      </c>
      <c r="F33" s="310" t="s">
        <v>100</v>
      </c>
      <c r="G33" s="263" t="s">
        <v>98</v>
      </c>
      <c r="H33" s="265" t="s">
        <v>88</v>
      </c>
      <c r="I33" s="265" t="s">
        <v>104</v>
      </c>
      <c r="J33" s="553" t="s">
        <v>96</v>
      </c>
      <c r="K33" s="263" t="s">
        <v>105</v>
      </c>
      <c r="L33" s="266">
        <f t="shared" si="50"/>
        <v>21</v>
      </c>
      <c r="M33" s="267">
        <v>45460</v>
      </c>
      <c r="N33" s="267">
        <v>45480</v>
      </c>
      <c r="O33" s="266">
        <f t="shared" si="51"/>
        <v>785456.9933158299</v>
      </c>
      <c r="P33" s="268" t="s">
        <v>17</v>
      </c>
      <c r="Q33" s="269">
        <v>1.4999999999999999E-2</v>
      </c>
      <c r="R33" s="266">
        <f>O33*Q33</f>
        <v>11781.854899737447</v>
      </c>
      <c r="S33" s="268" t="s">
        <v>17</v>
      </c>
      <c r="T33" s="271" t="s">
        <v>17</v>
      </c>
      <c r="U33" s="266">
        <f>AB33*AC33</f>
        <v>924067.0509597999</v>
      </c>
      <c r="V33" s="266">
        <v>0.85</v>
      </c>
      <c r="W33" s="266"/>
      <c r="X33" s="272">
        <v>120</v>
      </c>
      <c r="Y33" s="273">
        <f t="shared" si="53"/>
        <v>94254.839197899593</v>
      </c>
      <c r="Z33" s="273">
        <f t="shared" si="2"/>
        <v>120.00000000000001</v>
      </c>
      <c r="AA33" s="273">
        <f t="shared" si="59"/>
        <v>8.0000000000000018</v>
      </c>
      <c r="AB33" s="274">
        <v>1721387</v>
      </c>
      <c r="AC33" s="275">
        <v>0.53681539999999994</v>
      </c>
      <c r="AE33" s="260"/>
      <c r="AF33" s="261">
        <v>0.44</v>
      </c>
      <c r="AG33" s="260"/>
      <c r="AH33" s="320"/>
      <c r="AJ33" s="346">
        <f t="shared" si="54"/>
        <v>261818.99777194331</v>
      </c>
      <c r="AK33" s="346">
        <f t="shared" si="54"/>
        <v>261818.99777194331</v>
      </c>
      <c r="AL33" s="346">
        <f t="shared" si="54"/>
        <v>261818.99777194331</v>
      </c>
      <c r="AN33" s="346">
        <f t="shared" si="56"/>
        <v>3927.2849665791491</v>
      </c>
      <c r="AO33" s="346">
        <f t="shared" si="55"/>
        <v>3927.2849665791491</v>
      </c>
      <c r="AP33" s="346">
        <f t="shared" si="55"/>
        <v>3927.2849665791491</v>
      </c>
    </row>
    <row r="34" spans="2:42" ht="18.649999999999999" customHeight="1" x14ac:dyDescent="0.35">
      <c r="B34" s="292" t="s">
        <v>118</v>
      </c>
      <c r="C34" s="293" t="s">
        <v>97</v>
      </c>
      <c r="D34" s="310" t="s">
        <v>106</v>
      </c>
      <c r="E34" s="311" t="s">
        <v>46</v>
      </c>
      <c r="F34" s="311" t="s">
        <v>91</v>
      </c>
      <c r="G34" s="263" t="s">
        <v>98</v>
      </c>
      <c r="H34" s="310" t="s">
        <v>88</v>
      </c>
      <c r="I34" s="263" t="s">
        <v>107</v>
      </c>
      <c r="J34" s="553" t="s">
        <v>96</v>
      </c>
      <c r="K34" s="263" t="s">
        <v>89</v>
      </c>
      <c r="L34" s="266">
        <f t="shared" si="50"/>
        <v>21</v>
      </c>
      <c r="M34" s="267">
        <v>45460</v>
      </c>
      <c r="N34" s="267">
        <v>45480</v>
      </c>
      <c r="O34" s="266">
        <f t="shared" si="51"/>
        <v>624490.44345308293</v>
      </c>
      <c r="P34" s="268" t="s">
        <v>17</v>
      </c>
      <c r="Q34" s="312">
        <v>0.01</v>
      </c>
      <c r="R34" s="266">
        <f t="shared" ref="R34:R35" si="60">O34*Q34</f>
        <v>6244.9044345308293</v>
      </c>
      <c r="S34" s="268" t="s">
        <v>17</v>
      </c>
      <c r="T34" s="271" t="s">
        <v>17</v>
      </c>
      <c r="U34" s="266">
        <f t="shared" ref="U34" si="61">AB34*AC34</f>
        <v>734694.63935656811</v>
      </c>
      <c r="V34" s="266">
        <v>0.85</v>
      </c>
      <c r="W34" s="266"/>
      <c r="X34" s="272">
        <v>200</v>
      </c>
      <c r="Y34" s="273">
        <f>O34*X34/1000</f>
        <v>124898.0886906166</v>
      </c>
      <c r="Z34" s="273">
        <f t="shared" si="2"/>
        <v>200</v>
      </c>
      <c r="AA34" s="273">
        <f t="shared" si="59"/>
        <v>20</v>
      </c>
      <c r="AB34" s="274">
        <v>2073662</v>
      </c>
      <c r="AC34" s="275">
        <v>0.35429816400000003</v>
      </c>
      <c r="AE34" s="260"/>
      <c r="AF34" s="261">
        <v>0.26400000000000001</v>
      </c>
      <c r="AG34" s="260"/>
      <c r="AH34" s="562"/>
      <c r="AJ34" s="346">
        <f t="shared" si="54"/>
        <v>208163.48115102763</v>
      </c>
      <c r="AK34" s="346">
        <f t="shared" si="54"/>
        <v>208163.48115102763</v>
      </c>
      <c r="AL34" s="346">
        <f t="shared" si="54"/>
        <v>208163.48115102763</v>
      </c>
      <c r="AN34" s="346">
        <f t="shared" si="56"/>
        <v>2081.6348115102764</v>
      </c>
      <c r="AO34" s="346">
        <f t="shared" si="55"/>
        <v>2081.6348115102764</v>
      </c>
      <c r="AP34" s="346">
        <f t="shared" si="55"/>
        <v>2081.6348115102764</v>
      </c>
    </row>
    <row r="35" spans="2:42" ht="18.649999999999999" customHeight="1" x14ac:dyDescent="0.35">
      <c r="B35" s="292" t="s">
        <v>118</v>
      </c>
      <c r="C35" s="293" t="s">
        <v>97</v>
      </c>
      <c r="D35" s="310" t="s">
        <v>588</v>
      </c>
      <c r="E35" s="263" t="s">
        <v>46</v>
      </c>
      <c r="F35" s="310" t="s">
        <v>589</v>
      </c>
      <c r="G35" s="263" t="s">
        <v>98</v>
      </c>
      <c r="H35" s="265" t="s">
        <v>88</v>
      </c>
      <c r="I35" s="265" t="s">
        <v>590</v>
      </c>
      <c r="J35" s="553" t="s">
        <v>591</v>
      </c>
      <c r="K35" s="263" t="s">
        <v>592</v>
      </c>
      <c r="L35" s="266">
        <f t="shared" si="50"/>
        <v>21</v>
      </c>
      <c r="M35" s="267">
        <v>45460</v>
      </c>
      <c r="N35" s="267">
        <v>45480</v>
      </c>
      <c r="O35" s="266">
        <f>U35*3</f>
        <v>539614.53</v>
      </c>
      <c r="P35" s="268" t="s">
        <v>17</v>
      </c>
      <c r="Q35" s="269">
        <v>1.4999999999999999E-2</v>
      </c>
      <c r="R35" s="266">
        <f t="shared" si="60"/>
        <v>8094.2179500000002</v>
      </c>
      <c r="S35" s="268" t="s">
        <v>17</v>
      </c>
      <c r="T35" s="271" t="s">
        <v>17</v>
      </c>
      <c r="U35" s="266">
        <f>AB35*AC35</f>
        <v>179871.51</v>
      </c>
      <c r="V35" s="266">
        <f>O35/U35</f>
        <v>3</v>
      </c>
      <c r="W35" s="266"/>
      <c r="X35" s="272">
        <v>2</v>
      </c>
      <c r="Y35" s="273">
        <f>O35/3*X35</f>
        <v>359743.02</v>
      </c>
      <c r="Z35" s="273">
        <f t="shared" si="2"/>
        <v>666.66666666666663</v>
      </c>
      <c r="AA35" s="273">
        <f t="shared" si="59"/>
        <v>44.444444444444443</v>
      </c>
      <c r="AB35" s="274">
        <v>2569593</v>
      </c>
      <c r="AC35" s="275">
        <v>7.0000000000000007E-2</v>
      </c>
      <c r="AE35" s="260"/>
      <c r="AF35" s="261">
        <v>0.26400000000000001</v>
      </c>
      <c r="AG35" s="260"/>
      <c r="AJ35" s="346">
        <f t="shared" si="54"/>
        <v>179871.51</v>
      </c>
      <c r="AK35" s="346">
        <f t="shared" si="54"/>
        <v>179871.51</v>
      </c>
      <c r="AL35" s="346">
        <f t="shared" si="54"/>
        <v>179871.51</v>
      </c>
      <c r="AN35" s="346">
        <f t="shared" si="56"/>
        <v>2698.0726500000001</v>
      </c>
      <c r="AO35" s="346">
        <f t="shared" si="55"/>
        <v>2698.0726500000001</v>
      </c>
      <c r="AP35" s="346">
        <f t="shared" si="55"/>
        <v>2698.0726500000001</v>
      </c>
    </row>
    <row r="36" spans="2:42" ht="18.649999999999999" customHeight="1" x14ac:dyDescent="0.35">
      <c r="B36" s="292" t="s">
        <v>118</v>
      </c>
      <c r="C36" s="293" t="s">
        <v>97</v>
      </c>
      <c r="D36" s="310" t="s">
        <v>109</v>
      </c>
      <c r="E36" s="263" t="s">
        <v>46</v>
      </c>
      <c r="F36" s="310" t="s">
        <v>100</v>
      </c>
      <c r="G36" s="263" t="s">
        <v>98</v>
      </c>
      <c r="H36" s="265" t="s">
        <v>88</v>
      </c>
      <c r="I36" s="265" t="s">
        <v>110</v>
      </c>
      <c r="J36" s="553" t="s">
        <v>96</v>
      </c>
      <c r="K36" s="263" t="s">
        <v>111</v>
      </c>
      <c r="L36" s="266">
        <f t="shared" si="50"/>
        <v>21</v>
      </c>
      <c r="M36" s="267">
        <v>45460</v>
      </c>
      <c r="N36" s="267">
        <v>45480</v>
      </c>
      <c r="O36" s="266">
        <f t="shared" si="51"/>
        <v>2233688.8794</v>
      </c>
      <c r="P36" s="268" t="s">
        <v>17</v>
      </c>
      <c r="Q36" s="269">
        <v>0.02</v>
      </c>
      <c r="R36" s="266">
        <f>O36*Q36</f>
        <v>44673.777587999997</v>
      </c>
      <c r="S36" s="268" t="s">
        <v>17</v>
      </c>
      <c r="T36" s="271" t="s">
        <v>17</v>
      </c>
      <c r="U36" s="266">
        <f>AB36*AC36</f>
        <v>2233688.8794</v>
      </c>
      <c r="V36" s="266">
        <v>1</v>
      </c>
      <c r="W36" s="266"/>
      <c r="X36" s="272">
        <v>4.5</v>
      </c>
      <c r="Y36" s="273">
        <f>R36*X36</f>
        <v>201031.99914599999</v>
      </c>
      <c r="Z36" s="273">
        <f t="shared" si="2"/>
        <v>90</v>
      </c>
      <c r="AA36" s="273">
        <f t="shared" si="59"/>
        <v>4.5</v>
      </c>
      <c r="AB36" s="274">
        <v>3467500</v>
      </c>
      <c r="AC36" s="275">
        <v>0.64417848</v>
      </c>
      <c r="AE36" s="260"/>
      <c r="AF36" s="261">
        <v>0.52800000000000002</v>
      </c>
      <c r="AG36" s="260"/>
      <c r="AJ36" s="346">
        <f t="shared" si="54"/>
        <v>744562.95979999995</v>
      </c>
      <c r="AK36" s="346">
        <f t="shared" si="54"/>
        <v>744562.95979999995</v>
      </c>
      <c r="AL36" s="346">
        <f t="shared" si="54"/>
        <v>744562.95979999995</v>
      </c>
      <c r="AN36" s="346">
        <f t="shared" si="56"/>
        <v>14891.259195999997</v>
      </c>
      <c r="AO36" s="346">
        <f t="shared" si="55"/>
        <v>14891.259195999997</v>
      </c>
      <c r="AP36" s="346">
        <f t="shared" si="55"/>
        <v>14891.259195999997</v>
      </c>
    </row>
    <row r="37" spans="2:42" ht="18.649999999999999" customHeight="1" x14ac:dyDescent="0.35">
      <c r="B37" s="292" t="s">
        <v>118</v>
      </c>
      <c r="C37" s="293" t="s">
        <v>97</v>
      </c>
      <c r="D37" s="310" t="s">
        <v>600</v>
      </c>
      <c r="E37" s="314" t="s">
        <v>46</v>
      </c>
      <c r="F37" s="311" t="s">
        <v>565</v>
      </c>
      <c r="G37" s="263" t="s">
        <v>101</v>
      </c>
      <c r="H37" s="265" t="s">
        <v>88</v>
      </c>
      <c r="I37" s="265" t="s">
        <v>527</v>
      </c>
      <c r="J37" s="552" t="s">
        <v>566</v>
      </c>
      <c r="K37" s="263" t="s">
        <v>89</v>
      </c>
      <c r="L37" s="266">
        <f t="shared" ref="L37" si="62">N37-M37+1</f>
        <v>13</v>
      </c>
      <c r="M37" s="267">
        <v>45460</v>
      </c>
      <c r="N37" s="267">
        <v>45472</v>
      </c>
      <c r="O37" s="266">
        <f t="shared" si="51"/>
        <v>1014873.6000000001</v>
      </c>
      <c r="P37" s="268" t="s">
        <v>17</v>
      </c>
      <c r="Q37" s="315">
        <v>5.0000000000000001E-3</v>
      </c>
      <c r="R37" s="266">
        <f t="shared" ref="R37" si="63">O37*Q37</f>
        <v>5074.3680000000004</v>
      </c>
      <c r="S37" s="268" t="s">
        <v>17</v>
      </c>
      <c r="T37" s="271" t="s">
        <v>17</v>
      </c>
      <c r="U37" s="266">
        <f t="shared" ref="U37" si="64">AB37*AC37</f>
        <v>507436.80000000005</v>
      </c>
      <c r="V37" s="266">
        <v>2</v>
      </c>
      <c r="W37" s="266"/>
      <c r="X37" s="272">
        <v>105</v>
      </c>
      <c r="Y37" s="273">
        <f t="shared" ref="Y37" si="65">O37/1000*X37</f>
        <v>106561.72800000002</v>
      </c>
      <c r="Z37" s="273">
        <f t="shared" si="2"/>
        <v>105.00000000000001</v>
      </c>
      <c r="AA37" s="273">
        <f t="shared" si="59"/>
        <v>21.000000000000004</v>
      </c>
      <c r="AB37" s="274">
        <v>1014873.6000000001</v>
      </c>
      <c r="AC37" s="275">
        <v>0.5</v>
      </c>
      <c r="AE37" s="260"/>
      <c r="AF37" s="261">
        <v>0.81694198781885841</v>
      </c>
      <c r="AG37" s="260"/>
      <c r="AJ37" s="346">
        <f t="shared" si="54"/>
        <v>546470.40000000014</v>
      </c>
      <c r="AK37" s="346">
        <f>$O37/$L37*6</f>
        <v>468403.20000000007</v>
      </c>
      <c r="AL37" s="346"/>
      <c r="AN37" s="346">
        <f t="shared" si="56"/>
        <v>2732.3519999999999</v>
      </c>
      <c r="AO37" s="346">
        <f>$R37/$L37*6</f>
        <v>2342.0160000000001</v>
      </c>
      <c r="AP37" s="346"/>
    </row>
    <row r="38" spans="2:42" ht="18.649999999999999" customHeight="1" x14ac:dyDescent="0.35">
      <c r="B38" s="292" t="s">
        <v>118</v>
      </c>
      <c r="C38" s="293" t="s">
        <v>97</v>
      </c>
      <c r="D38" s="311" t="s">
        <v>116</v>
      </c>
      <c r="E38" s="263" t="s">
        <v>46</v>
      </c>
      <c r="F38" s="311" t="s">
        <v>114</v>
      </c>
      <c r="G38" s="263" t="s">
        <v>98</v>
      </c>
      <c r="H38" s="265" t="s">
        <v>88</v>
      </c>
      <c r="I38" s="265" t="s">
        <v>115</v>
      </c>
      <c r="J38" s="552" t="s">
        <v>96</v>
      </c>
      <c r="K38" s="263" t="s">
        <v>105</v>
      </c>
      <c r="L38" s="266">
        <f>N38-M38+1</f>
        <v>6</v>
      </c>
      <c r="M38" s="267">
        <v>45471</v>
      </c>
      <c r="N38" s="267">
        <v>45476</v>
      </c>
      <c r="O38" s="266">
        <f>1680622/14*6</f>
        <v>720266.57142857136</v>
      </c>
      <c r="P38" s="268" t="s">
        <v>17</v>
      </c>
      <c r="Q38" s="315">
        <v>0.01</v>
      </c>
      <c r="R38" s="266">
        <f>O38*Q38</f>
        <v>7202.6657142857139</v>
      </c>
      <c r="S38" s="268" t="s">
        <v>17</v>
      </c>
      <c r="T38" s="271" t="s">
        <v>17</v>
      </c>
      <c r="U38" s="266">
        <f>O38/V38</f>
        <v>144053.31428571427</v>
      </c>
      <c r="V38" s="266">
        <v>5</v>
      </c>
      <c r="W38" s="266"/>
      <c r="X38" s="272">
        <v>260</v>
      </c>
      <c r="Y38" s="273">
        <f>(O38/1000)*X38</f>
        <v>187269.30857142856</v>
      </c>
      <c r="Z38" s="273">
        <f>Y38/O38*1000</f>
        <v>260</v>
      </c>
      <c r="AA38" s="273">
        <f t="shared" si="59"/>
        <v>26</v>
      </c>
      <c r="AB38" s="274">
        <v>392145</v>
      </c>
      <c r="AC38" s="275">
        <f>U38/AB38</f>
        <v>0.36734706367724762</v>
      </c>
      <c r="AE38" s="260"/>
      <c r="AF38" s="261">
        <v>0.37714298537530766</v>
      </c>
      <c r="AG38" s="260"/>
      <c r="AJ38" s="346"/>
      <c r="AK38" s="346">
        <f>$O38/$L38*3</f>
        <v>360133.28571428568</v>
      </c>
      <c r="AL38" s="346">
        <f>$O38/$L38*3</f>
        <v>360133.28571428568</v>
      </c>
      <c r="AN38" s="346"/>
      <c r="AO38" s="346">
        <f>$R38/$L38*3</f>
        <v>3601.3328571428565</v>
      </c>
      <c r="AP38" s="346">
        <f>$R38/$L38*3</f>
        <v>3601.3328571428565</v>
      </c>
    </row>
    <row r="39" spans="2:42" ht="18.649999999999999" customHeight="1" x14ac:dyDescent="0.35">
      <c r="B39" s="277" t="str">
        <f>B38</f>
        <v>Bangalore - Seg A</v>
      </c>
      <c r="C39" s="278"/>
      <c r="D39" s="279" t="s">
        <v>18</v>
      </c>
      <c r="E39" s="280"/>
      <c r="F39" s="279"/>
      <c r="G39" s="280"/>
      <c r="H39" s="280"/>
      <c r="I39" s="281"/>
      <c r="J39" s="546"/>
      <c r="K39" s="283"/>
      <c r="L39" s="284"/>
      <c r="M39" s="284"/>
      <c r="N39" s="284"/>
      <c r="O39" s="284">
        <f>SUM(O28:O38)</f>
        <v>30782952.612288497</v>
      </c>
      <c r="P39" s="284"/>
      <c r="Q39" s="285">
        <f>R39/O39</f>
        <v>3.3898594178846482E-3</v>
      </c>
      <c r="R39" s="284">
        <f>SUM(R28:R38)</f>
        <v>104349.881823063</v>
      </c>
      <c r="S39" s="286"/>
      <c r="T39" s="316">
        <f>SUM(T28:T38)</f>
        <v>19039611.965930324</v>
      </c>
      <c r="U39" s="284">
        <f>U30+(SUM(U28:U29,U32:U38,U31)*9%)</f>
        <v>2883919.2723068921</v>
      </c>
      <c r="V39" s="284">
        <f>O39/U39</f>
        <v>10.673999410415096</v>
      </c>
      <c r="W39" s="284"/>
      <c r="X39" s="287"/>
      <c r="Y39" s="317">
        <f>SUM(Y28:Y38)</f>
        <v>3553781.4635617076</v>
      </c>
      <c r="Z39" s="288">
        <f>Y39/O39*1000</f>
        <v>115.44641309498832</v>
      </c>
      <c r="AA39" s="288">
        <f t="shared" si="59"/>
        <v>34.056401420631651</v>
      </c>
      <c r="AB39" s="284">
        <f>AB30+(SUM(AB28:AB29,AB32:AB38)*2%)</f>
        <v>3581645.5819999999</v>
      </c>
      <c r="AC39" s="289">
        <f>U39/AB39</f>
        <v>0.80519392728314121</v>
      </c>
      <c r="AD39" s="261"/>
      <c r="AE39" s="290"/>
      <c r="AF39" s="261">
        <v>0.75420328008868931</v>
      </c>
      <c r="AG39" s="290"/>
    </row>
    <row r="40" spans="2:42" ht="18.649999999999999" customHeight="1" x14ac:dyDescent="0.35">
      <c r="B40" s="292" t="s">
        <v>119</v>
      </c>
      <c r="C40" s="293" t="s">
        <v>97</v>
      </c>
      <c r="D40" s="264" t="s">
        <v>544</v>
      </c>
      <c r="E40" s="264" t="s">
        <v>45</v>
      </c>
      <c r="F40" s="263" t="s">
        <v>87</v>
      </c>
      <c r="G40" s="263" t="s">
        <v>101</v>
      </c>
      <c r="H40" s="265" t="s">
        <v>95</v>
      </c>
      <c r="I40" s="265" t="s">
        <v>608</v>
      </c>
      <c r="J40" s="552" t="s">
        <v>96</v>
      </c>
      <c r="K40" s="263" t="s">
        <v>89</v>
      </c>
      <c r="L40" s="266">
        <f t="shared" ref="L40:L45" si="66">N40-(M40-1)</f>
        <v>21</v>
      </c>
      <c r="M40" s="267">
        <v>45460</v>
      </c>
      <c r="N40" s="267">
        <v>45480</v>
      </c>
      <c r="O40" s="266">
        <f>Y40/X40*1000</f>
        <v>2317549.5101687503</v>
      </c>
      <c r="P40" s="268" t="s">
        <v>17</v>
      </c>
      <c r="Q40" s="269">
        <v>2E-3</v>
      </c>
      <c r="R40" s="266">
        <f t="shared" ref="R40:R41" si="67">O40*Q40</f>
        <v>4635.0990203375004</v>
      </c>
      <c r="S40" s="318">
        <v>0.85</v>
      </c>
      <c r="T40" s="319">
        <f t="shared" ref="T40:T41" si="68">O40*S40</f>
        <v>1969917.0836434376</v>
      </c>
      <c r="U40" s="266">
        <f>O40/V40</f>
        <v>738073.09241042996</v>
      </c>
      <c r="V40" s="266">
        <v>3.14</v>
      </c>
      <c r="W40" s="266"/>
      <c r="X40" s="272">
        <v>80</v>
      </c>
      <c r="Y40" s="273">
        <v>185403.96081350002</v>
      </c>
      <c r="Z40" s="273">
        <f t="shared" ref="Z40:Z103" si="69">Y40/O40*1000</f>
        <v>80</v>
      </c>
      <c r="AA40" s="273">
        <f t="shared" si="59"/>
        <v>40</v>
      </c>
      <c r="AB40" s="274">
        <v>1215728.8</v>
      </c>
      <c r="AC40" s="275">
        <f>U40/AB40</f>
        <v>0.60710340366242033</v>
      </c>
      <c r="AD40" s="261"/>
      <c r="AE40" s="260"/>
      <c r="AF40" s="261">
        <v>0.61599999999999999</v>
      </c>
      <c r="AG40" s="260"/>
      <c r="AH40" s="458"/>
      <c r="AI40" s="459"/>
      <c r="AJ40" s="346">
        <f t="shared" si="54"/>
        <v>772516.50338958343</v>
      </c>
      <c r="AK40" s="346">
        <f t="shared" si="54"/>
        <v>772516.50338958343</v>
      </c>
      <c r="AL40" s="346">
        <f t="shared" si="54"/>
        <v>772516.50338958343</v>
      </c>
      <c r="AN40" s="346">
        <f>$R40/$L40*7</f>
        <v>1545.033006779167</v>
      </c>
      <c r="AO40" s="346">
        <f t="shared" ref="AO40:AP45" si="70">$R40/$L40*7</f>
        <v>1545.033006779167</v>
      </c>
      <c r="AP40" s="346">
        <f t="shared" si="70"/>
        <v>1545.033006779167</v>
      </c>
    </row>
    <row r="41" spans="2:42" ht="18.649999999999999" customHeight="1" x14ac:dyDescent="0.35">
      <c r="B41" s="292" t="s">
        <v>119</v>
      </c>
      <c r="C41" s="293" t="s">
        <v>97</v>
      </c>
      <c r="D41" s="263" t="s">
        <v>86</v>
      </c>
      <c r="E41" s="263" t="s">
        <v>45</v>
      </c>
      <c r="F41" s="263" t="s">
        <v>87</v>
      </c>
      <c r="G41" s="263" t="s">
        <v>101</v>
      </c>
      <c r="H41" s="265" t="s">
        <v>95</v>
      </c>
      <c r="I41" s="265" t="s">
        <v>610</v>
      </c>
      <c r="J41" s="552" t="s">
        <v>96</v>
      </c>
      <c r="K41" s="263" t="s">
        <v>89</v>
      </c>
      <c r="L41" s="266">
        <f t="shared" si="66"/>
        <v>21</v>
      </c>
      <c r="M41" s="267">
        <v>45460</v>
      </c>
      <c r="N41" s="267">
        <v>45480</v>
      </c>
      <c r="O41" s="266">
        <f>Y41/X41*1000</f>
        <v>12515029.052418752</v>
      </c>
      <c r="P41" s="268" t="s">
        <v>17</v>
      </c>
      <c r="Q41" s="269">
        <v>1E-3</v>
      </c>
      <c r="R41" s="266">
        <f t="shared" si="67"/>
        <v>12515.029052418751</v>
      </c>
      <c r="S41" s="318">
        <v>0.8</v>
      </c>
      <c r="T41" s="319">
        <f t="shared" si="68"/>
        <v>10012023.241935002</v>
      </c>
      <c r="U41" s="266">
        <f>O41/V41</f>
        <v>3067409.0814751843</v>
      </c>
      <c r="V41" s="266">
        <f>3*136%</f>
        <v>4.08</v>
      </c>
      <c r="W41" s="266"/>
      <c r="X41" s="272">
        <v>80</v>
      </c>
      <c r="Y41" s="273">
        <v>1001202.3241935001</v>
      </c>
      <c r="Z41" s="273">
        <f t="shared" si="69"/>
        <v>80</v>
      </c>
      <c r="AA41" s="273">
        <f t="shared" si="59"/>
        <v>80</v>
      </c>
      <c r="AB41" s="274">
        <v>4973540</v>
      </c>
      <c r="AC41" s="275">
        <f>U41/AB41</f>
        <v>0.61674563419117656</v>
      </c>
      <c r="AF41" s="261">
        <v>0.61599999999999999</v>
      </c>
      <c r="AH41" s="458"/>
      <c r="AI41" s="459"/>
      <c r="AJ41" s="346">
        <f t="shared" si="54"/>
        <v>4171676.3508062502</v>
      </c>
      <c r="AK41" s="346">
        <f t="shared" si="54"/>
        <v>4171676.3508062502</v>
      </c>
      <c r="AL41" s="346">
        <f t="shared" si="54"/>
        <v>4171676.3508062502</v>
      </c>
      <c r="AN41" s="346">
        <f t="shared" ref="AN41:AN45" si="71">$R41/$L41*7</f>
        <v>4171.6763508062504</v>
      </c>
      <c r="AO41" s="346">
        <f t="shared" si="70"/>
        <v>4171.6763508062504</v>
      </c>
      <c r="AP41" s="346">
        <f t="shared" si="70"/>
        <v>4171.6763508062504</v>
      </c>
    </row>
    <row r="42" spans="2:42" ht="18.649999999999999" customHeight="1" x14ac:dyDescent="0.35">
      <c r="B42" s="292" t="s">
        <v>119</v>
      </c>
      <c r="C42" s="293" t="s">
        <v>97</v>
      </c>
      <c r="D42" s="263" t="s">
        <v>99</v>
      </c>
      <c r="E42" s="263" t="s">
        <v>46</v>
      </c>
      <c r="F42" s="263" t="s">
        <v>100</v>
      </c>
      <c r="G42" s="263" t="s">
        <v>101</v>
      </c>
      <c r="H42" s="265" t="s">
        <v>88</v>
      </c>
      <c r="I42" s="265" t="s">
        <v>102</v>
      </c>
      <c r="J42" s="553" t="s">
        <v>96</v>
      </c>
      <c r="K42" s="263" t="s">
        <v>89</v>
      </c>
      <c r="L42" s="266">
        <f t="shared" si="66"/>
        <v>21</v>
      </c>
      <c r="M42" s="267">
        <v>45460</v>
      </c>
      <c r="N42" s="267">
        <v>45480</v>
      </c>
      <c r="O42" s="266">
        <f t="shared" ref="O42:O44" si="72">U42*V42</f>
        <v>1293553.4028580021</v>
      </c>
      <c r="P42" s="268" t="s">
        <v>17</v>
      </c>
      <c r="Q42" s="269">
        <v>1.4999999999999999E-2</v>
      </c>
      <c r="R42" s="266">
        <f>O42*Q42</f>
        <v>19403.301042870033</v>
      </c>
      <c r="S42" s="268" t="s">
        <v>17</v>
      </c>
      <c r="T42" s="271" t="s">
        <v>17</v>
      </c>
      <c r="U42" s="266">
        <f>AB42*AC42</f>
        <v>1521827.5327741201</v>
      </c>
      <c r="V42" s="266">
        <v>0.85</v>
      </c>
      <c r="W42" s="266"/>
      <c r="X42" s="272">
        <v>105</v>
      </c>
      <c r="Y42" s="273">
        <f>(O42/1000)*X42</f>
        <v>135823.10730009023</v>
      </c>
      <c r="Z42" s="273">
        <f t="shared" si="69"/>
        <v>105</v>
      </c>
      <c r="AA42" s="273">
        <f t="shared" si="59"/>
        <v>7</v>
      </c>
      <c r="AB42" s="274">
        <f>AB41*95%</f>
        <v>4724863</v>
      </c>
      <c r="AC42" s="275">
        <v>0.32208924</v>
      </c>
      <c r="AE42" s="260"/>
      <c r="AF42" s="261">
        <v>0.26400000000000001</v>
      </c>
      <c r="AG42" s="260"/>
      <c r="AI42" s="459"/>
      <c r="AJ42" s="346">
        <f t="shared" si="54"/>
        <v>431184.467619334</v>
      </c>
      <c r="AK42" s="346">
        <f t="shared" si="54"/>
        <v>431184.467619334</v>
      </c>
      <c r="AL42" s="346">
        <f t="shared" si="54"/>
        <v>431184.467619334</v>
      </c>
      <c r="AN42" s="346">
        <f t="shared" si="71"/>
        <v>6467.7670142900115</v>
      </c>
      <c r="AO42" s="346">
        <f t="shared" si="70"/>
        <v>6467.7670142900115</v>
      </c>
      <c r="AP42" s="346">
        <f t="shared" si="70"/>
        <v>6467.7670142900115</v>
      </c>
    </row>
    <row r="43" spans="2:42" ht="18.649999999999999" customHeight="1" x14ac:dyDescent="0.35">
      <c r="B43" s="292" t="s">
        <v>119</v>
      </c>
      <c r="C43" s="293" t="s">
        <v>97</v>
      </c>
      <c r="D43" s="310" t="s">
        <v>103</v>
      </c>
      <c r="E43" s="263" t="s">
        <v>46</v>
      </c>
      <c r="F43" s="310" t="s">
        <v>100</v>
      </c>
      <c r="G43" s="263" t="s">
        <v>98</v>
      </c>
      <c r="H43" s="265" t="s">
        <v>88</v>
      </c>
      <c r="I43" s="265" t="s">
        <v>104</v>
      </c>
      <c r="J43" s="553" t="s">
        <v>96</v>
      </c>
      <c r="K43" s="263" t="s">
        <v>105</v>
      </c>
      <c r="L43" s="266">
        <f t="shared" si="66"/>
        <v>21</v>
      </c>
      <c r="M43" s="267">
        <v>45460</v>
      </c>
      <c r="N43" s="267">
        <v>45480</v>
      </c>
      <c r="O43" s="266">
        <f t="shared" si="72"/>
        <v>690937.97452242498</v>
      </c>
      <c r="P43" s="268" t="s">
        <v>17</v>
      </c>
      <c r="Q43" s="269">
        <v>1.4999999999999999E-2</v>
      </c>
      <c r="R43" s="266">
        <f>O43*Q43</f>
        <v>10364.069617836374</v>
      </c>
      <c r="S43" s="268" t="s">
        <v>17</v>
      </c>
      <c r="T43" s="271" t="s">
        <v>17</v>
      </c>
      <c r="U43" s="266">
        <f>AB43*AC43</f>
        <v>812868.20532049995</v>
      </c>
      <c r="V43" s="266">
        <v>0.85</v>
      </c>
      <c r="W43" s="266"/>
      <c r="X43" s="272">
        <v>120</v>
      </c>
      <c r="Y43" s="273">
        <f>(O43/1000)*X43</f>
        <v>82912.556942690993</v>
      </c>
      <c r="Z43" s="273">
        <f t="shared" si="69"/>
        <v>120</v>
      </c>
      <c r="AA43" s="273">
        <f t="shared" si="59"/>
        <v>8</v>
      </c>
      <c r="AB43" s="274">
        <v>1903618</v>
      </c>
      <c r="AC43" s="275">
        <v>0.42701224999999998</v>
      </c>
      <c r="AE43" s="260"/>
      <c r="AF43" s="261">
        <v>0.44</v>
      </c>
      <c r="AG43" s="260"/>
      <c r="AJ43" s="346">
        <f t="shared" si="54"/>
        <v>230312.65817414166</v>
      </c>
      <c r="AK43" s="346">
        <f t="shared" si="54"/>
        <v>230312.65817414166</v>
      </c>
      <c r="AL43" s="346">
        <f t="shared" si="54"/>
        <v>230312.65817414166</v>
      </c>
      <c r="AN43" s="346">
        <f t="shared" si="71"/>
        <v>3454.6898726121249</v>
      </c>
      <c r="AO43" s="346">
        <f t="shared" si="70"/>
        <v>3454.6898726121249</v>
      </c>
      <c r="AP43" s="346">
        <f t="shared" si="70"/>
        <v>3454.6898726121249</v>
      </c>
    </row>
    <row r="44" spans="2:42" ht="18.649999999999999" customHeight="1" x14ac:dyDescent="0.35">
      <c r="B44" s="292" t="s">
        <v>119</v>
      </c>
      <c r="C44" s="293" t="s">
        <v>97</v>
      </c>
      <c r="D44" s="310" t="s">
        <v>106</v>
      </c>
      <c r="E44" s="311" t="s">
        <v>46</v>
      </c>
      <c r="F44" s="311" t="s">
        <v>91</v>
      </c>
      <c r="G44" s="263" t="s">
        <v>98</v>
      </c>
      <c r="H44" s="310" t="s">
        <v>88</v>
      </c>
      <c r="I44" s="263" t="s">
        <v>107</v>
      </c>
      <c r="J44" s="553" t="s">
        <v>96</v>
      </c>
      <c r="K44" s="263" t="s">
        <v>89</v>
      </c>
      <c r="L44" s="266">
        <f t="shared" si="66"/>
        <v>21</v>
      </c>
      <c r="M44" s="267">
        <v>45460</v>
      </c>
      <c r="N44" s="267">
        <v>45480</v>
      </c>
      <c r="O44" s="266">
        <f t="shared" si="72"/>
        <v>558471.38569885527</v>
      </c>
      <c r="P44" s="268" t="s">
        <v>17</v>
      </c>
      <c r="Q44" s="312">
        <v>0.01</v>
      </c>
      <c r="R44" s="266">
        <f t="shared" ref="R44:R45" si="73">O44*Q44</f>
        <v>5584.7138569885528</v>
      </c>
      <c r="S44" s="268" t="s">
        <v>17</v>
      </c>
      <c r="T44" s="271" t="s">
        <v>17</v>
      </c>
      <c r="U44" s="266">
        <f>AB44*AC44</f>
        <v>657025.15964571212</v>
      </c>
      <c r="V44" s="266">
        <v>0.85</v>
      </c>
      <c r="W44" s="266"/>
      <c r="X44" s="272">
        <v>200</v>
      </c>
      <c r="Y44" s="273">
        <f>O44*X44/1000</f>
        <v>111694.27713977106</v>
      </c>
      <c r="Z44" s="273">
        <f t="shared" si="69"/>
        <v>200</v>
      </c>
      <c r="AA44" s="273">
        <f t="shared" si="59"/>
        <v>20</v>
      </c>
      <c r="AB44" s="274">
        <v>2781662</v>
      </c>
      <c r="AC44" s="275">
        <v>0.23619877600000003</v>
      </c>
      <c r="AE44" s="260"/>
      <c r="AF44" s="261">
        <v>0.17600000000000002</v>
      </c>
      <c r="AG44" s="260"/>
      <c r="AH44" s="562"/>
      <c r="AJ44" s="346">
        <f t="shared" ref="AJ44:AL45" si="74">$O44/$L44*7</f>
        <v>186157.12856628507</v>
      </c>
      <c r="AK44" s="346">
        <f t="shared" si="74"/>
        <v>186157.12856628507</v>
      </c>
      <c r="AL44" s="346">
        <f t="shared" si="74"/>
        <v>186157.12856628507</v>
      </c>
      <c r="AN44" s="346">
        <f t="shared" si="71"/>
        <v>1861.5712856628506</v>
      </c>
      <c r="AO44" s="346">
        <f t="shared" si="70"/>
        <v>1861.5712856628506</v>
      </c>
      <c r="AP44" s="346">
        <f t="shared" si="70"/>
        <v>1861.5712856628506</v>
      </c>
    </row>
    <row r="45" spans="2:42" ht="18.649999999999999" customHeight="1" x14ac:dyDescent="0.35">
      <c r="B45" s="292" t="s">
        <v>119</v>
      </c>
      <c r="C45" s="293" t="s">
        <v>97</v>
      </c>
      <c r="D45" s="314" t="s">
        <v>528</v>
      </c>
      <c r="E45" s="263" t="s">
        <v>46</v>
      </c>
      <c r="F45" s="310" t="s">
        <v>91</v>
      </c>
      <c r="G45" s="263" t="s">
        <v>101</v>
      </c>
      <c r="H45" s="265" t="s">
        <v>88</v>
      </c>
      <c r="I45" s="265" t="s">
        <v>527</v>
      </c>
      <c r="J45" s="552" t="s">
        <v>96</v>
      </c>
      <c r="K45" s="263" t="s">
        <v>89</v>
      </c>
      <c r="L45" s="266">
        <f t="shared" si="66"/>
        <v>21</v>
      </c>
      <c r="M45" s="267">
        <v>45460</v>
      </c>
      <c r="N45" s="267">
        <v>45480</v>
      </c>
      <c r="O45" s="266">
        <f>Y45/X45*1000</f>
        <v>4615384.615384615</v>
      </c>
      <c r="P45" s="268" t="s">
        <v>17</v>
      </c>
      <c r="Q45" s="315">
        <v>3.0000000000000001E-3</v>
      </c>
      <c r="R45" s="266">
        <f t="shared" si="73"/>
        <v>13846.153846153846</v>
      </c>
      <c r="S45" s="268" t="s">
        <v>17</v>
      </c>
      <c r="T45" s="271" t="s">
        <v>17</v>
      </c>
      <c r="U45" s="266">
        <f>O45/V45</f>
        <v>923076.92307692301</v>
      </c>
      <c r="V45" s="266">
        <v>5</v>
      </c>
      <c r="W45" s="266"/>
      <c r="X45" s="272">
        <v>65</v>
      </c>
      <c r="Y45" s="273">
        <v>300000</v>
      </c>
      <c r="Z45" s="273">
        <f t="shared" si="69"/>
        <v>65</v>
      </c>
      <c r="AA45" s="273">
        <f t="shared" si="59"/>
        <v>21.666666666666668</v>
      </c>
      <c r="AB45" s="274">
        <f>499352.890846154*300%</f>
        <v>1498058.6725384621</v>
      </c>
      <c r="AC45" s="275">
        <f>U45/AB45</f>
        <v>0.61618208952575149</v>
      </c>
      <c r="AE45" s="260"/>
      <c r="AF45" s="261">
        <v>0.72298698504354841</v>
      </c>
      <c r="AG45" s="260"/>
      <c r="AH45" s="320"/>
      <c r="AJ45" s="346">
        <f t="shared" si="74"/>
        <v>1538461.5384615385</v>
      </c>
      <c r="AK45" s="346">
        <f t="shared" si="74"/>
        <v>1538461.5384615385</v>
      </c>
      <c r="AL45" s="346">
        <f t="shared" si="74"/>
        <v>1538461.5384615385</v>
      </c>
      <c r="AN45" s="346">
        <f t="shared" si="71"/>
        <v>4615.3846153846152</v>
      </c>
      <c r="AO45" s="346">
        <f t="shared" si="70"/>
        <v>4615.3846153846152</v>
      </c>
      <c r="AP45" s="346">
        <f t="shared" si="70"/>
        <v>4615.3846153846152</v>
      </c>
    </row>
    <row r="46" spans="2:42" ht="18.649999999999999" customHeight="1" x14ac:dyDescent="0.35">
      <c r="B46" s="277" t="str">
        <f>B45</f>
        <v>Bangalore - Seg B</v>
      </c>
      <c r="C46" s="278"/>
      <c r="D46" s="279" t="s">
        <v>18</v>
      </c>
      <c r="E46" s="280"/>
      <c r="F46" s="279"/>
      <c r="G46" s="280"/>
      <c r="H46" s="280"/>
      <c r="I46" s="281"/>
      <c r="J46" s="546"/>
      <c r="K46" s="283"/>
      <c r="L46" s="284"/>
      <c r="M46" s="284"/>
      <c r="N46" s="284"/>
      <c r="O46" s="284">
        <f>SUM(O40:O45)</f>
        <v>21990925.941051401</v>
      </c>
      <c r="P46" s="284"/>
      <c r="Q46" s="285">
        <f>R46/O46</f>
        <v>3.0170792541640875E-3</v>
      </c>
      <c r="R46" s="284">
        <f>SUM(R40:R45)</f>
        <v>66348.366436605051</v>
      </c>
      <c r="S46" s="286"/>
      <c r="T46" s="316">
        <f>SUM(T40:T45)</f>
        <v>11981940.32557844</v>
      </c>
      <c r="U46" s="284">
        <f>U41+(SUM(U40,U42:U45)*15%)</f>
        <v>3765339.718459337</v>
      </c>
      <c r="V46" s="284">
        <f>O46/U46</f>
        <v>5.8403564048264478</v>
      </c>
      <c r="W46" s="284"/>
      <c r="X46" s="287"/>
      <c r="Y46" s="317">
        <f>SUM(Y40:Y45)</f>
        <v>1817036.2263895525</v>
      </c>
      <c r="Z46" s="288">
        <f t="shared" si="69"/>
        <v>82.626635697845416</v>
      </c>
      <c r="AA46" s="288">
        <f t="shared" si="59"/>
        <v>27.386299376725507</v>
      </c>
      <c r="AB46" s="284">
        <f>AB41+(SUM(AB40,AB42:AB45)*15%)</f>
        <v>6792129.5708807698</v>
      </c>
      <c r="AC46" s="289">
        <f>U46/AB46</f>
        <v>0.55436806367801172</v>
      </c>
      <c r="AD46" s="261"/>
      <c r="AE46" s="290"/>
      <c r="AF46" s="261">
        <v>0.72918033054744236</v>
      </c>
      <c r="AG46" s="290"/>
    </row>
    <row r="47" spans="2:42" ht="18.649999999999999" customHeight="1" x14ac:dyDescent="0.35">
      <c r="B47" s="321" t="s">
        <v>120</v>
      </c>
      <c r="C47" s="293" t="s">
        <v>93</v>
      </c>
      <c r="D47" s="294" t="s">
        <v>94</v>
      </c>
      <c r="E47" s="294" t="s">
        <v>45</v>
      </c>
      <c r="F47" s="295" t="s">
        <v>87</v>
      </c>
      <c r="G47" s="295" t="s">
        <v>50</v>
      </c>
      <c r="H47" s="296" t="s">
        <v>95</v>
      </c>
      <c r="I47" s="296" t="s">
        <v>608</v>
      </c>
      <c r="J47" s="551" t="s">
        <v>96</v>
      </c>
      <c r="K47" s="295" t="s">
        <v>89</v>
      </c>
      <c r="L47" s="298">
        <f t="shared" ref="L47:L55" si="75">N47-(M47-1)</f>
        <v>21</v>
      </c>
      <c r="M47" s="299">
        <v>45460</v>
      </c>
      <c r="N47" s="299">
        <v>45480</v>
      </c>
      <c r="O47" s="298">
        <f t="shared" ref="O47:O55" si="76">U47*V47</f>
        <v>1271488.0728704</v>
      </c>
      <c r="P47" s="300" t="s">
        <v>17</v>
      </c>
      <c r="Q47" s="301"/>
      <c r="R47" s="298"/>
      <c r="S47" s="302">
        <v>0.85</v>
      </c>
      <c r="T47" s="303">
        <f t="shared" ref="T47:T48" si="77">O47*S47</f>
        <v>1080764.86193984</v>
      </c>
      <c r="U47" s="298">
        <f>AB47*AC47</f>
        <v>186983.54012799999</v>
      </c>
      <c r="V47" s="298">
        <f>5*136%</f>
        <v>6.8000000000000007</v>
      </c>
      <c r="W47" s="298"/>
      <c r="X47" s="304">
        <v>125</v>
      </c>
      <c r="Y47" s="305">
        <f t="shared" ref="Y47:Y52" si="78">(O47/1000)*X47</f>
        <v>158936.0091088</v>
      </c>
      <c r="Z47" s="305">
        <f t="shared" si="69"/>
        <v>125</v>
      </c>
      <c r="AA47" s="305"/>
      <c r="AB47" s="306">
        <v>217700</v>
      </c>
      <c r="AC47" s="307">
        <v>0.85890464</v>
      </c>
      <c r="AD47" s="261"/>
      <c r="AE47" s="260"/>
      <c r="AF47" s="261">
        <v>0.70400000000000007</v>
      </c>
      <c r="AG47" s="260"/>
      <c r="AJ47" s="346">
        <f t="shared" ref="AJ47:AL62" si="79">$O47/$L47*7</f>
        <v>423829.3576234667</v>
      </c>
      <c r="AK47" s="346">
        <f t="shared" si="79"/>
        <v>423829.3576234667</v>
      </c>
      <c r="AL47" s="346">
        <f t="shared" si="79"/>
        <v>423829.3576234667</v>
      </c>
      <c r="AN47" s="346">
        <f>$R47/$L47*7</f>
        <v>0</v>
      </c>
      <c r="AO47" s="346">
        <f t="shared" ref="AO47:AP55" si="80">$R47/$L47*7</f>
        <v>0</v>
      </c>
      <c r="AP47" s="346">
        <f t="shared" si="80"/>
        <v>0</v>
      </c>
    </row>
    <row r="48" spans="2:42" ht="18.649999999999999" customHeight="1" x14ac:dyDescent="0.35">
      <c r="B48" s="321" t="s">
        <v>120</v>
      </c>
      <c r="C48" s="293" t="s">
        <v>93</v>
      </c>
      <c r="D48" s="295" t="s">
        <v>86</v>
      </c>
      <c r="E48" s="295" t="s">
        <v>45</v>
      </c>
      <c r="F48" s="295" t="s">
        <v>87</v>
      </c>
      <c r="G48" s="296" t="s">
        <v>50</v>
      </c>
      <c r="H48" s="296" t="s">
        <v>95</v>
      </c>
      <c r="I48" s="296" t="s">
        <v>610</v>
      </c>
      <c r="J48" s="551" t="s">
        <v>96</v>
      </c>
      <c r="K48" s="295" t="s">
        <v>89</v>
      </c>
      <c r="L48" s="298">
        <f t="shared" si="75"/>
        <v>21</v>
      </c>
      <c r="M48" s="299">
        <v>45460</v>
      </c>
      <c r="N48" s="299">
        <v>45480</v>
      </c>
      <c r="O48" s="298">
        <f>Y48/X48*1000</f>
        <v>8632421.4747311994</v>
      </c>
      <c r="P48" s="300" t="s">
        <v>17</v>
      </c>
      <c r="Q48" s="301"/>
      <c r="R48" s="298"/>
      <c r="S48" s="302">
        <v>0.8</v>
      </c>
      <c r="T48" s="303">
        <f t="shared" si="77"/>
        <v>6905937.1797849601</v>
      </c>
      <c r="U48" s="298">
        <f>O48/V48</f>
        <v>1040050.7800880963</v>
      </c>
      <c r="V48" s="298">
        <v>8.3000000000000007</v>
      </c>
      <c r="W48" s="298"/>
      <c r="X48" s="304">
        <v>110</v>
      </c>
      <c r="Y48" s="305">
        <f>949566.362220432</f>
        <v>949566.36222043203</v>
      </c>
      <c r="Z48" s="305">
        <f t="shared" si="69"/>
        <v>110.00000000000001</v>
      </c>
      <c r="AA48" s="305"/>
      <c r="AB48" s="306">
        <v>1156136</v>
      </c>
      <c r="AC48" s="307">
        <f>U48/AB48</f>
        <v>0.8995920722891565</v>
      </c>
      <c r="AF48" s="261">
        <v>0.748</v>
      </c>
      <c r="AJ48" s="346">
        <f t="shared" si="79"/>
        <v>2877473.8249104</v>
      </c>
      <c r="AK48" s="346">
        <f t="shared" si="79"/>
        <v>2877473.8249104</v>
      </c>
      <c r="AL48" s="346">
        <f t="shared" si="79"/>
        <v>2877473.8249104</v>
      </c>
      <c r="AN48" s="346">
        <f t="shared" ref="AN48:AN55" si="81">$R48/$L48*7</f>
        <v>0</v>
      </c>
      <c r="AO48" s="346">
        <f t="shared" si="80"/>
        <v>0</v>
      </c>
      <c r="AP48" s="346">
        <f t="shared" si="80"/>
        <v>0</v>
      </c>
    </row>
    <row r="49" spans="2:42" ht="18.649999999999999" customHeight="1" x14ac:dyDescent="0.35">
      <c r="B49" s="321" t="s">
        <v>120</v>
      </c>
      <c r="C49" s="293" t="s">
        <v>97</v>
      </c>
      <c r="D49" s="264" t="s">
        <v>561</v>
      </c>
      <c r="E49" s="264" t="s">
        <v>45</v>
      </c>
      <c r="F49" s="263" t="s">
        <v>87</v>
      </c>
      <c r="G49" s="263" t="s">
        <v>98</v>
      </c>
      <c r="H49" s="265" t="s">
        <v>90</v>
      </c>
      <c r="I49" s="265" t="s">
        <v>609</v>
      </c>
      <c r="J49" s="552" t="s">
        <v>96</v>
      </c>
      <c r="K49" s="263" t="s">
        <v>89</v>
      </c>
      <c r="L49" s="266">
        <f t="shared" si="75"/>
        <v>21</v>
      </c>
      <c r="M49" s="267">
        <v>45460</v>
      </c>
      <c r="N49" s="267">
        <v>45480</v>
      </c>
      <c r="O49" s="266">
        <f t="shared" si="76"/>
        <v>1989633.7413940313</v>
      </c>
      <c r="P49" s="268" t="s">
        <v>17</v>
      </c>
      <c r="Q49" s="269">
        <v>1E-3</v>
      </c>
      <c r="R49" s="266">
        <f t="shared" ref="R49:R50" si="82">O49*Q49</f>
        <v>1989.6337413940314</v>
      </c>
      <c r="S49" s="270">
        <v>0.7</v>
      </c>
      <c r="T49" s="271">
        <f>O49*S49</f>
        <v>1392743.6189758219</v>
      </c>
      <c r="U49" s="266">
        <f t="shared" ref="U49" si="83">AB49*AC49</f>
        <v>1136933.566510875</v>
      </c>
      <c r="V49" s="266">
        <v>1.75</v>
      </c>
      <c r="W49" s="266"/>
      <c r="X49" s="272">
        <v>70</v>
      </c>
      <c r="Y49" s="273">
        <f t="shared" si="78"/>
        <v>139274.36189758219</v>
      </c>
      <c r="Z49" s="273">
        <f t="shared" si="69"/>
        <v>69.999999999999986</v>
      </c>
      <c r="AA49" s="273">
        <f t="shared" ref="AA49:AA58" si="84">Y49/R49</f>
        <v>70</v>
      </c>
      <c r="AB49" s="274">
        <f>2192673*85%</f>
        <v>1863772.05</v>
      </c>
      <c r="AC49" s="275">
        <v>0.61001749999999999</v>
      </c>
      <c r="AE49" s="260"/>
      <c r="AF49" s="261">
        <v>0.66</v>
      </c>
      <c r="AG49" s="260"/>
      <c r="AJ49" s="346">
        <f t="shared" si="79"/>
        <v>663211.2471313437</v>
      </c>
      <c r="AK49" s="346">
        <f t="shared" si="79"/>
        <v>663211.2471313437</v>
      </c>
      <c r="AL49" s="346">
        <f t="shared" si="79"/>
        <v>663211.2471313437</v>
      </c>
      <c r="AN49" s="346">
        <f t="shared" si="81"/>
        <v>663.21124713134384</v>
      </c>
      <c r="AO49" s="346">
        <f t="shared" si="80"/>
        <v>663.21124713134384</v>
      </c>
      <c r="AP49" s="346">
        <f t="shared" si="80"/>
        <v>663.21124713134384</v>
      </c>
    </row>
    <row r="50" spans="2:42" ht="18.649999999999999" customHeight="1" x14ac:dyDescent="0.35">
      <c r="B50" s="321" t="s">
        <v>120</v>
      </c>
      <c r="C50" s="293" t="s">
        <v>97</v>
      </c>
      <c r="D50" s="264" t="s">
        <v>86</v>
      </c>
      <c r="E50" s="264" t="s">
        <v>45</v>
      </c>
      <c r="F50" s="263" t="s">
        <v>87</v>
      </c>
      <c r="G50" s="263" t="s">
        <v>98</v>
      </c>
      <c r="H50" s="265" t="s">
        <v>90</v>
      </c>
      <c r="I50" s="265" t="s">
        <v>610</v>
      </c>
      <c r="J50" s="552" t="s">
        <v>96</v>
      </c>
      <c r="K50" s="263" t="s">
        <v>89</v>
      </c>
      <c r="L50" s="266">
        <f t="shared" si="75"/>
        <v>21</v>
      </c>
      <c r="M50" s="267">
        <v>45460</v>
      </c>
      <c r="N50" s="267">
        <v>45480</v>
      </c>
      <c r="O50" s="266">
        <f>Y50/X50*1000</f>
        <v>2758735.8599160933</v>
      </c>
      <c r="P50" s="268" t="s">
        <v>17</v>
      </c>
      <c r="Q50" s="269">
        <v>1E-3</v>
      </c>
      <c r="R50" s="266">
        <f t="shared" si="82"/>
        <v>2758.7358599160934</v>
      </c>
      <c r="S50" s="270">
        <v>0.8</v>
      </c>
      <c r="T50" s="271">
        <f>O50*S50</f>
        <v>2206988.6879328745</v>
      </c>
      <c r="U50" s="266">
        <f>O50/V50</f>
        <v>1352321.4999588693</v>
      </c>
      <c r="V50" s="266">
        <f>1.5*136%</f>
        <v>2.04</v>
      </c>
      <c r="W50" s="266"/>
      <c r="X50" s="272">
        <v>80</v>
      </c>
      <c r="Y50" s="273">
        <v>220698.86879328749</v>
      </c>
      <c r="Z50" s="273">
        <f t="shared" si="69"/>
        <v>80.000000000000014</v>
      </c>
      <c r="AA50" s="273">
        <f t="shared" si="84"/>
        <v>80</v>
      </c>
      <c r="AB50" s="274">
        <v>2192673</v>
      </c>
      <c r="AC50" s="275">
        <f>U50/AB50</f>
        <v>0.61674563419117634</v>
      </c>
      <c r="AE50" s="260"/>
      <c r="AF50" s="261">
        <v>0.66</v>
      </c>
      <c r="AG50" s="260"/>
      <c r="AH50" s="458"/>
      <c r="AI50" s="459"/>
      <c r="AJ50" s="346">
        <f t="shared" si="79"/>
        <v>919578.61997203098</v>
      </c>
      <c r="AK50" s="346">
        <f t="shared" si="79"/>
        <v>919578.61997203098</v>
      </c>
      <c r="AL50" s="346">
        <f t="shared" si="79"/>
        <v>919578.61997203098</v>
      </c>
      <c r="AN50" s="346">
        <f t="shared" si="81"/>
        <v>919.57861997203111</v>
      </c>
      <c r="AO50" s="346">
        <f t="shared" si="80"/>
        <v>919.57861997203111</v>
      </c>
      <c r="AP50" s="346">
        <f t="shared" si="80"/>
        <v>919.57861997203111</v>
      </c>
    </row>
    <row r="51" spans="2:42" ht="18.649999999999999" customHeight="1" x14ac:dyDescent="0.35">
      <c r="B51" s="321" t="s">
        <v>120</v>
      </c>
      <c r="C51" s="293" t="s">
        <v>97</v>
      </c>
      <c r="D51" s="263" t="s">
        <v>99</v>
      </c>
      <c r="E51" s="263" t="s">
        <v>46</v>
      </c>
      <c r="F51" s="263" t="s">
        <v>100</v>
      </c>
      <c r="G51" s="263" t="s">
        <v>101</v>
      </c>
      <c r="H51" s="265" t="s">
        <v>88</v>
      </c>
      <c r="I51" s="265" t="s">
        <v>102</v>
      </c>
      <c r="J51" s="553" t="s">
        <v>96</v>
      </c>
      <c r="K51" s="263" t="s">
        <v>89</v>
      </c>
      <c r="L51" s="266">
        <f t="shared" si="75"/>
        <v>21</v>
      </c>
      <c r="M51" s="267">
        <v>45460</v>
      </c>
      <c r="N51" s="267">
        <v>45480</v>
      </c>
      <c r="O51" s="266">
        <f t="shared" si="76"/>
        <v>1140571.7539237097</v>
      </c>
      <c r="P51" s="268" t="s">
        <v>17</v>
      </c>
      <c r="Q51" s="269">
        <v>1.4999999999999999E-2</v>
      </c>
      <c r="R51" s="266">
        <f>O51*Q51</f>
        <v>17108.576308855645</v>
      </c>
      <c r="S51" s="268" t="s">
        <v>17</v>
      </c>
      <c r="T51" s="271" t="s">
        <v>17</v>
      </c>
      <c r="U51" s="266">
        <f>AB51*AC51</f>
        <v>570285.87696185487</v>
      </c>
      <c r="V51" s="266">
        <v>2</v>
      </c>
      <c r="W51" s="266"/>
      <c r="X51" s="272">
        <v>105</v>
      </c>
      <c r="Y51" s="273">
        <f t="shared" si="78"/>
        <v>119760.03416198953</v>
      </c>
      <c r="Z51" s="273">
        <f t="shared" si="69"/>
        <v>105.00000000000001</v>
      </c>
      <c r="AA51" s="273">
        <f t="shared" si="84"/>
        <v>7.0000000000000009</v>
      </c>
      <c r="AB51" s="274">
        <f>AB49*95%</f>
        <v>1770583.4475</v>
      </c>
      <c r="AC51" s="275">
        <v>0.32208924</v>
      </c>
      <c r="AE51" s="260"/>
      <c r="AF51" s="261">
        <v>0.26400000000000001</v>
      </c>
      <c r="AG51" s="260"/>
      <c r="AI51" s="459"/>
      <c r="AJ51" s="346">
        <f t="shared" si="79"/>
        <v>380190.58464123658</v>
      </c>
      <c r="AK51" s="346">
        <f t="shared" si="79"/>
        <v>380190.58464123658</v>
      </c>
      <c r="AL51" s="346">
        <f t="shared" si="79"/>
        <v>380190.58464123658</v>
      </c>
      <c r="AN51" s="346">
        <f t="shared" si="81"/>
        <v>5702.8587696185477</v>
      </c>
      <c r="AO51" s="346">
        <f t="shared" si="80"/>
        <v>5702.8587696185477</v>
      </c>
      <c r="AP51" s="346">
        <f t="shared" si="80"/>
        <v>5702.8587696185477</v>
      </c>
    </row>
    <row r="52" spans="2:42" ht="18.649999999999999" customHeight="1" x14ac:dyDescent="0.35">
      <c r="B52" s="321" t="s">
        <v>120</v>
      </c>
      <c r="C52" s="293" t="s">
        <v>97</v>
      </c>
      <c r="D52" s="310" t="s">
        <v>103</v>
      </c>
      <c r="E52" s="263" t="s">
        <v>46</v>
      </c>
      <c r="F52" s="310" t="s">
        <v>100</v>
      </c>
      <c r="G52" s="263" t="s">
        <v>98</v>
      </c>
      <c r="H52" s="265" t="s">
        <v>88</v>
      </c>
      <c r="I52" s="265" t="s">
        <v>104</v>
      </c>
      <c r="J52" s="553" t="s">
        <v>96</v>
      </c>
      <c r="K52" s="263" t="s">
        <v>105</v>
      </c>
      <c r="L52" s="266">
        <f t="shared" si="75"/>
        <v>21</v>
      </c>
      <c r="M52" s="267">
        <v>45460</v>
      </c>
      <c r="N52" s="267">
        <v>45480</v>
      </c>
      <c r="O52" s="266">
        <f t="shared" si="76"/>
        <v>1229635.7970248</v>
      </c>
      <c r="P52" s="268" t="s">
        <v>17</v>
      </c>
      <c r="Q52" s="269">
        <v>1.4999999999999999E-2</v>
      </c>
      <c r="R52" s="266">
        <f>O52*Q52</f>
        <v>18444.536955371997</v>
      </c>
      <c r="S52" s="268" t="s">
        <v>17</v>
      </c>
      <c r="T52" s="271" t="s">
        <v>17</v>
      </c>
      <c r="U52" s="266">
        <f>AB52*AC52</f>
        <v>614817.89851239999</v>
      </c>
      <c r="V52" s="266">
        <v>2</v>
      </c>
      <c r="W52" s="266"/>
      <c r="X52" s="272">
        <v>120</v>
      </c>
      <c r="Y52" s="273">
        <f t="shared" si="78"/>
        <v>147556.29564297601</v>
      </c>
      <c r="Z52" s="273">
        <f t="shared" si="69"/>
        <v>120.00000000000001</v>
      </c>
      <c r="AA52" s="273">
        <f t="shared" si="84"/>
        <v>8.0000000000000018</v>
      </c>
      <c r="AB52" s="274">
        <v>1145306</v>
      </c>
      <c r="AC52" s="275">
        <v>0.53681539999999994</v>
      </c>
      <c r="AE52" s="260"/>
      <c r="AF52" s="261">
        <v>0.44</v>
      </c>
      <c r="AG52" s="260"/>
      <c r="AH52" s="320"/>
      <c r="AJ52" s="346">
        <f t="shared" si="79"/>
        <v>409878.5990082667</v>
      </c>
      <c r="AK52" s="346">
        <f t="shared" si="79"/>
        <v>409878.5990082667</v>
      </c>
      <c r="AL52" s="346">
        <f t="shared" si="79"/>
        <v>409878.5990082667</v>
      </c>
      <c r="AN52" s="346">
        <f t="shared" si="81"/>
        <v>6148.1789851239992</v>
      </c>
      <c r="AO52" s="346">
        <f t="shared" si="80"/>
        <v>6148.1789851239992</v>
      </c>
      <c r="AP52" s="346">
        <f t="shared" si="80"/>
        <v>6148.1789851239992</v>
      </c>
    </row>
    <row r="53" spans="2:42" ht="18.649999999999999" customHeight="1" x14ac:dyDescent="0.35">
      <c r="B53" s="321" t="s">
        <v>120</v>
      </c>
      <c r="C53" s="293" t="s">
        <v>97</v>
      </c>
      <c r="D53" s="310" t="s">
        <v>106</v>
      </c>
      <c r="E53" s="311" t="s">
        <v>46</v>
      </c>
      <c r="F53" s="311" t="s">
        <v>91</v>
      </c>
      <c r="G53" s="263" t="s">
        <v>98</v>
      </c>
      <c r="H53" s="310" t="s">
        <v>88</v>
      </c>
      <c r="I53" s="263" t="s">
        <v>107</v>
      </c>
      <c r="J53" s="553" t="s">
        <v>96</v>
      </c>
      <c r="K53" s="263" t="s">
        <v>89</v>
      </c>
      <c r="L53" s="266">
        <f t="shared" si="75"/>
        <v>21</v>
      </c>
      <c r="M53" s="267">
        <v>45460</v>
      </c>
      <c r="N53" s="267">
        <v>45480</v>
      </c>
      <c r="O53" s="266">
        <f t="shared" si="76"/>
        <v>991214.3046521761</v>
      </c>
      <c r="P53" s="268" t="s">
        <v>17</v>
      </c>
      <c r="Q53" s="312">
        <v>0.01</v>
      </c>
      <c r="R53" s="266">
        <f t="shared" ref="R53:R54" si="85">O53*Q53</f>
        <v>9912.1430465217618</v>
      </c>
      <c r="S53" s="268" t="s">
        <v>17</v>
      </c>
      <c r="T53" s="271" t="s">
        <v>17</v>
      </c>
      <c r="U53" s="266">
        <f t="shared" ref="U53" si="86">AB53*AC53</f>
        <v>495607.15232608805</v>
      </c>
      <c r="V53" s="266">
        <v>2</v>
      </c>
      <c r="W53" s="266"/>
      <c r="X53" s="272">
        <v>200</v>
      </c>
      <c r="Y53" s="273">
        <f>O53*X53/1000</f>
        <v>198242.86093043521</v>
      </c>
      <c r="Z53" s="273">
        <f t="shared" si="69"/>
        <v>199.99999999999997</v>
      </c>
      <c r="AA53" s="273">
        <f t="shared" si="84"/>
        <v>19.999999999999996</v>
      </c>
      <c r="AB53" s="274">
        <v>1398842</v>
      </c>
      <c r="AC53" s="275">
        <v>0.35429816400000003</v>
      </c>
      <c r="AE53" s="260"/>
      <c r="AF53" s="261">
        <v>0.26400000000000001</v>
      </c>
      <c r="AG53" s="260"/>
      <c r="AH53" s="562"/>
      <c r="AJ53" s="346">
        <f t="shared" si="79"/>
        <v>330404.76821739203</v>
      </c>
      <c r="AK53" s="346">
        <f t="shared" si="79"/>
        <v>330404.76821739203</v>
      </c>
      <c r="AL53" s="346">
        <f t="shared" si="79"/>
        <v>330404.76821739203</v>
      </c>
      <c r="AN53" s="346">
        <f t="shared" si="81"/>
        <v>3304.0476821739207</v>
      </c>
      <c r="AO53" s="346">
        <f t="shared" si="80"/>
        <v>3304.0476821739207</v>
      </c>
      <c r="AP53" s="346">
        <f t="shared" si="80"/>
        <v>3304.0476821739207</v>
      </c>
    </row>
    <row r="54" spans="2:42" ht="18.649999999999999" customHeight="1" x14ac:dyDescent="0.35">
      <c r="B54" s="321" t="s">
        <v>120</v>
      </c>
      <c r="C54" s="293" t="s">
        <v>97</v>
      </c>
      <c r="D54" s="310" t="s">
        <v>588</v>
      </c>
      <c r="E54" s="263" t="s">
        <v>46</v>
      </c>
      <c r="F54" s="310" t="s">
        <v>589</v>
      </c>
      <c r="G54" s="263" t="s">
        <v>98</v>
      </c>
      <c r="H54" s="265" t="s">
        <v>88</v>
      </c>
      <c r="I54" s="265" t="s">
        <v>590</v>
      </c>
      <c r="J54" s="553" t="s">
        <v>591</v>
      </c>
      <c r="K54" s="263" t="s">
        <v>592</v>
      </c>
      <c r="L54" s="266">
        <f t="shared" si="75"/>
        <v>21</v>
      </c>
      <c r="M54" s="267">
        <v>45460</v>
      </c>
      <c r="N54" s="267">
        <v>45480</v>
      </c>
      <c r="O54" s="266">
        <f>U54*3</f>
        <v>101177.79000000001</v>
      </c>
      <c r="P54" s="268" t="s">
        <v>17</v>
      </c>
      <c r="Q54" s="269">
        <v>1.4999999999999999E-2</v>
      </c>
      <c r="R54" s="266">
        <f t="shared" si="85"/>
        <v>1517.6668500000001</v>
      </c>
      <c r="S54" s="268" t="s">
        <v>17</v>
      </c>
      <c r="T54" s="271" t="s">
        <v>17</v>
      </c>
      <c r="U54" s="266">
        <f>AB54*AC54</f>
        <v>33725.93</v>
      </c>
      <c r="V54" s="266">
        <f>O54/U54</f>
        <v>3</v>
      </c>
      <c r="W54" s="266"/>
      <c r="X54" s="272">
        <v>2</v>
      </c>
      <c r="Y54" s="273">
        <f>O54/3*X54</f>
        <v>67451.86</v>
      </c>
      <c r="Z54" s="273">
        <f t="shared" si="69"/>
        <v>666.66666666666663</v>
      </c>
      <c r="AA54" s="273">
        <f t="shared" si="84"/>
        <v>44.444444444444443</v>
      </c>
      <c r="AB54" s="274">
        <v>481799</v>
      </c>
      <c r="AC54" s="275">
        <v>7.0000000000000007E-2</v>
      </c>
      <c r="AE54" s="260"/>
      <c r="AF54" s="261">
        <v>0.26400000000000001</v>
      </c>
      <c r="AG54" s="260"/>
      <c r="AJ54" s="346">
        <f t="shared" si="79"/>
        <v>33725.930000000008</v>
      </c>
      <c r="AK54" s="346">
        <f t="shared" si="79"/>
        <v>33725.930000000008</v>
      </c>
      <c r="AL54" s="346">
        <f t="shared" si="79"/>
        <v>33725.930000000008</v>
      </c>
      <c r="AN54" s="346">
        <f t="shared" si="81"/>
        <v>505.88895000000002</v>
      </c>
      <c r="AO54" s="346">
        <f t="shared" si="80"/>
        <v>505.88895000000002</v>
      </c>
      <c r="AP54" s="346">
        <f t="shared" si="80"/>
        <v>505.88895000000002</v>
      </c>
    </row>
    <row r="55" spans="2:42" ht="18.649999999999999" customHeight="1" x14ac:dyDescent="0.35">
      <c r="B55" s="321" t="s">
        <v>120</v>
      </c>
      <c r="C55" s="293" t="s">
        <v>97</v>
      </c>
      <c r="D55" s="310" t="s">
        <v>109</v>
      </c>
      <c r="E55" s="263" t="s">
        <v>46</v>
      </c>
      <c r="F55" s="310" t="s">
        <v>100</v>
      </c>
      <c r="G55" s="263" t="s">
        <v>98</v>
      </c>
      <c r="H55" s="265" t="s">
        <v>88</v>
      </c>
      <c r="I55" s="265" t="s">
        <v>110</v>
      </c>
      <c r="J55" s="553" t="s">
        <v>96</v>
      </c>
      <c r="K55" s="263" t="s">
        <v>111</v>
      </c>
      <c r="L55" s="266">
        <f t="shared" si="75"/>
        <v>21</v>
      </c>
      <c r="M55" s="267">
        <v>45460</v>
      </c>
      <c r="N55" s="267">
        <v>45480</v>
      </c>
      <c r="O55" s="266">
        <f t="shared" si="76"/>
        <v>2125760.0000000005</v>
      </c>
      <c r="P55" s="268" t="s">
        <v>17</v>
      </c>
      <c r="Q55" s="269">
        <v>0.02</v>
      </c>
      <c r="R55" s="266">
        <f>O55*Q55</f>
        <v>42515.200000000012</v>
      </c>
      <c r="S55" s="268" t="s">
        <v>17</v>
      </c>
      <c r="T55" s="271" t="s">
        <v>17</v>
      </c>
      <c r="U55" s="266">
        <f>AB55*AC55</f>
        <v>2125760.0000000005</v>
      </c>
      <c r="V55" s="266">
        <v>1</v>
      </c>
      <c r="W55" s="266"/>
      <c r="X55" s="272">
        <v>4.5</v>
      </c>
      <c r="Y55" s="273">
        <f>R55*X55</f>
        <v>191318.40000000005</v>
      </c>
      <c r="Z55" s="273">
        <f t="shared" si="69"/>
        <v>90.000000000000014</v>
      </c>
      <c r="AA55" s="273">
        <f t="shared" si="84"/>
        <v>4.5</v>
      </c>
      <c r="AB55" s="274">
        <v>3270400.0000000005</v>
      </c>
      <c r="AC55" s="275">
        <v>0.65</v>
      </c>
      <c r="AE55" s="260"/>
      <c r="AF55" s="261">
        <v>0.61599999999999999</v>
      </c>
      <c r="AG55" s="260"/>
      <c r="AJ55" s="346">
        <f t="shared" si="79"/>
        <v>708586.66666666674</v>
      </c>
      <c r="AK55" s="346">
        <f t="shared" si="79"/>
        <v>708586.66666666674</v>
      </c>
      <c r="AL55" s="346">
        <f t="shared" si="79"/>
        <v>708586.66666666674</v>
      </c>
      <c r="AN55" s="346">
        <f t="shared" si="81"/>
        <v>14171.733333333337</v>
      </c>
      <c r="AO55" s="346">
        <f t="shared" si="80"/>
        <v>14171.733333333337</v>
      </c>
      <c r="AP55" s="346">
        <f t="shared" si="80"/>
        <v>14171.733333333337</v>
      </c>
    </row>
    <row r="56" spans="2:42" ht="18.649999999999999" customHeight="1" x14ac:dyDescent="0.35">
      <c r="B56" s="321" t="s">
        <v>120</v>
      </c>
      <c r="C56" s="293" t="s">
        <v>97</v>
      </c>
      <c r="D56" s="310" t="s">
        <v>600</v>
      </c>
      <c r="E56" s="314" t="s">
        <v>46</v>
      </c>
      <c r="F56" s="311" t="s">
        <v>565</v>
      </c>
      <c r="G56" s="263" t="s">
        <v>101</v>
      </c>
      <c r="H56" s="265" t="s">
        <v>88</v>
      </c>
      <c r="I56" s="265" t="s">
        <v>527</v>
      </c>
      <c r="J56" s="552" t="s">
        <v>566</v>
      </c>
      <c r="K56" s="263" t="s">
        <v>89</v>
      </c>
      <c r="L56" s="266">
        <f>N56-M56+1</f>
        <v>13</v>
      </c>
      <c r="M56" s="267">
        <v>45460</v>
      </c>
      <c r="N56" s="267">
        <v>45472</v>
      </c>
      <c r="O56" s="266">
        <f>U56*V56</f>
        <v>640126.4</v>
      </c>
      <c r="P56" s="315" t="s">
        <v>17</v>
      </c>
      <c r="Q56" s="315">
        <v>5.0000000000000001E-3</v>
      </c>
      <c r="R56" s="266">
        <f>O56*Q56</f>
        <v>3200.6320000000001</v>
      </c>
      <c r="S56" s="271" t="s">
        <v>17</v>
      </c>
      <c r="T56" s="266" t="s">
        <v>17</v>
      </c>
      <c r="U56" s="266">
        <f>AB56*AC56</f>
        <v>320063.2</v>
      </c>
      <c r="V56" s="266">
        <v>2</v>
      </c>
      <c r="W56" s="266"/>
      <c r="X56" s="273">
        <v>105</v>
      </c>
      <c r="Y56" s="273">
        <f>O56/1000*X56</f>
        <v>67213.271999999997</v>
      </c>
      <c r="Z56" s="273">
        <f t="shared" si="69"/>
        <v>105</v>
      </c>
      <c r="AA56" s="273">
        <f t="shared" si="84"/>
        <v>21</v>
      </c>
      <c r="AB56" s="274">
        <v>800158</v>
      </c>
      <c r="AC56" s="275">
        <v>0.4</v>
      </c>
      <c r="AD56" s="313"/>
      <c r="AE56" s="260"/>
      <c r="AF56" s="260">
        <v>0.28941776903702171</v>
      </c>
      <c r="AG56" s="260"/>
      <c r="AH56" s="260"/>
      <c r="AJ56" s="346">
        <f t="shared" si="79"/>
        <v>344683.44615384616</v>
      </c>
      <c r="AK56" s="346">
        <f>$O56/$L56*6</f>
        <v>295442.95384615386</v>
      </c>
      <c r="AL56" s="346"/>
      <c r="AN56" s="346">
        <f>R56/$L56*7</f>
        <v>1723.4172307692306</v>
      </c>
      <c r="AO56" s="346">
        <f>$R$56/$L56*6</f>
        <v>1477.2147692307692</v>
      </c>
      <c r="AP56" s="346"/>
    </row>
    <row r="57" spans="2:42" ht="18.649999999999999" customHeight="1" x14ac:dyDescent="0.35">
      <c r="B57" s="321" t="s">
        <v>120</v>
      </c>
      <c r="C57" s="293" t="s">
        <v>97</v>
      </c>
      <c r="D57" s="311" t="s">
        <v>116</v>
      </c>
      <c r="E57" s="263" t="s">
        <v>46</v>
      </c>
      <c r="F57" s="311" t="s">
        <v>114</v>
      </c>
      <c r="G57" s="263" t="s">
        <v>98</v>
      </c>
      <c r="H57" s="265" t="s">
        <v>88</v>
      </c>
      <c r="I57" s="265" t="s">
        <v>115</v>
      </c>
      <c r="J57" s="552" t="s">
        <v>96</v>
      </c>
      <c r="K57" s="263" t="s">
        <v>105</v>
      </c>
      <c r="L57" s="266">
        <f>N57-M57+1</f>
        <v>6</v>
      </c>
      <c r="M57" s="267">
        <v>45471</v>
      </c>
      <c r="N57" s="267">
        <v>45476</v>
      </c>
      <c r="O57" s="266">
        <f>362315/14*6</f>
        <v>155277.85714285716</v>
      </c>
      <c r="P57" s="268" t="s">
        <v>17</v>
      </c>
      <c r="Q57" s="315">
        <v>0.01</v>
      </c>
      <c r="R57" s="266">
        <f>O57*Q57</f>
        <v>1552.7785714285717</v>
      </c>
      <c r="S57" s="268" t="s">
        <v>17</v>
      </c>
      <c r="T57" s="271" t="s">
        <v>17</v>
      </c>
      <c r="U57" s="266">
        <f>O57/V57</f>
        <v>62111.142857142862</v>
      </c>
      <c r="V57" s="266">
        <v>2.5</v>
      </c>
      <c r="W57" s="266"/>
      <c r="X57" s="272">
        <v>260</v>
      </c>
      <c r="Y57" s="273">
        <f>(O57/1000)*X57</f>
        <v>40372.242857142861</v>
      </c>
      <c r="Z57" s="273">
        <f t="shared" si="69"/>
        <v>260</v>
      </c>
      <c r="AA57" s="273">
        <f t="shared" si="84"/>
        <v>25.999999999999996</v>
      </c>
      <c r="AB57" s="274">
        <v>169080</v>
      </c>
      <c r="AC57" s="275">
        <f>U57/AB57</f>
        <v>0.36734766298286531</v>
      </c>
      <c r="AE57" s="260"/>
      <c r="AF57" s="261">
        <v>0.37714360066240832</v>
      </c>
      <c r="AG57" s="260"/>
      <c r="AJ57" s="346"/>
      <c r="AK57" s="346">
        <f>$O57/$L57*3</f>
        <v>77638.92857142858</v>
      </c>
      <c r="AL57" s="346">
        <f>$O57/$L57*3</f>
        <v>77638.92857142858</v>
      </c>
      <c r="AN57" s="346"/>
      <c r="AO57" s="346">
        <f>$R$57/$L57*3</f>
        <v>776.38928571428596</v>
      </c>
      <c r="AP57" s="346">
        <f>$R$57/$L57*3</f>
        <v>776.38928571428596</v>
      </c>
    </row>
    <row r="58" spans="2:42" ht="18.649999999999999" customHeight="1" x14ac:dyDescent="0.35">
      <c r="B58" s="277" t="str">
        <f>B57</f>
        <v>Ahmedabad</v>
      </c>
      <c r="C58" s="278"/>
      <c r="D58" s="279" t="s">
        <v>18</v>
      </c>
      <c r="E58" s="280"/>
      <c r="F58" s="279"/>
      <c r="G58" s="280"/>
      <c r="H58" s="280"/>
      <c r="I58" s="281"/>
      <c r="J58" s="546"/>
      <c r="K58" s="283"/>
      <c r="L58" s="284"/>
      <c r="M58" s="284"/>
      <c r="N58" s="284"/>
      <c r="O58" s="284">
        <f>SUM(O47:O57)</f>
        <v>21036043.051655266</v>
      </c>
      <c r="P58" s="284"/>
      <c r="Q58" s="285">
        <f>R58/O58</f>
        <v>4.7062036852837724E-3</v>
      </c>
      <c r="R58" s="284">
        <f>SUM(R47:R57)</f>
        <v>98999.90333348811</v>
      </c>
      <c r="S58" s="286"/>
      <c r="T58" s="316">
        <f>SUM(T47:T57)</f>
        <v>11586434.348633498</v>
      </c>
      <c r="U58" s="284">
        <f>U55+(SUM(U47:U47,U56:U57,U48:U49,U50:U54)*10%)</f>
        <v>2707050.0587343331</v>
      </c>
      <c r="V58" s="284">
        <f>O58/U58</f>
        <v>7.7708363699378937</v>
      </c>
      <c r="W58" s="284"/>
      <c r="X58" s="287"/>
      <c r="Y58" s="317">
        <f>SUM(Y47:Y57)</f>
        <v>2300390.5676126452</v>
      </c>
      <c r="Z58" s="288">
        <f t="shared" si="69"/>
        <v>109.35471856393799</v>
      </c>
      <c r="AA58" s="288">
        <f t="shared" si="84"/>
        <v>23.236291048321718</v>
      </c>
      <c r="AB58" s="284">
        <f>AB55+(SUM(AB47:AB54,AB56:AB57)*2%)</f>
        <v>3494320.9899500003</v>
      </c>
      <c r="AC58" s="289">
        <f>U58/AB58</f>
        <v>0.77469988204291096</v>
      </c>
      <c r="AD58" s="261"/>
      <c r="AE58" s="290"/>
      <c r="AF58" s="261">
        <v>0.71765482548306614</v>
      </c>
      <c r="AG58" s="290"/>
      <c r="AH58" s="460"/>
      <c r="AI58" s="459"/>
    </row>
    <row r="59" spans="2:42" ht="18.649999999999999" customHeight="1" x14ac:dyDescent="0.35">
      <c r="B59" s="321" t="s">
        <v>25</v>
      </c>
      <c r="C59" s="293" t="s">
        <v>93</v>
      </c>
      <c r="D59" s="294" t="s">
        <v>94</v>
      </c>
      <c r="E59" s="294" t="s">
        <v>45</v>
      </c>
      <c r="F59" s="295" t="s">
        <v>87</v>
      </c>
      <c r="G59" s="295" t="s">
        <v>50</v>
      </c>
      <c r="H59" s="296" t="s">
        <v>95</v>
      </c>
      <c r="I59" s="296" t="s">
        <v>608</v>
      </c>
      <c r="J59" s="551" t="s">
        <v>96</v>
      </c>
      <c r="K59" s="295" t="s">
        <v>89</v>
      </c>
      <c r="L59" s="298">
        <f t="shared" ref="L59:L67" si="87">N59-(M59-1)</f>
        <v>21</v>
      </c>
      <c r="M59" s="299">
        <v>45460</v>
      </c>
      <c r="N59" s="299">
        <v>45480</v>
      </c>
      <c r="O59" s="298">
        <f t="shared" ref="O59:O68" si="88">U59*V59</f>
        <v>3328559.5322425603</v>
      </c>
      <c r="P59" s="300" t="s">
        <v>17</v>
      </c>
      <c r="Q59" s="301"/>
      <c r="R59" s="298"/>
      <c r="S59" s="302">
        <v>0.85</v>
      </c>
      <c r="T59" s="303">
        <f t="shared" ref="T59:T60" si="89">O59*S59</f>
        <v>2829275.6024061763</v>
      </c>
      <c r="U59" s="298">
        <f>AB59*AC59</f>
        <v>489494.04885919997</v>
      </c>
      <c r="V59" s="298">
        <f>5*136%</f>
        <v>6.8000000000000007</v>
      </c>
      <c r="W59" s="298"/>
      <c r="X59" s="304">
        <v>125</v>
      </c>
      <c r="Y59" s="305">
        <f t="shared" ref="Y59:Y64" si="90">(O59/1000)*X59</f>
        <v>416069.94153032004</v>
      </c>
      <c r="Z59" s="305">
        <f t="shared" si="69"/>
        <v>125</v>
      </c>
      <c r="AA59" s="305"/>
      <c r="AB59" s="306">
        <v>569905</v>
      </c>
      <c r="AC59" s="307">
        <v>0.85890464</v>
      </c>
      <c r="AD59" s="261"/>
      <c r="AE59" s="260"/>
      <c r="AF59" s="261">
        <v>0.70400000000000007</v>
      </c>
      <c r="AG59" s="260"/>
      <c r="AJ59" s="346">
        <f t="shared" si="79"/>
        <v>1109519.8440808535</v>
      </c>
      <c r="AK59" s="346">
        <f t="shared" si="79"/>
        <v>1109519.8440808535</v>
      </c>
      <c r="AL59" s="346">
        <f t="shared" si="79"/>
        <v>1109519.8440808535</v>
      </c>
      <c r="AN59" s="346">
        <f>$R59/$L59*7</f>
        <v>0</v>
      </c>
      <c r="AO59" s="346">
        <f t="shared" ref="AO59:AP67" si="91">$R59/$L59*7</f>
        <v>0</v>
      </c>
      <c r="AP59" s="346">
        <f t="shared" si="91"/>
        <v>0</v>
      </c>
    </row>
    <row r="60" spans="2:42" ht="18.649999999999999" customHeight="1" x14ac:dyDescent="0.35">
      <c r="B60" s="321" t="s">
        <v>25</v>
      </c>
      <c r="C60" s="293" t="s">
        <v>93</v>
      </c>
      <c r="D60" s="295" t="s">
        <v>86</v>
      </c>
      <c r="E60" s="295" t="s">
        <v>45</v>
      </c>
      <c r="F60" s="295" t="s">
        <v>87</v>
      </c>
      <c r="G60" s="296" t="s">
        <v>50</v>
      </c>
      <c r="H60" s="296" t="s">
        <v>95</v>
      </c>
      <c r="I60" s="296" t="s">
        <v>610</v>
      </c>
      <c r="J60" s="551" t="s">
        <v>96</v>
      </c>
      <c r="K60" s="295" t="s">
        <v>89</v>
      </c>
      <c r="L60" s="298">
        <f t="shared" si="87"/>
        <v>21</v>
      </c>
      <c r="M60" s="299">
        <v>45460</v>
      </c>
      <c r="N60" s="299">
        <v>45480</v>
      </c>
      <c r="O60" s="298">
        <f>Y60/X60*1000</f>
        <v>10774324.2906</v>
      </c>
      <c r="P60" s="300" t="s">
        <v>17</v>
      </c>
      <c r="Q60" s="301"/>
      <c r="R60" s="298"/>
      <c r="S60" s="302">
        <v>0.8</v>
      </c>
      <c r="T60" s="303">
        <f t="shared" si="89"/>
        <v>8619459.43248</v>
      </c>
      <c r="U60" s="298">
        <f>O60/V60</f>
        <v>1298111.3603132528</v>
      </c>
      <c r="V60" s="298">
        <v>8.3000000000000007</v>
      </c>
      <c r="W60" s="298"/>
      <c r="X60" s="304">
        <v>110</v>
      </c>
      <c r="Y60" s="305">
        <f>1185175.671966</f>
        <v>1185175.671966</v>
      </c>
      <c r="Z60" s="305">
        <f t="shared" si="69"/>
        <v>110</v>
      </c>
      <c r="AA60" s="305"/>
      <c r="AB60" s="306">
        <v>1443000</v>
      </c>
      <c r="AC60" s="307">
        <f>U60/AB60</f>
        <v>0.8995920722891565</v>
      </c>
      <c r="AF60" s="261">
        <v>0.748</v>
      </c>
      <c r="AJ60" s="346">
        <f t="shared" si="79"/>
        <v>3591441.4302000003</v>
      </c>
      <c r="AK60" s="346">
        <f t="shared" si="79"/>
        <v>3591441.4302000003</v>
      </c>
      <c r="AL60" s="346">
        <f t="shared" si="79"/>
        <v>3591441.4302000003</v>
      </c>
      <c r="AN60" s="346">
        <f t="shared" ref="AN60:AN67" si="92">$R60/$L60*7</f>
        <v>0</v>
      </c>
      <c r="AO60" s="346">
        <f t="shared" si="91"/>
        <v>0</v>
      </c>
      <c r="AP60" s="346">
        <f t="shared" si="91"/>
        <v>0</v>
      </c>
    </row>
    <row r="61" spans="2:42" ht="18.649999999999999" customHeight="1" x14ac:dyDescent="0.35">
      <c r="B61" s="321" t="s">
        <v>25</v>
      </c>
      <c r="C61" s="293" t="s">
        <v>97</v>
      </c>
      <c r="D61" s="264" t="s">
        <v>561</v>
      </c>
      <c r="E61" s="264" t="s">
        <v>45</v>
      </c>
      <c r="F61" s="263" t="s">
        <v>87</v>
      </c>
      <c r="G61" s="263" t="s">
        <v>98</v>
      </c>
      <c r="H61" s="265" t="s">
        <v>90</v>
      </c>
      <c r="I61" s="265" t="s">
        <v>609</v>
      </c>
      <c r="J61" s="552" t="s">
        <v>96</v>
      </c>
      <c r="K61" s="263" t="s">
        <v>89</v>
      </c>
      <c r="L61" s="266">
        <f t="shared" si="87"/>
        <v>21</v>
      </c>
      <c r="M61" s="267">
        <v>45460</v>
      </c>
      <c r="N61" s="267">
        <v>45480</v>
      </c>
      <c r="O61" s="266">
        <f t="shared" si="88"/>
        <v>2880635.3138062498</v>
      </c>
      <c r="P61" s="268" t="s">
        <v>17</v>
      </c>
      <c r="Q61" s="269">
        <v>1E-3</v>
      </c>
      <c r="R61" s="266">
        <f t="shared" ref="R61:R62" si="93">O61*Q61</f>
        <v>2880.63531380625</v>
      </c>
      <c r="S61" s="270">
        <v>0.7</v>
      </c>
      <c r="T61" s="271">
        <f>O61*S61</f>
        <v>2016444.7196643746</v>
      </c>
      <c r="U61" s="266">
        <f t="shared" ref="U61" si="94">AB61*AC61</f>
        <v>1646077.3221749999</v>
      </c>
      <c r="V61" s="266">
        <v>1.75</v>
      </c>
      <c r="W61" s="266"/>
      <c r="X61" s="272">
        <v>70</v>
      </c>
      <c r="Y61" s="273">
        <f t="shared" si="90"/>
        <v>201644.47196643747</v>
      </c>
      <c r="Z61" s="273">
        <f t="shared" si="69"/>
        <v>69.999999999999986</v>
      </c>
      <c r="AA61" s="273">
        <f t="shared" ref="AA61:AA68" si="95">Y61/R61</f>
        <v>69.999999999999986</v>
      </c>
      <c r="AB61" s="274">
        <f>3174600*85%</f>
        <v>2698410</v>
      </c>
      <c r="AC61" s="275">
        <v>0.61001749999999999</v>
      </c>
      <c r="AE61" s="260"/>
      <c r="AF61" s="261">
        <v>0.66</v>
      </c>
      <c r="AG61" s="260"/>
      <c r="AJ61" s="346">
        <f t="shared" si="79"/>
        <v>960211.77126874996</v>
      </c>
      <c r="AK61" s="346">
        <f t="shared" si="79"/>
        <v>960211.77126874996</v>
      </c>
      <c r="AL61" s="346">
        <f t="shared" si="79"/>
        <v>960211.77126874996</v>
      </c>
      <c r="AN61" s="346">
        <f t="shared" si="92"/>
        <v>960.21177126875</v>
      </c>
      <c r="AO61" s="346">
        <f t="shared" si="91"/>
        <v>960.21177126875</v>
      </c>
      <c r="AP61" s="346">
        <f t="shared" si="91"/>
        <v>960.21177126875</v>
      </c>
    </row>
    <row r="62" spans="2:42" ht="18.649999999999999" customHeight="1" x14ac:dyDescent="0.35">
      <c r="B62" s="321" t="s">
        <v>25</v>
      </c>
      <c r="C62" s="293" t="s">
        <v>97</v>
      </c>
      <c r="D62" s="264" t="s">
        <v>86</v>
      </c>
      <c r="E62" s="264" t="s">
        <v>45</v>
      </c>
      <c r="F62" s="263" t="s">
        <v>87</v>
      </c>
      <c r="G62" s="263" t="s">
        <v>98</v>
      </c>
      <c r="H62" s="265" t="s">
        <v>90</v>
      </c>
      <c r="I62" s="265" t="s">
        <v>610</v>
      </c>
      <c r="J62" s="552" t="s">
        <v>96</v>
      </c>
      <c r="K62" s="263" t="s">
        <v>89</v>
      </c>
      <c r="L62" s="266">
        <f t="shared" si="87"/>
        <v>21</v>
      </c>
      <c r="M62" s="267">
        <v>45460</v>
      </c>
      <c r="N62" s="267">
        <v>45480</v>
      </c>
      <c r="O62" s="266">
        <f>Y62/X62*1000</f>
        <v>4255948.1250000009</v>
      </c>
      <c r="P62" s="268" t="s">
        <v>17</v>
      </c>
      <c r="Q62" s="269">
        <v>1E-3</v>
      </c>
      <c r="R62" s="266">
        <f t="shared" si="93"/>
        <v>4255.9481250000008</v>
      </c>
      <c r="S62" s="270">
        <v>0.8</v>
      </c>
      <c r="T62" s="271">
        <f>O62*S62</f>
        <v>3404758.5000000009</v>
      </c>
      <c r="U62" s="266">
        <f>O62/V62</f>
        <v>2086249.0808823535</v>
      </c>
      <c r="V62" s="266">
        <f>1.5*136%</f>
        <v>2.04</v>
      </c>
      <c r="W62" s="266"/>
      <c r="X62" s="272">
        <v>80</v>
      </c>
      <c r="Y62" s="273">
        <v>340475.85000000003</v>
      </c>
      <c r="Z62" s="273">
        <f t="shared" si="69"/>
        <v>79.999999999999986</v>
      </c>
      <c r="AA62" s="273">
        <f t="shared" si="95"/>
        <v>80</v>
      </c>
      <c r="AB62" s="274">
        <v>3174600</v>
      </c>
      <c r="AC62" s="275">
        <f>U62/AB62</f>
        <v>0.65716911764705899</v>
      </c>
      <c r="AE62" s="260"/>
      <c r="AF62" s="261">
        <v>0.66</v>
      </c>
      <c r="AG62" s="260"/>
      <c r="AH62" s="569"/>
      <c r="AI62" s="459"/>
      <c r="AJ62" s="346">
        <f t="shared" si="79"/>
        <v>1418649.3750000005</v>
      </c>
      <c r="AK62" s="346">
        <f t="shared" si="79"/>
        <v>1418649.3750000005</v>
      </c>
      <c r="AL62" s="346">
        <f t="shared" si="79"/>
        <v>1418649.3750000005</v>
      </c>
      <c r="AN62" s="346">
        <f t="shared" si="92"/>
        <v>1418.6493750000004</v>
      </c>
      <c r="AO62" s="346">
        <f t="shared" si="91"/>
        <v>1418.6493750000004</v>
      </c>
      <c r="AP62" s="346">
        <f t="shared" si="91"/>
        <v>1418.6493750000004</v>
      </c>
    </row>
    <row r="63" spans="2:42" ht="18.649999999999999" customHeight="1" x14ac:dyDescent="0.35">
      <c r="B63" s="321" t="s">
        <v>25</v>
      </c>
      <c r="C63" s="293" t="s">
        <v>97</v>
      </c>
      <c r="D63" s="263" t="s">
        <v>99</v>
      </c>
      <c r="E63" s="263" t="s">
        <v>46</v>
      </c>
      <c r="F63" s="263" t="s">
        <v>100</v>
      </c>
      <c r="G63" s="263" t="s">
        <v>101</v>
      </c>
      <c r="H63" s="265" t="s">
        <v>88</v>
      </c>
      <c r="I63" s="265" t="s">
        <v>102</v>
      </c>
      <c r="J63" s="553" t="s">
        <v>96</v>
      </c>
      <c r="K63" s="263" t="s">
        <v>89</v>
      </c>
      <c r="L63" s="266">
        <f t="shared" si="87"/>
        <v>21</v>
      </c>
      <c r="M63" s="267">
        <v>45460</v>
      </c>
      <c r="N63" s="267">
        <v>45480</v>
      </c>
      <c r="O63" s="266">
        <f t="shared" si="88"/>
        <v>1651344.76960596</v>
      </c>
      <c r="P63" s="268" t="s">
        <v>17</v>
      </c>
      <c r="Q63" s="269">
        <v>1.4999999999999999E-2</v>
      </c>
      <c r="R63" s="266">
        <f>O63*Q63</f>
        <v>24770.1715440894</v>
      </c>
      <c r="S63" s="268" t="s">
        <v>17</v>
      </c>
      <c r="T63" s="271" t="s">
        <v>17</v>
      </c>
      <c r="U63" s="266">
        <f>AB63*AC63</f>
        <v>825672.38480298</v>
      </c>
      <c r="V63" s="266">
        <v>2</v>
      </c>
      <c r="W63" s="266"/>
      <c r="X63" s="272">
        <v>105</v>
      </c>
      <c r="Y63" s="273">
        <f t="shared" si="90"/>
        <v>173391.20080862578</v>
      </c>
      <c r="Z63" s="273">
        <f t="shared" si="69"/>
        <v>105</v>
      </c>
      <c r="AA63" s="273">
        <f t="shared" si="95"/>
        <v>6.9999999999999991</v>
      </c>
      <c r="AB63" s="274">
        <f>AB61*95%</f>
        <v>2563489.5</v>
      </c>
      <c r="AC63" s="275">
        <v>0.32208924</v>
      </c>
      <c r="AE63" s="260"/>
      <c r="AF63" s="261">
        <v>0.26400000000000001</v>
      </c>
      <c r="AG63" s="260"/>
      <c r="AI63" s="459"/>
      <c r="AJ63" s="346">
        <f t="shared" ref="AJ63:AL68" si="96">$O63/$L63*7</f>
        <v>550448.25653531996</v>
      </c>
      <c r="AK63" s="346">
        <f t="shared" si="96"/>
        <v>550448.25653531996</v>
      </c>
      <c r="AL63" s="346">
        <f t="shared" si="96"/>
        <v>550448.25653531996</v>
      </c>
      <c r="AN63" s="346">
        <f t="shared" si="92"/>
        <v>8256.7238480298001</v>
      </c>
      <c r="AO63" s="346">
        <f t="shared" si="91"/>
        <v>8256.7238480298001</v>
      </c>
      <c r="AP63" s="346">
        <f t="shared" si="91"/>
        <v>8256.7238480298001</v>
      </c>
    </row>
    <row r="64" spans="2:42" ht="18.649999999999999" customHeight="1" x14ac:dyDescent="0.35">
      <c r="B64" s="321" t="str">
        <f>B63</f>
        <v>Chennai</v>
      </c>
      <c r="C64" s="293" t="s">
        <v>97</v>
      </c>
      <c r="D64" s="310" t="s">
        <v>103</v>
      </c>
      <c r="E64" s="263" t="s">
        <v>46</v>
      </c>
      <c r="F64" s="310" t="s">
        <v>100</v>
      </c>
      <c r="G64" s="263" t="s">
        <v>98</v>
      </c>
      <c r="H64" s="265" t="s">
        <v>88</v>
      </c>
      <c r="I64" s="265" t="s">
        <v>104</v>
      </c>
      <c r="J64" s="553" t="s">
        <v>96</v>
      </c>
      <c r="K64" s="263" t="s">
        <v>105</v>
      </c>
      <c r="L64" s="266">
        <f t="shared" si="87"/>
        <v>21</v>
      </c>
      <c r="M64" s="267">
        <v>45460</v>
      </c>
      <c r="N64" s="267">
        <v>45480</v>
      </c>
      <c r="O64" s="266">
        <f t="shared" si="88"/>
        <v>1804924.7567427999</v>
      </c>
      <c r="P64" s="268" t="s">
        <v>17</v>
      </c>
      <c r="Q64" s="269">
        <v>1.4999999999999999E-2</v>
      </c>
      <c r="R64" s="266">
        <f>O64*Q64</f>
        <v>27073.871351141996</v>
      </c>
      <c r="S64" s="268" t="s">
        <v>17</v>
      </c>
      <c r="T64" s="271" t="s">
        <v>17</v>
      </c>
      <c r="U64" s="266">
        <f>AB64*AC64</f>
        <v>902462.37837139994</v>
      </c>
      <c r="V64" s="266">
        <v>2</v>
      </c>
      <c r="W64" s="266"/>
      <c r="X64" s="272">
        <v>120</v>
      </c>
      <c r="Y64" s="273">
        <f t="shared" si="90"/>
        <v>216590.97080913599</v>
      </c>
      <c r="Z64" s="273">
        <f t="shared" si="69"/>
        <v>120.00000000000001</v>
      </c>
      <c r="AA64" s="273">
        <f t="shared" si="95"/>
        <v>8.0000000000000018</v>
      </c>
      <c r="AB64" s="274">
        <v>1681141</v>
      </c>
      <c r="AC64" s="275">
        <v>0.53681539999999994</v>
      </c>
      <c r="AE64" s="260"/>
      <c r="AF64" s="261">
        <v>0.44</v>
      </c>
      <c r="AG64" s="260"/>
      <c r="AH64" s="320"/>
      <c r="AJ64" s="346">
        <f t="shared" si="96"/>
        <v>601641.58558093326</v>
      </c>
      <c r="AK64" s="346">
        <f t="shared" si="96"/>
        <v>601641.58558093326</v>
      </c>
      <c r="AL64" s="346">
        <f t="shared" si="96"/>
        <v>601641.58558093326</v>
      </c>
      <c r="AN64" s="346">
        <f t="shared" si="92"/>
        <v>9024.6237837139979</v>
      </c>
      <c r="AO64" s="346">
        <f t="shared" si="91"/>
        <v>9024.6237837139979</v>
      </c>
      <c r="AP64" s="346">
        <f t="shared" si="91"/>
        <v>9024.6237837139979</v>
      </c>
    </row>
    <row r="65" spans="2:42" ht="16.5" customHeight="1" x14ac:dyDescent="0.35">
      <c r="B65" s="321" t="str">
        <f>B64</f>
        <v>Chennai</v>
      </c>
      <c r="C65" s="293" t="s">
        <v>97</v>
      </c>
      <c r="D65" s="310" t="s">
        <v>106</v>
      </c>
      <c r="E65" s="311" t="s">
        <v>46</v>
      </c>
      <c r="F65" s="311" t="s">
        <v>91</v>
      </c>
      <c r="G65" s="263" t="s">
        <v>98</v>
      </c>
      <c r="H65" s="310" t="s">
        <v>88</v>
      </c>
      <c r="I65" s="263" t="s">
        <v>107</v>
      </c>
      <c r="J65" s="553" t="s">
        <v>96</v>
      </c>
      <c r="K65" s="263" t="s">
        <v>89</v>
      </c>
      <c r="L65" s="266">
        <f t="shared" si="87"/>
        <v>21</v>
      </c>
      <c r="M65" s="267">
        <v>45460</v>
      </c>
      <c r="N65" s="267">
        <v>45480</v>
      </c>
      <c r="O65" s="266">
        <f t="shared" si="88"/>
        <v>650280.26739825611</v>
      </c>
      <c r="P65" s="268" t="s">
        <v>17</v>
      </c>
      <c r="Q65" s="312">
        <v>0.01</v>
      </c>
      <c r="R65" s="266">
        <f t="shared" ref="R65:R66" si="97">O65*Q65</f>
        <v>6502.8026739825609</v>
      </c>
      <c r="S65" s="268" t="s">
        <v>17</v>
      </c>
      <c r="T65" s="271" t="s">
        <v>17</v>
      </c>
      <c r="U65" s="266">
        <f t="shared" ref="U65" si="98">AB65*AC65</f>
        <v>325140.13369912806</v>
      </c>
      <c r="V65" s="266">
        <v>2</v>
      </c>
      <c r="W65" s="266"/>
      <c r="X65" s="272">
        <v>200</v>
      </c>
      <c r="Y65" s="273">
        <f>O65*X65/1000</f>
        <v>130056.05347965122</v>
      </c>
      <c r="Z65" s="273">
        <f t="shared" si="69"/>
        <v>200</v>
      </c>
      <c r="AA65" s="273">
        <f t="shared" si="95"/>
        <v>20</v>
      </c>
      <c r="AB65" s="274">
        <v>1376553</v>
      </c>
      <c r="AC65" s="275">
        <v>0.23619877600000003</v>
      </c>
      <c r="AE65" s="260"/>
      <c r="AF65" s="261">
        <v>0.17600000000000002</v>
      </c>
      <c r="AG65" s="260"/>
      <c r="AH65" s="562"/>
      <c r="AJ65" s="346">
        <f t="shared" si="96"/>
        <v>216760.08913275204</v>
      </c>
      <c r="AK65" s="346">
        <f t="shared" si="96"/>
        <v>216760.08913275204</v>
      </c>
      <c r="AL65" s="346">
        <f t="shared" si="96"/>
        <v>216760.08913275204</v>
      </c>
      <c r="AN65" s="346">
        <f t="shared" si="92"/>
        <v>2167.6008913275205</v>
      </c>
      <c r="AO65" s="346">
        <f t="shared" si="91"/>
        <v>2167.6008913275205</v>
      </c>
      <c r="AP65" s="346">
        <f t="shared" si="91"/>
        <v>2167.6008913275205</v>
      </c>
    </row>
    <row r="66" spans="2:42" ht="18.649999999999999" customHeight="1" x14ac:dyDescent="0.35">
      <c r="B66" s="321" t="str">
        <f>B65</f>
        <v>Chennai</v>
      </c>
      <c r="C66" s="293" t="s">
        <v>97</v>
      </c>
      <c r="D66" s="310" t="s">
        <v>588</v>
      </c>
      <c r="E66" s="263" t="s">
        <v>46</v>
      </c>
      <c r="F66" s="310" t="s">
        <v>589</v>
      </c>
      <c r="G66" s="263" t="s">
        <v>98</v>
      </c>
      <c r="H66" s="265" t="s">
        <v>88</v>
      </c>
      <c r="I66" s="265" t="s">
        <v>590</v>
      </c>
      <c r="J66" s="553" t="s">
        <v>591</v>
      </c>
      <c r="K66" s="263" t="s">
        <v>592</v>
      </c>
      <c r="L66" s="266">
        <f t="shared" si="87"/>
        <v>21</v>
      </c>
      <c r="M66" s="267">
        <v>45460</v>
      </c>
      <c r="N66" s="267">
        <v>45480</v>
      </c>
      <c r="O66" s="266">
        <f>U66*3</f>
        <v>215845.77000000002</v>
      </c>
      <c r="P66" s="268" t="s">
        <v>17</v>
      </c>
      <c r="Q66" s="269">
        <v>1.4999999999999999E-2</v>
      </c>
      <c r="R66" s="266">
        <f t="shared" si="97"/>
        <v>3237.6865500000004</v>
      </c>
      <c r="S66" s="268" t="s">
        <v>17</v>
      </c>
      <c r="T66" s="271" t="s">
        <v>17</v>
      </c>
      <c r="U66" s="266">
        <f>AB66*AC66</f>
        <v>71948.590000000011</v>
      </c>
      <c r="V66" s="266">
        <f>O66/U66</f>
        <v>3</v>
      </c>
      <c r="W66" s="266"/>
      <c r="X66" s="272">
        <v>2</v>
      </c>
      <c r="Y66" s="273">
        <f>O66/3*X66</f>
        <v>143897.18000000002</v>
      </c>
      <c r="Z66" s="273">
        <f t="shared" si="69"/>
        <v>666.66666666666674</v>
      </c>
      <c r="AA66" s="273">
        <f t="shared" si="95"/>
        <v>44.44444444444445</v>
      </c>
      <c r="AB66" s="274">
        <v>1027837</v>
      </c>
      <c r="AC66" s="275">
        <v>7.0000000000000007E-2</v>
      </c>
      <c r="AE66" s="260"/>
      <c r="AF66" s="261">
        <v>0.26400000000000001</v>
      </c>
      <c r="AG66" s="260"/>
      <c r="AJ66" s="346">
        <f t="shared" si="96"/>
        <v>71948.590000000011</v>
      </c>
      <c r="AK66" s="346">
        <f t="shared" si="96"/>
        <v>71948.590000000011</v>
      </c>
      <c r="AL66" s="346">
        <f t="shared" si="96"/>
        <v>71948.590000000011</v>
      </c>
      <c r="AN66" s="346">
        <f t="shared" si="92"/>
        <v>1079.2288500000002</v>
      </c>
      <c r="AO66" s="346">
        <f t="shared" si="91"/>
        <v>1079.2288500000002</v>
      </c>
      <c r="AP66" s="346">
        <f t="shared" si="91"/>
        <v>1079.2288500000002</v>
      </c>
    </row>
    <row r="67" spans="2:42" ht="18.649999999999999" customHeight="1" x14ac:dyDescent="0.35">
      <c r="B67" s="321" t="str">
        <f>B66</f>
        <v>Chennai</v>
      </c>
      <c r="C67" s="293" t="s">
        <v>97</v>
      </c>
      <c r="D67" s="310" t="s">
        <v>109</v>
      </c>
      <c r="E67" s="263" t="s">
        <v>46</v>
      </c>
      <c r="F67" s="310" t="s">
        <v>100</v>
      </c>
      <c r="G67" s="263" t="s">
        <v>98</v>
      </c>
      <c r="H67" s="265" t="s">
        <v>88</v>
      </c>
      <c r="I67" s="265" t="s">
        <v>110</v>
      </c>
      <c r="J67" s="553" t="s">
        <v>96</v>
      </c>
      <c r="K67" s="263" t="s">
        <v>111</v>
      </c>
      <c r="L67" s="266">
        <f t="shared" si="87"/>
        <v>21</v>
      </c>
      <c r="M67" s="267">
        <v>45460</v>
      </c>
      <c r="N67" s="267">
        <v>45480</v>
      </c>
      <c r="O67" s="266">
        <f t="shared" si="88"/>
        <v>578407.85719199991</v>
      </c>
      <c r="P67" s="268" t="s">
        <v>17</v>
      </c>
      <c r="Q67" s="269">
        <v>0.02</v>
      </c>
      <c r="R67" s="266">
        <f>O67*Q67</f>
        <v>11568.157143839999</v>
      </c>
      <c r="S67" s="268" t="s">
        <v>17</v>
      </c>
      <c r="T67" s="271" t="s">
        <v>17</v>
      </c>
      <c r="U67" s="266">
        <f>AB67*AC67</f>
        <v>578407.85719199991</v>
      </c>
      <c r="V67" s="266">
        <v>1</v>
      </c>
      <c r="W67" s="266"/>
      <c r="X67" s="272">
        <v>4.5</v>
      </c>
      <c r="Y67" s="273">
        <f>R67*X67</f>
        <v>52056.707147279994</v>
      </c>
      <c r="Z67" s="273">
        <f t="shared" si="69"/>
        <v>90.000000000000014</v>
      </c>
      <c r="AA67" s="273">
        <f t="shared" si="95"/>
        <v>4.5</v>
      </c>
      <c r="AB67" s="274">
        <v>897899.99999999988</v>
      </c>
      <c r="AC67" s="275">
        <v>0.64417848</v>
      </c>
      <c r="AE67" s="260"/>
      <c r="AF67" s="261">
        <v>0.52800000000000002</v>
      </c>
      <c r="AG67" s="260"/>
      <c r="AJ67" s="346">
        <f t="shared" si="96"/>
        <v>192802.61906399997</v>
      </c>
      <c r="AK67" s="346">
        <f t="shared" si="96"/>
        <v>192802.61906399997</v>
      </c>
      <c r="AL67" s="346">
        <f t="shared" si="96"/>
        <v>192802.61906399997</v>
      </c>
      <c r="AN67" s="346">
        <f t="shared" si="92"/>
        <v>3856.0523812799993</v>
      </c>
      <c r="AO67" s="346">
        <f t="shared" si="91"/>
        <v>3856.0523812799993</v>
      </c>
      <c r="AP67" s="346">
        <f t="shared" si="91"/>
        <v>3856.0523812799993</v>
      </c>
    </row>
    <row r="68" spans="2:42" ht="18.649999999999999" customHeight="1" x14ac:dyDescent="0.35">
      <c r="B68" s="321" t="s">
        <v>25</v>
      </c>
      <c r="C68" s="293" t="s">
        <v>97</v>
      </c>
      <c r="D68" s="310" t="s">
        <v>600</v>
      </c>
      <c r="E68" s="314" t="s">
        <v>46</v>
      </c>
      <c r="F68" s="311" t="s">
        <v>565</v>
      </c>
      <c r="G68" s="263" t="s">
        <v>101</v>
      </c>
      <c r="H68" s="265" t="s">
        <v>88</v>
      </c>
      <c r="I68" s="265" t="s">
        <v>527</v>
      </c>
      <c r="J68" s="552" t="s">
        <v>566</v>
      </c>
      <c r="K68" s="263" t="s">
        <v>89</v>
      </c>
      <c r="L68" s="266">
        <f t="shared" ref="L68" si="99">N68-M68+1</f>
        <v>13</v>
      </c>
      <c r="M68" s="267">
        <v>45460</v>
      </c>
      <c r="N68" s="267">
        <v>45472</v>
      </c>
      <c r="O68" s="266">
        <f t="shared" si="88"/>
        <v>478691.04000000004</v>
      </c>
      <c r="P68" s="268" t="s">
        <v>17</v>
      </c>
      <c r="Q68" s="315">
        <v>5.0000000000000001E-3</v>
      </c>
      <c r="R68" s="266">
        <f t="shared" ref="R68" si="100">O68*Q68</f>
        <v>2393.4552000000003</v>
      </c>
      <c r="S68" s="268" t="s">
        <v>17</v>
      </c>
      <c r="T68" s="271" t="s">
        <v>17</v>
      </c>
      <c r="U68" s="266">
        <f t="shared" ref="U68" si="101">AB68*AC68</f>
        <v>239345.52000000002</v>
      </c>
      <c r="V68" s="266">
        <v>2</v>
      </c>
      <c r="W68" s="266"/>
      <c r="X68" s="272">
        <v>105</v>
      </c>
      <c r="Y68" s="273">
        <f t="shared" ref="Y68" si="102">O68/1000*X68</f>
        <v>50262.559200000003</v>
      </c>
      <c r="Z68" s="273">
        <f t="shared" si="69"/>
        <v>105</v>
      </c>
      <c r="AA68" s="273">
        <f t="shared" si="95"/>
        <v>21</v>
      </c>
      <c r="AB68" s="274">
        <v>598363.80000000005</v>
      </c>
      <c r="AC68" s="275">
        <v>0.4</v>
      </c>
      <c r="AE68" s="260"/>
      <c r="AF68" s="261">
        <v>0.41878320671681585</v>
      </c>
      <c r="AG68" s="260"/>
      <c r="AJ68" s="346">
        <f t="shared" si="96"/>
        <v>257756.71384615387</v>
      </c>
      <c r="AK68" s="346">
        <f>$O68/$L68*6</f>
        <v>220934.32615384617</v>
      </c>
      <c r="AL68" s="346"/>
      <c r="AN68" s="346">
        <f>$R68/$L68*7</f>
        <v>1288.7835692307694</v>
      </c>
      <c r="AO68" s="346">
        <f>$R68/$L68*6</f>
        <v>1104.6716307692309</v>
      </c>
      <c r="AP68" s="346"/>
    </row>
    <row r="69" spans="2:42" ht="18.649999999999999" customHeight="1" x14ac:dyDescent="0.35">
      <c r="B69" s="321" t="s">
        <v>25</v>
      </c>
      <c r="C69" s="293" t="s">
        <v>97</v>
      </c>
      <c r="D69" s="311" t="s">
        <v>116</v>
      </c>
      <c r="E69" s="263" t="s">
        <v>46</v>
      </c>
      <c r="F69" s="311" t="s">
        <v>114</v>
      </c>
      <c r="G69" s="263" t="s">
        <v>98</v>
      </c>
      <c r="H69" s="265" t="s">
        <v>88</v>
      </c>
      <c r="I69" s="265" t="s">
        <v>115</v>
      </c>
      <c r="J69" s="552" t="s">
        <v>96</v>
      </c>
      <c r="K69" s="263" t="s">
        <v>105</v>
      </c>
      <c r="L69" s="266">
        <f>N69-M69+1</f>
        <v>6</v>
      </c>
      <c r="M69" s="267">
        <v>45471</v>
      </c>
      <c r="N69" s="267">
        <v>45476</v>
      </c>
      <c r="O69" s="266">
        <f>361607/14*6</f>
        <v>154974.42857142858</v>
      </c>
      <c r="P69" s="268" t="s">
        <v>17</v>
      </c>
      <c r="Q69" s="315">
        <v>0.01</v>
      </c>
      <c r="R69" s="266">
        <f>O69*Q69</f>
        <v>1549.7442857142858</v>
      </c>
      <c r="S69" s="268" t="s">
        <v>17</v>
      </c>
      <c r="T69" s="271" t="s">
        <v>17</v>
      </c>
      <c r="U69" s="266">
        <f>O69/V69</f>
        <v>61989.771428571432</v>
      </c>
      <c r="V69" s="266">
        <v>2.5</v>
      </c>
      <c r="W69" s="266"/>
      <c r="X69" s="272">
        <v>260</v>
      </c>
      <c r="Y69" s="273">
        <f>(O69/1000)*X69</f>
        <v>40293.351428571426</v>
      </c>
      <c r="Z69" s="273">
        <f t="shared" si="69"/>
        <v>259.99999999999994</v>
      </c>
      <c r="AA69" s="273">
        <f>Y69/R69</f>
        <v>25.999999999999996</v>
      </c>
      <c r="AB69" s="274">
        <v>168750</v>
      </c>
      <c r="AC69" s="275">
        <f>U69/AB69</f>
        <v>0.36734679365079365</v>
      </c>
      <c r="AE69" s="260"/>
      <c r="AF69" s="261">
        <v>0.3771427081481481</v>
      </c>
      <c r="AG69" s="260"/>
      <c r="AJ69" s="346"/>
      <c r="AK69" s="346">
        <f>$O69/$L69*3</f>
        <v>77487.21428571429</v>
      </c>
      <c r="AL69" s="346">
        <f>$O69/$L69*3</f>
        <v>77487.21428571429</v>
      </c>
      <c r="AN69" s="346"/>
      <c r="AO69" s="346">
        <f>$R69/$L69*3</f>
        <v>774.87214285714276</v>
      </c>
      <c r="AP69" s="346">
        <f>$R69/$L69*3</f>
        <v>774.87214285714276</v>
      </c>
    </row>
    <row r="70" spans="2:42" ht="18.649999999999999" customHeight="1" x14ac:dyDescent="0.35">
      <c r="B70" s="277" t="str">
        <f>B69</f>
        <v>Chennai</v>
      </c>
      <c r="C70" s="278"/>
      <c r="D70" s="279" t="s">
        <v>18</v>
      </c>
      <c r="E70" s="280"/>
      <c r="F70" s="279"/>
      <c r="G70" s="280"/>
      <c r="H70" s="280"/>
      <c r="I70" s="281"/>
      <c r="J70" s="546"/>
      <c r="K70" s="283"/>
      <c r="L70" s="284"/>
      <c r="M70" s="284"/>
      <c r="N70" s="284"/>
      <c r="O70" s="284">
        <f>SUM(O59:O69)</f>
        <v>26773936.151159257</v>
      </c>
      <c r="P70" s="284"/>
      <c r="Q70" s="285">
        <f>R70/O70</f>
        <v>3.146062338836473E-3</v>
      </c>
      <c r="R70" s="284">
        <f>SUM(R59:R69)</f>
        <v>84232.472187574487</v>
      </c>
      <c r="S70" s="286"/>
      <c r="T70" s="316">
        <f>SUM(T59:T69)</f>
        <v>16869938.25455055</v>
      </c>
      <c r="U70" s="284">
        <f>U62+(SUM(U59:U59,U63:U69,U60:U61)*8%)</f>
        <v>2601341.030229676</v>
      </c>
      <c r="V70" s="284">
        <f>O70/U70</f>
        <v>10.292359148617798</v>
      </c>
      <c r="W70" s="284"/>
      <c r="X70" s="287"/>
      <c r="Y70" s="317">
        <f>SUM(Y59:Y69)</f>
        <v>2949913.9583360222</v>
      </c>
      <c r="Z70" s="288">
        <f t="shared" si="69"/>
        <v>110.17856850339493</v>
      </c>
      <c r="AA70" s="288">
        <f>Y70/R70</f>
        <v>35.021101503075407</v>
      </c>
      <c r="AB70" s="284">
        <f>AB62+(SUM(AB59:AB61,AB63:AB69)*2%)</f>
        <v>3435106.986</v>
      </c>
      <c r="AC70" s="289">
        <f>U70/AB70</f>
        <v>0.75728093501355531</v>
      </c>
      <c r="AD70" s="261"/>
      <c r="AE70" s="290"/>
      <c r="AF70" s="261">
        <v>0.7495176177392302</v>
      </c>
      <c r="AG70" s="290"/>
      <c r="AH70" s="460"/>
      <c r="AI70" s="459"/>
    </row>
    <row r="71" spans="2:42" ht="18.649999999999999" customHeight="1" x14ac:dyDescent="0.35">
      <c r="B71" s="321" t="s">
        <v>121</v>
      </c>
      <c r="C71" s="293" t="s">
        <v>93</v>
      </c>
      <c r="D71" s="294" t="s">
        <v>94</v>
      </c>
      <c r="E71" s="294" t="s">
        <v>45</v>
      </c>
      <c r="F71" s="295" t="s">
        <v>87</v>
      </c>
      <c r="G71" s="295" t="s">
        <v>50</v>
      </c>
      <c r="H71" s="296" t="s">
        <v>95</v>
      </c>
      <c r="I71" s="296" t="s">
        <v>608</v>
      </c>
      <c r="J71" s="551" t="s">
        <v>96</v>
      </c>
      <c r="K71" s="295" t="s">
        <v>89</v>
      </c>
      <c r="L71" s="298">
        <f t="shared" ref="L71:L79" si="103">N71-(M71-1)</f>
        <v>21</v>
      </c>
      <c r="M71" s="299">
        <v>45460</v>
      </c>
      <c r="N71" s="299">
        <v>45480</v>
      </c>
      <c r="O71" s="298">
        <f t="shared" ref="O71:O73" si="104">U71*V71</f>
        <v>5607863.9781683208</v>
      </c>
      <c r="P71" s="300" t="s">
        <v>17</v>
      </c>
      <c r="Q71" s="301"/>
      <c r="R71" s="298"/>
      <c r="S71" s="302">
        <v>0.85</v>
      </c>
      <c r="T71" s="303">
        <f t="shared" ref="T71:T72" si="105">O71*S71</f>
        <v>4766684.381443073</v>
      </c>
      <c r="U71" s="298">
        <f>AB71*AC71</f>
        <v>824685.87914239999</v>
      </c>
      <c r="V71" s="298">
        <f>5*136%</f>
        <v>6.8000000000000007</v>
      </c>
      <c r="W71" s="298"/>
      <c r="X71" s="304">
        <v>125</v>
      </c>
      <c r="Y71" s="305">
        <f t="shared" ref="Y71:Y76" si="106">(O71/1000)*X71</f>
        <v>700982.99727104011</v>
      </c>
      <c r="Z71" s="305">
        <f t="shared" si="69"/>
        <v>125</v>
      </c>
      <c r="AA71" s="305"/>
      <c r="AB71" s="306">
        <v>960160</v>
      </c>
      <c r="AC71" s="307">
        <v>0.85890464</v>
      </c>
      <c r="AD71" s="261"/>
      <c r="AE71" s="260"/>
      <c r="AF71" s="261">
        <v>0.70400000000000007</v>
      </c>
      <c r="AG71" s="260"/>
      <c r="AJ71" s="346">
        <f t="shared" ref="AJ71:AL86" si="107">$O71/$L71*7</f>
        <v>1869287.9927227739</v>
      </c>
      <c r="AK71" s="346">
        <f t="shared" si="107"/>
        <v>1869287.9927227739</v>
      </c>
      <c r="AL71" s="346">
        <f t="shared" si="107"/>
        <v>1869287.9927227739</v>
      </c>
      <c r="AN71" s="346">
        <f>$R71/$L71*7</f>
        <v>0</v>
      </c>
      <c r="AO71" s="346">
        <f t="shared" ref="AO71:AP79" si="108">$R71/$L71*7</f>
        <v>0</v>
      </c>
      <c r="AP71" s="346">
        <f t="shared" si="108"/>
        <v>0</v>
      </c>
    </row>
    <row r="72" spans="2:42" ht="18.649999999999999" customHeight="1" x14ac:dyDescent="0.35">
      <c r="B72" s="321" t="s">
        <v>121</v>
      </c>
      <c r="C72" s="293" t="s">
        <v>93</v>
      </c>
      <c r="D72" s="295" t="s">
        <v>86</v>
      </c>
      <c r="E72" s="295" t="s">
        <v>45</v>
      </c>
      <c r="F72" s="295" t="s">
        <v>87</v>
      </c>
      <c r="G72" s="296" t="s">
        <v>50</v>
      </c>
      <c r="H72" s="296" t="s">
        <v>95</v>
      </c>
      <c r="I72" s="296" t="s">
        <v>610</v>
      </c>
      <c r="J72" s="551" t="s">
        <v>96</v>
      </c>
      <c r="K72" s="295" t="s">
        <v>89</v>
      </c>
      <c r="L72" s="298">
        <f t="shared" si="103"/>
        <v>21</v>
      </c>
      <c r="M72" s="299">
        <v>45460</v>
      </c>
      <c r="N72" s="299">
        <v>45480</v>
      </c>
      <c r="O72" s="298">
        <f>Y72/X72*1000</f>
        <v>87064992.475322455</v>
      </c>
      <c r="P72" s="300" t="s">
        <v>17</v>
      </c>
      <c r="Q72" s="301"/>
      <c r="R72" s="298"/>
      <c r="S72" s="302">
        <v>0.8</v>
      </c>
      <c r="T72" s="303">
        <f t="shared" si="105"/>
        <v>69651993.980257973</v>
      </c>
      <c r="U72" s="298">
        <f>O72/V72</f>
        <v>10489758.129556922</v>
      </c>
      <c r="V72" s="298">
        <v>8.3000000000000007</v>
      </c>
      <c r="W72" s="298"/>
      <c r="X72" s="304">
        <v>110</v>
      </c>
      <c r="Y72" s="305">
        <f>9577149.17228547</f>
        <v>9577149.1722854692</v>
      </c>
      <c r="Z72" s="305">
        <f t="shared" si="69"/>
        <v>109.99999999999999</v>
      </c>
      <c r="AA72" s="305"/>
      <c r="AB72" s="306">
        <v>11660572</v>
      </c>
      <c r="AC72" s="307">
        <f>U72/AB72</f>
        <v>0.89959207228915716</v>
      </c>
      <c r="AF72" s="261">
        <v>0.748</v>
      </c>
      <c r="AJ72" s="346">
        <f t="shared" si="107"/>
        <v>29021664.158440821</v>
      </c>
      <c r="AK72" s="346">
        <f t="shared" si="107"/>
        <v>29021664.158440821</v>
      </c>
      <c r="AL72" s="346">
        <f t="shared" si="107"/>
        <v>29021664.158440821</v>
      </c>
      <c r="AN72" s="346">
        <f t="shared" ref="AN72:AN80" si="109">$R72/$L72*7</f>
        <v>0</v>
      </c>
      <c r="AO72" s="346">
        <f t="shared" si="108"/>
        <v>0</v>
      </c>
      <c r="AP72" s="346">
        <f t="shared" si="108"/>
        <v>0</v>
      </c>
    </row>
    <row r="73" spans="2:42" ht="18.649999999999999" customHeight="1" x14ac:dyDescent="0.35">
      <c r="B73" s="321" t="s">
        <v>121</v>
      </c>
      <c r="C73" s="293" t="s">
        <v>97</v>
      </c>
      <c r="D73" s="264" t="s">
        <v>561</v>
      </c>
      <c r="E73" s="264" t="s">
        <v>45</v>
      </c>
      <c r="F73" s="263" t="s">
        <v>87</v>
      </c>
      <c r="G73" s="263" t="s">
        <v>98</v>
      </c>
      <c r="H73" s="265" t="s">
        <v>90</v>
      </c>
      <c r="I73" s="265" t="s">
        <v>609</v>
      </c>
      <c r="J73" s="552" t="s">
        <v>96</v>
      </c>
      <c r="K73" s="263" t="s">
        <v>89</v>
      </c>
      <c r="L73" s="266">
        <f t="shared" si="103"/>
        <v>21</v>
      </c>
      <c r="M73" s="267">
        <v>45460</v>
      </c>
      <c r="N73" s="267">
        <v>45480</v>
      </c>
      <c r="O73" s="266">
        <f t="shared" si="104"/>
        <v>17193824.015167404</v>
      </c>
      <c r="P73" s="268" t="s">
        <v>17</v>
      </c>
      <c r="Q73" s="269">
        <v>1E-3</v>
      </c>
      <c r="R73" s="266">
        <f t="shared" ref="R73:R74" si="110">O73*Q73</f>
        <v>17193.824015167404</v>
      </c>
      <c r="S73" s="270">
        <v>0.7</v>
      </c>
      <c r="T73" s="271">
        <f>O73*S73</f>
        <v>12035676.810617182</v>
      </c>
      <c r="U73" s="266">
        <f t="shared" ref="U73" si="111">AB73*AC73</f>
        <v>9825042.2943813745</v>
      </c>
      <c r="V73" s="266">
        <v>1.75</v>
      </c>
      <c r="W73" s="266"/>
      <c r="X73" s="272">
        <v>70</v>
      </c>
      <c r="Y73" s="273">
        <f t="shared" si="106"/>
        <v>1203567.6810617181</v>
      </c>
      <c r="Z73" s="273">
        <f t="shared" si="69"/>
        <v>69.999999999999986</v>
      </c>
      <c r="AA73" s="273">
        <f t="shared" ref="AA73:AA80" si="112">Y73/R73</f>
        <v>70</v>
      </c>
      <c r="AB73" s="274">
        <f>18948429*85%</f>
        <v>16106164.65</v>
      </c>
      <c r="AC73" s="275">
        <v>0.61001749999999999</v>
      </c>
      <c r="AE73" s="260"/>
      <c r="AF73" s="261">
        <v>0.61599999999999999</v>
      </c>
      <c r="AG73" s="260"/>
      <c r="AJ73" s="346">
        <f t="shared" si="107"/>
        <v>5731274.671722468</v>
      </c>
      <c r="AK73" s="346">
        <f t="shared" si="107"/>
        <v>5731274.671722468</v>
      </c>
      <c r="AL73" s="346">
        <f t="shared" si="107"/>
        <v>5731274.671722468</v>
      </c>
      <c r="AN73" s="346">
        <f t="shared" si="109"/>
        <v>5731.2746717224672</v>
      </c>
      <c r="AO73" s="346">
        <f t="shared" si="108"/>
        <v>5731.2746717224672</v>
      </c>
      <c r="AP73" s="346">
        <f t="shared" si="108"/>
        <v>5731.2746717224672</v>
      </c>
    </row>
    <row r="74" spans="2:42" ht="18.649999999999999" customHeight="1" x14ac:dyDescent="0.35">
      <c r="B74" s="321" t="s">
        <v>121</v>
      </c>
      <c r="C74" s="293" t="s">
        <v>97</v>
      </c>
      <c r="D74" s="264" t="s">
        <v>86</v>
      </c>
      <c r="E74" s="264" t="s">
        <v>45</v>
      </c>
      <c r="F74" s="263" t="s">
        <v>87</v>
      </c>
      <c r="G74" s="263" t="s">
        <v>98</v>
      </c>
      <c r="H74" s="265" t="s">
        <v>90</v>
      </c>
      <c r="I74" s="265" t="s">
        <v>610</v>
      </c>
      <c r="J74" s="552" t="s">
        <v>96</v>
      </c>
      <c r="K74" s="263" t="s">
        <v>89</v>
      </c>
      <c r="L74" s="266">
        <f t="shared" si="103"/>
        <v>21</v>
      </c>
      <c r="M74" s="267">
        <v>45460</v>
      </c>
      <c r="N74" s="267">
        <v>45480</v>
      </c>
      <c r="O74" s="266">
        <f>Y74/X74*1000</f>
        <v>25402737.628124997</v>
      </c>
      <c r="P74" s="268" t="s">
        <v>17</v>
      </c>
      <c r="Q74" s="269">
        <v>1E-3</v>
      </c>
      <c r="R74" s="266">
        <f t="shared" si="110"/>
        <v>25402.737628124996</v>
      </c>
      <c r="S74" s="270">
        <v>0.8</v>
      </c>
      <c r="T74" s="271">
        <f>O74*S74</f>
        <v>20322190.102499999</v>
      </c>
      <c r="U74" s="266">
        <f>O74/V74</f>
        <v>12452322.366727939</v>
      </c>
      <c r="V74" s="266">
        <f>1.5*136%</f>
        <v>2.04</v>
      </c>
      <c r="W74" s="266"/>
      <c r="X74" s="272">
        <v>80</v>
      </c>
      <c r="Y74" s="273">
        <v>2032219.0102499998</v>
      </c>
      <c r="Z74" s="273">
        <f t="shared" si="69"/>
        <v>80</v>
      </c>
      <c r="AA74" s="273">
        <f t="shared" si="112"/>
        <v>80</v>
      </c>
      <c r="AB74" s="274">
        <v>18948429</v>
      </c>
      <c r="AC74" s="275">
        <f>U74/AB74</f>
        <v>0.65716911764705865</v>
      </c>
      <c r="AE74" s="260"/>
      <c r="AF74" s="261">
        <v>0.61599999999999999</v>
      </c>
      <c r="AG74" s="260"/>
      <c r="AJ74" s="346">
        <f t="shared" si="107"/>
        <v>8467579.2093749996</v>
      </c>
      <c r="AK74" s="346">
        <f t="shared" si="107"/>
        <v>8467579.2093749996</v>
      </c>
      <c r="AL74" s="346">
        <f t="shared" si="107"/>
        <v>8467579.2093749996</v>
      </c>
      <c r="AN74" s="346">
        <f t="shared" si="109"/>
        <v>8467.5792093749988</v>
      </c>
      <c r="AO74" s="346">
        <f t="shared" si="108"/>
        <v>8467.5792093749988</v>
      </c>
      <c r="AP74" s="346">
        <f t="shared" si="108"/>
        <v>8467.5792093749988</v>
      </c>
    </row>
    <row r="75" spans="2:42" ht="18.649999999999999" customHeight="1" x14ac:dyDescent="0.35">
      <c r="B75" s="321" t="s">
        <v>121</v>
      </c>
      <c r="C75" s="293" t="s">
        <v>97</v>
      </c>
      <c r="D75" s="263" t="s">
        <v>99</v>
      </c>
      <c r="E75" s="263" t="s">
        <v>46</v>
      </c>
      <c r="F75" s="263" t="s">
        <v>100</v>
      </c>
      <c r="G75" s="263" t="s">
        <v>101</v>
      </c>
      <c r="H75" s="265" t="s">
        <v>88</v>
      </c>
      <c r="I75" s="265" t="s">
        <v>102</v>
      </c>
      <c r="J75" s="553" t="s">
        <v>96</v>
      </c>
      <c r="K75" s="263" t="s">
        <v>89</v>
      </c>
      <c r="L75" s="266">
        <f t="shared" si="103"/>
        <v>21</v>
      </c>
      <c r="M75" s="267">
        <v>45460</v>
      </c>
      <c r="N75" s="267">
        <v>45480</v>
      </c>
      <c r="O75" s="266">
        <f>U75*V75</f>
        <v>9856482.429723395</v>
      </c>
      <c r="P75" s="268" t="s">
        <v>17</v>
      </c>
      <c r="Q75" s="269">
        <v>1.4999999999999999E-2</v>
      </c>
      <c r="R75" s="266">
        <f>O75*Q75</f>
        <v>147847.23644585093</v>
      </c>
      <c r="S75" s="268" t="s">
        <v>17</v>
      </c>
      <c r="T75" s="271" t="s">
        <v>17</v>
      </c>
      <c r="U75" s="266">
        <f>AB75*AC75</f>
        <v>4928241.2148616975</v>
      </c>
      <c r="V75" s="266">
        <v>2</v>
      </c>
      <c r="W75" s="266"/>
      <c r="X75" s="272">
        <v>105</v>
      </c>
      <c r="Y75" s="273">
        <f t="shared" si="106"/>
        <v>1034930.6551209565</v>
      </c>
      <c r="Z75" s="273">
        <f t="shared" si="69"/>
        <v>105</v>
      </c>
      <c r="AA75" s="273">
        <f t="shared" si="112"/>
        <v>7</v>
      </c>
      <c r="AB75" s="274">
        <f>AB73*95%</f>
        <v>15300856.4175</v>
      </c>
      <c r="AC75" s="275">
        <v>0.32208924</v>
      </c>
      <c r="AE75" s="260"/>
      <c r="AF75" s="261">
        <v>0.26400000000000001</v>
      </c>
      <c r="AG75" s="260"/>
      <c r="AJ75" s="346">
        <f t="shared" si="107"/>
        <v>3285494.1432411317</v>
      </c>
      <c r="AK75" s="346">
        <f t="shared" si="107"/>
        <v>3285494.1432411317</v>
      </c>
      <c r="AL75" s="346">
        <f t="shared" si="107"/>
        <v>3285494.1432411317</v>
      </c>
      <c r="AN75" s="346">
        <f t="shared" si="109"/>
        <v>49282.412148616975</v>
      </c>
      <c r="AO75" s="346">
        <f t="shared" si="108"/>
        <v>49282.412148616975</v>
      </c>
      <c r="AP75" s="346">
        <f t="shared" si="108"/>
        <v>49282.412148616975</v>
      </c>
    </row>
    <row r="76" spans="2:42" ht="18.649999999999999" customHeight="1" x14ac:dyDescent="0.35">
      <c r="B76" s="321" t="str">
        <f>B75</f>
        <v>Delhi + NCR</v>
      </c>
      <c r="C76" s="293" t="s">
        <v>97</v>
      </c>
      <c r="D76" s="310" t="s">
        <v>103</v>
      </c>
      <c r="E76" s="263" t="s">
        <v>46</v>
      </c>
      <c r="F76" s="310" t="s">
        <v>100</v>
      </c>
      <c r="G76" s="263" t="s">
        <v>98</v>
      </c>
      <c r="H76" s="265" t="s">
        <v>88</v>
      </c>
      <c r="I76" s="265" t="s">
        <v>104</v>
      </c>
      <c r="J76" s="553" t="s">
        <v>96</v>
      </c>
      <c r="K76" s="263" t="s">
        <v>105</v>
      </c>
      <c r="L76" s="266">
        <f t="shared" si="103"/>
        <v>21</v>
      </c>
      <c r="M76" s="267">
        <v>45460</v>
      </c>
      <c r="N76" s="267">
        <v>45480</v>
      </c>
      <c r="O76" s="266">
        <f>U76*V76</f>
        <v>3187356.4683311996</v>
      </c>
      <c r="P76" s="268" t="s">
        <v>17</v>
      </c>
      <c r="Q76" s="269">
        <v>1.4999999999999999E-2</v>
      </c>
      <c r="R76" s="266">
        <f>O76*Q76</f>
        <v>47810.347024967996</v>
      </c>
      <c r="S76" s="268" t="s">
        <v>17</v>
      </c>
      <c r="T76" s="271" t="s">
        <v>17</v>
      </c>
      <c r="U76" s="266">
        <f>AB76*AC76</f>
        <v>1593678.2341655998</v>
      </c>
      <c r="V76" s="266">
        <v>2</v>
      </c>
      <c r="W76" s="266"/>
      <c r="X76" s="272">
        <v>120</v>
      </c>
      <c r="Y76" s="273">
        <f t="shared" si="106"/>
        <v>382482.77619974397</v>
      </c>
      <c r="Z76" s="273">
        <f t="shared" si="69"/>
        <v>120.00000000000001</v>
      </c>
      <c r="AA76" s="273">
        <f t="shared" si="112"/>
        <v>8</v>
      </c>
      <c r="AB76" s="274">
        <v>2968764</v>
      </c>
      <c r="AC76" s="275">
        <v>0.53681539999999994</v>
      </c>
      <c r="AE76" s="260"/>
      <c r="AF76" s="261">
        <v>0.44</v>
      </c>
      <c r="AG76" s="260"/>
      <c r="AH76" s="320"/>
      <c r="AJ76" s="346">
        <f t="shared" si="107"/>
        <v>1062452.1561103999</v>
      </c>
      <c r="AK76" s="346">
        <f t="shared" si="107"/>
        <v>1062452.1561103999</v>
      </c>
      <c r="AL76" s="346">
        <f t="shared" si="107"/>
        <v>1062452.1561103999</v>
      </c>
      <c r="AN76" s="346">
        <f t="shared" si="109"/>
        <v>15936.782341655999</v>
      </c>
      <c r="AO76" s="346">
        <f t="shared" si="108"/>
        <v>15936.782341655999</v>
      </c>
      <c r="AP76" s="346">
        <f t="shared" si="108"/>
        <v>15936.782341655999</v>
      </c>
    </row>
    <row r="77" spans="2:42" ht="18.649999999999999" customHeight="1" x14ac:dyDescent="0.35">
      <c r="B77" s="321" t="str">
        <f>B76</f>
        <v>Delhi + NCR</v>
      </c>
      <c r="C77" s="293" t="s">
        <v>97</v>
      </c>
      <c r="D77" s="310" t="s">
        <v>106</v>
      </c>
      <c r="E77" s="311" t="s">
        <v>46</v>
      </c>
      <c r="F77" s="311" t="s">
        <v>91</v>
      </c>
      <c r="G77" s="263" t="s">
        <v>98</v>
      </c>
      <c r="H77" s="310" t="s">
        <v>88</v>
      </c>
      <c r="I77" s="263" t="s">
        <v>107</v>
      </c>
      <c r="J77" s="553" t="s">
        <v>96</v>
      </c>
      <c r="K77" s="263" t="s">
        <v>89</v>
      </c>
      <c r="L77" s="266">
        <f t="shared" si="103"/>
        <v>21</v>
      </c>
      <c r="M77" s="267">
        <v>45460</v>
      </c>
      <c r="N77" s="267">
        <v>45480</v>
      </c>
      <c r="O77" s="266">
        <f>U77*V77</f>
        <v>4844861.581159248</v>
      </c>
      <c r="P77" s="268" t="s">
        <v>17</v>
      </c>
      <c r="Q77" s="312">
        <v>0.01</v>
      </c>
      <c r="R77" s="266">
        <f t="shared" ref="R77:R78" si="113">O77*Q77</f>
        <v>48448.615811592485</v>
      </c>
      <c r="S77" s="268" t="s">
        <v>17</v>
      </c>
      <c r="T77" s="271" t="s">
        <v>17</v>
      </c>
      <c r="U77" s="266">
        <f t="shared" ref="U77" si="114">AB77*AC77</f>
        <v>2422430.790579624</v>
      </c>
      <c r="V77" s="266">
        <v>2</v>
      </c>
      <c r="W77" s="266"/>
      <c r="X77" s="272">
        <v>200</v>
      </c>
      <c r="Y77" s="273">
        <f>O77*X77/1000</f>
        <v>968972.3162318496</v>
      </c>
      <c r="Z77" s="273">
        <f t="shared" si="69"/>
        <v>200</v>
      </c>
      <c r="AA77" s="273">
        <f t="shared" si="112"/>
        <v>19.999999999999996</v>
      </c>
      <c r="AB77" s="274">
        <v>6837266</v>
      </c>
      <c r="AC77" s="275">
        <v>0.35429816400000003</v>
      </c>
      <c r="AE77" s="260"/>
      <c r="AF77" s="261">
        <v>0.26400000000000001</v>
      </c>
      <c r="AG77" s="260"/>
      <c r="AH77" s="562"/>
      <c r="AJ77" s="346">
        <f t="shared" si="107"/>
        <v>1614953.8603864161</v>
      </c>
      <c r="AK77" s="346">
        <f t="shared" si="107"/>
        <v>1614953.8603864161</v>
      </c>
      <c r="AL77" s="346">
        <f t="shared" si="107"/>
        <v>1614953.8603864161</v>
      </c>
      <c r="AN77" s="346">
        <f t="shared" si="109"/>
        <v>16149.538603864161</v>
      </c>
      <c r="AO77" s="346">
        <f t="shared" si="108"/>
        <v>16149.538603864161</v>
      </c>
      <c r="AP77" s="346">
        <f t="shared" si="108"/>
        <v>16149.538603864161</v>
      </c>
    </row>
    <row r="78" spans="2:42" ht="18.649999999999999" customHeight="1" x14ac:dyDescent="0.35">
      <c r="B78" s="321" t="str">
        <f>B77</f>
        <v>Delhi + NCR</v>
      </c>
      <c r="C78" s="293" t="s">
        <v>97</v>
      </c>
      <c r="D78" s="310" t="s">
        <v>588</v>
      </c>
      <c r="E78" s="263" t="s">
        <v>46</v>
      </c>
      <c r="F78" s="310" t="s">
        <v>589</v>
      </c>
      <c r="G78" s="263" t="s">
        <v>98</v>
      </c>
      <c r="H78" s="265" t="s">
        <v>88</v>
      </c>
      <c r="I78" s="265" t="s">
        <v>590</v>
      </c>
      <c r="J78" s="553" t="s">
        <v>591</v>
      </c>
      <c r="K78" s="263" t="s">
        <v>592</v>
      </c>
      <c r="L78" s="266">
        <f t="shared" si="103"/>
        <v>21</v>
      </c>
      <c r="M78" s="267">
        <v>45460</v>
      </c>
      <c r="N78" s="267">
        <v>45480</v>
      </c>
      <c r="O78" s="266">
        <f>U78*3</f>
        <v>809421.90000000014</v>
      </c>
      <c r="P78" s="268" t="s">
        <v>17</v>
      </c>
      <c r="Q78" s="269">
        <v>1.4999999999999999E-2</v>
      </c>
      <c r="R78" s="266">
        <f t="shared" si="113"/>
        <v>12141.328500000001</v>
      </c>
      <c r="S78" s="268" t="s">
        <v>17</v>
      </c>
      <c r="T78" s="271" t="s">
        <v>17</v>
      </c>
      <c r="U78" s="266">
        <f>AB78*AC78</f>
        <v>269807.30000000005</v>
      </c>
      <c r="V78" s="266">
        <f>O78/U78</f>
        <v>3</v>
      </c>
      <c r="W78" s="266"/>
      <c r="X78" s="272">
        <v>2</v>
      </c>
      <c r="Y78" s="273">
        <f>O78/3*X78</f>
        <v>539614.60000000009</v>
      </c>
      <c r="Z78" s="273">
        <f t="shared" si="69"/>
        <v>666.66666666666663</v>
      </c>
      <c r="AA78" s="273">
        <f t="shared" si="112"/>
        <v>44.44444444444445</v>
      </c>
      <c r="AB78" s="274">
        <v>3854390</v>
      </c>
      <c r="AC78" s="275">
        <v>7.0000000000000007E-2</v>
      </c>
      <c r="AE78" s="260"/>
      <c r="AF78" s="261">
        <v>0.26400000000000001</v>
      </c>
      <c r="AG78" s="260"/>
      <c r="AJ78" s="346">
        <f t="shared" si="107"/>
        <v>269807.30000000005</v>
      </c>
      <c r="AK78" s="346">
        <f t="shared" si="107"/>
        <v>269807.30000000005</v>
      </c>
      <c r="AL78" s="346">
        <f t="shared" si="107"/>
        <v>269807.30000000005</v>
      </c>
      <c r="AN78" s="346">
        <f t="shared" si="109"/>
        <v>4047.1095000000009</v>
      </c>
      <c r="AO78" s="346">
        <f t="shared" si="108"/>
        <v>4047.1095000000009</v>
      </c>
      <c r="AP78" s="346">
        <f t="shared" si="108"/>
        <v>4047.1095000000009</v>
      </c>
    </row>
    <row r="79" spans="2:42" ht="18.649999999999999" customHeight="1" x14ac:dyDescent="0.35">
      <c r="B79" s="321" t="str">
        <f>B78</f>
        <v>Delhi + NCR</v>
      </c>
      <c r="C79" s="293" t="s">
        <v>97</v>
      </c>
      <c r="D79" s="310" t="s">
        <v>109</v>
      </c>
      <c r="E79" s="263" t="s">
        <v>46</v>
      </c>
      <c r="F79" s="310" t="s">
        <v>100</v>
      </c>
      <c r="G79" s="263" t="s">
        <v>98</v>
      </c>
      <c r="H79" s="265" t="s">
        <v>88</v>
      </c>
      <c r="I79" s="265" t="s">
        <v>110</v>
      </c>
      <c r="J79" s="553" t="s">
        <v>96</v>
      </c>
      <c r="K79" s="263" t="s">
        <v>111</v>
      </c>
      <c r="L79" s="266">
        <f t="shared" si="103"/>
        <v>21</v>
      </c>
      <c r="M79" s="267">
        <v>45460</v>
      </c>
      <c r="N79" s="267">
        <v>45480</v>
      </c>
      <c r="O79" s="266">
        <f>U79*V79</f>
        <v>5266803.2524800003</v>
      </c>
      <c r="P79" s="268" t="s">
        <v>17</v>
      </c>
      <c r="Q79" s="269">
        <v>0.02</v>
      </c>
      <c r="R79" s="266">
        <f>O79*Q79</f>
        <v>105336.0650496</v>
      </c>
      <c r="S79" s="268" t="s">
        <v>17</v>
      </c>
      <c r="T79" s="271" t="s">
        <v>17</v>
      </c>
      <c r="U79" s="266">
        <f>AB79*AC79</f>
        <v>5266803.2524800003</v>
      </c>
      <c r="V79" s="266">
        <v>1</v>
      </c>
      <c r="W79" s="266"/>
      <c r="X79" s="272">
        <v>4.5</v>
      </c>
      <c r="Y79" s="273">
        <f>R79*X79</f>
        <v>474012.29272319999</v>
      </c>
      <c r="Z79" s="273">
        <f t="shared" si="69"/>
        <v>90</v>
      </c>
      <c r="AA79" s="273">
        <f t="shared" si="112"/>
        <v>4.5</v>
      </c>
      <c r="AB79" s="274">
        <v>8176000</v>
      </c>
      <c r="AC79" s="275">
        <v>0.64417848</v>
      </c>
      <c r="AE79" s="260"/>
      <c r="AF79" s="261">
        <v>0.52800000000000002</v>
      </c>
      <c r="AG79" s="260"/>
      <c r="AJ79" s="346">
        <f t="shared" si="107"/>
        <v>1755601.0841600001</v>
      </c>
      <c r="AK79" s="346">
        <f t="shared" si="107"/>
        <v>1755601.0841600001</v>
      </c>
      <c r="AL79" s="346">
        <f t="shared" si="107"/>
        <v>1755601.0841600001</v>
      </c>
      <c r="AN79" s="346">
        <f t="shared" si="109"/>
        <v>35112.021683200001</v>
      </c>
      <c r="AO79" s="346">
        <f t="shared" si="108"/>
        <v>35112.021683200001</v>
      </c>
      <c r="AP79" s="346">
        <f t="shared" si="108"/>
        <v>35112.021683200001</v>
      </c>
    </row>
    <row r="80" spans="2:42" ht="18.649999999999999" customHeight="1" x14ac:dyDescent="0.35">
      <c r="B80" s="321" t="s">
        <v>567</v>
      </c>
      <c r="C80" s="293" t="s">
        <v>97</v>
      </c>
      <c r="D80" s="310" t="s">
        <v>600</v>
      </c>
      <c r="E80" s="314" t="s">
        <v>46</v>
      </c>
      <c r="F80" s="311" t="s">
        <v>565</v>
      </c>
      <c r="G80" s="263" t="s">
        <v>101</v>
      </c>
      <c r="H80" s="265" t="s">
        <v>88</v>
      </c>
      <c r="I80" s="265" t="s">
        <v>527</v>
      </c>
      <c r="J80" s="552" t="s">
        <v>566</v>
      </c>
      <c r="K80" s="263" t="s">
        <v>89</v>
      </c>
      <c r="L80" s="266">
        <f t="shared" ref="L80" si="115">N80-M80+1</f>
        <v>13</v>
      </c>
      <c r="M80" s="267">
        <v>45460</v>
      </c>
      <c r="N80" s="267">
        <v>45472</v>
      </c>
      <c r="O80" s="266">
        <f t="shared" ref="O80" si="116">U80*V80</f>
        <v>1195356.06</v>
      </c>
      <c r="P80" s="268" t="s">
        <v>17</v>
      </c>
      <c r="Q80" s="315">
        <v>5.0000000000000001E-3</v>
      </c>
      <c r="R80" s="266">
        <f t="shared" ref="R80" si="117">O80*Q80</f>
        <v>5976.7803000000004</v>
      </c>
      <c r="S80" s="268" t="s">
        <v>17</v>
      </c>
      <c r="T80" s="271" t="s">
        <v>17</v>
      </c>
      <c r="U80" s="266">
        <f t="shared" ref="U80" si="118">AB80*AC80</f>
        <v>597678.03</v>
      </c>
      <c r="V80" s="266">
        <v>2</v>
      </c>
      <c r="W80" s="266"/>
      <c r="X80" s="272">
        <v>105</v>
      </c>
      <c r="Y80" s="273">
        <f t="shared" ref="Y80" si="119">O80/1000*X80</f>
        <v>125512.38630000001</v>
      </c>
      <c r="Z80" s="273">
        <f t="shared" si="69"/>
        <v>105.00000000000001</v>
      </c>
      <c r="AA80" s="273">
        <f t="shared" si="112"/>
        <v>21</v>
      </c>
      <c r="AB80" s="274">
        <v>1328173.4000000001</v>
      </c>
      <c r="AC80" s="275">
        <v>0.45</v>
      </c>
      <c r="AE80" s="260"/>
      <c r="AF80" s="261">
        <v>0.61122534753372715</v>
      </c>
      <c r="AG80" s="260"/>
      <c r="AJ80" s="346">
        <f t="shared" si="107"/>
        <v>643653.26307692309</v>
      </c>
      <c r="AK80" s="346">
        <f>$O80/$L80*6</f>
        <v>551702.79692307697</v>
      </c>
      <c r="AL80" s="346"/>
      <c r="AN80" s="346">
        <f t="shared" si="109"/>
        <v>3218.2663153846156</v>
      </c>
      <c r="AO80" s="346">
        <f>$R80/$L80*6</f>
        <v>2758.5139846153847</v>
      </c>
      <c r="AP80" s="346"/>
    </row>
    <row r="81" spans="2:42" ht="18.649999999999999" customHeight="1" x14ac:dyDescent="0.35">
      <c r="B81" s="321" t="s">
        <v>121</v>
      </c>
      <c r="C81" s="293" t="s">
        <v>97</v>
      </c>
      <c r="D81" s="311" t="s">
        <v>116</v>
      </c>
      <c r="E81" s="263" t="s">
        <v>46</v>
      </c>
      <c r="F81" s="311" t="s">
        <v>114</v>
      </c>
      <c r="G81" s="263" t="s">
        <v>98</v>
      </c>
      <c r="H81" s="265" t="s">
        <v>88</v>
      </c>
      <c r="I81" s="265" t="s">
        <v>115</v>
      </c>
      <c r="J81" s="552" t="s">
        <v>96</v>
      </c>
      <c r="K81" s="263" t="s">
        <v>105</v>
      </c>
      <c r="L81" s="266">
        <f>N81-M81+1</f>
        <v>6</v>
      </c>
      <c r="M81" s="267">
        <v>45471</v>
      </c>
      <c r="N81" s="267">
        <v>45476</v>
      </c>
      <c r="O81" s="266">
        <f>1714285/14*6</f>
        <v>734693.57142857136</v>
      </c>
      <c r="P81" s="268" t="s">
        <v>17</v>
      </c>
      <c r="Q81" s="315">
        <v>0.01</v>
      </c>
      <c r="R81" s="266">
        <f>O81*Q81</f>
        <v>7346.9357142857134</v>
      </c>
      <c r="S81" s="268" t="s">
        <v>17</v>
      </c>
      <c r="T81" s="271" t="s">
        <v>17</v>
      </c>
      <c r="U81" s="266">
        <f>O81/V81</f>
        <v>146938.71428571426</v>
      </c>
      <c r="V81" s="266">
        <v>5</v>
      </c>
      <c r="W81" s="266"/>
      <c r="X81" s="272">
        <v>260</v>
      </c>
      <c r="Y81" s="273">
        <f>(O81/1000)*X81</f>
        <v>191020.32857142854</v>
      </c>
      <c r="Z81" s="273">
        <f t="shared" si="69"/>
        <v>260</v>
      </c>
      <c r="AA81" s="273">
        <f>Y81/R81</f>
        <v>26</v>
      </c>
      <c r="AB81" s="274">
        <v>400000</v>
      </c>
      <c r="AC81" s="275">
        <f>U81/AB81</f>
        <v>0.36734678571428564</v>
      </c>
      <c r="AE81" s="260"/>
      <c r="AF81" s="261">
        <v>0.3771427</v>
      </c>
      <c r="AG81" s="260"/>
      <c r="AJ81" s="346"/>
      <c r="AK81" s="346">
        <f>$O81/$L81*3</f>
        <v>367346.78571428568</v>
      </c>
      <c r="AL81" s="346">
        <f>$O81/$L81*3</f>
        <v>367346.78571428568</v>
      </c>
      <c r="AN81" s="346"/>
      <c r="AO81" s="346">
        <f>$R81/$L81*3</f>
        <v>3673.4678571428567</v>
      </c>
      <c r="AP81" s="346">
        <f>$R81/$L81*3</f>
        <v>3673.4678571428567</v>
      </c>
    </row>
    <row r="82" spans="2:42" ht="18.649999999999999" customHeight="1" x14ac:dyDescent="0.35">
      <c r="B82" s="277" t="str">
        <f>B81</f>
        <v>Delhi + NCR</v>
      </c>
      <c r="C82" s="278"/>
      <c r="D82" s="279" t="s">
        <v>18</v>
      </c>
      <c r="E82" s="280"/>
      <c r="F82" s="279"/>
      <c r="G82" s="280"/>
      <c r="H82" s="280"/>
      <c r="I82" s="281"/>
      <c r="J82" s="546"/>
      <c r="K82" s="283"/>
      <c r="L82" s="284"/>
      <c r="M82" s="284"/>
      <c r="N82" s="284"/>
      <c r="O82" s="284">
        <f>SUM(O71:O81)</f>
        <v>161164393.35990554</v>
      </c>
      <c r="P82" s="284"/>
      <c r="Q82" s="285">
        <f>R82/O82</f>
        <v>2.5905465952224165E-3</v>
      </c>
      <c r="R82" s="284">
        <f>SUM(R71:R81)</f>
        <v>417503.87048958952</v>
      </c>
      <c r="S82" s="286"/>
      <c r="T82" s="316">
        <f>SUM(T71:T81)</f>
        <v>106776545.27481821</v>
      </c>
      <c r="U82" s="284">
        <f>U74+(SUM(U71:U71,U75:U81,U72:U73)*8%)</f>
        <v>15361527.473884206</v>
      </c>
      <c r="V82" s="284">
        <f>O82/U82</f>
        <v>10.49143020665735</v>
      </c>
      <c r="W82" s="284"/>
      <c r="X82" s="287"/>
      <c r="Y82" s="317">
        <f>SUM(Y71:Y81)</f>
        <v>17230464.216015406</v>
      </c>
      <c r="Z82" s="288">
        <f t="shared" si="69"/>
        <v>106.91235115151682</v>
      </c>
      <c r="AA82" s="288">
        <f>Y82/R82</f>
        <v>41.270190371672371</v>
      </c>
      <c r="AB82" s="284">
        <f>AB74+(SUM(AB71:AB73,AB75:AB81)*2%)</f>
        <v>20300275.92935</v>
      </c>
      <c r="AC82" s="289">
        <f>U82/AB82</f>
        <v>0.75671520561327021</v>
      </c>
      <c r="AD82" s="261"/>
      <c r="AE82" s="290"/>
      <c r="AF82" s="261">
        <v>0.72852745208800074</v>
      </c>
      <c r="AG82" s="290"/>
      <c r="AH82" s="460"/>
      <c r="AI82" s="459"/>
    </row>
    <row r="83" spans="2:42" ht="18.649999999999999" customHeight="1" x14ac:dyDescent="0.35">
      <c r="B83" s="321" t="s">
        <v>122</v>
      </c>
      <c r="C83" s="293" t="s">
        <v>93</v>
      </c>
      <c r="D83" s="294" t="s">
        <v>94</v>
      </c>
      <c r="E83" s="294" t="s">
        <v>45</v>
      </c>
      <c r="F83" s="295" t="s">
        <v>87</v>
      </c>
      <c r="G83" s="295" t="s">
        <v>50</v>
      </c>
      <c r="H83" s="296" t="s">
        <v>95</v>
      </c>
      <c r="I83" s="296" t="s">
        <v>608</v>
      </c>
      <c r="J83" s="551" t="s">
        <v>96</v>
      </c>
      <c r="K83" s="295" t="s">
        <v>89</v>
      </c>
      <c r="L83" s="298">
        <f t="shared" ref="L83:L91" si="120">N83-(M83-1)</f>
        <v>21</v>
      </c>
      <c r="M83" s="299">
        <v>45460</v>
      </c>
      <c r="N83" s="299">
        <v>45480</v>
      </c>
      <c r="O83" s="298">
        <f t="shared" ref="O83:O92" si="121">U83*V83</f>
        <v>1632901.4029081601</v>
      </c>
      <c r="P83" s="300" t="s">
        <v>17</v>
      </c>
      <c r="Q83" s="301"/>
      <c r="R83" s="298"/>
      <c r="S83" s="302">
        <v>0.85</v>
      </c>
      <c r="T83" s="303">
        <f t="shared" ref="T83:T84" si="122">O83*S83</f>
        <v>1387966.1924719361</v>
      </c>
      <c r="U83" s="298">
        <f>AB83*AC83</f>
        <v>240132.5592512</v>
      </c>
      <c r="V83" s="298">
        <f>5*136%</f>
        <v>6.8000000000000007</v>
      </c>
      <c r="W83" s="298"/>
      <c r="X83" s="304">
        <v>125</v>
      </c>
      <c r="Y83" s="305">
        <f t="shared" ref="Y83:Y88" si="123">(O83/1000)*X83</f>
        <v>204112.67536352001</v>
      </c>
      <c r="Z83" s="305">
        <f t="shared" si="69"/>
        <v>125</v>
      </c>
      <c r="AA83" s="305"/>
      <c r="AB83" s="306">
        <v>279580</v>
      </c>
      <c r="AC83" s="307">
        <v>0.85890464</v>
      </c>
      <c r="AD83" s="261"/>
      <c r="AE83" s="260"/>
      <c r="AF83" s="261">
        <v>0.70400000000000007</v>
      </c>
      <c r="AG83" s="260"/>
      <c r="AH83" s="568"/>
      <c r="AJ83" s="346">
        <f t="shared" si="107"/>
        <v>544300.46763605345</v>
      </c>
      <c r="AK83" s="346">
        <f t="shared" si="107"/>
        <v>544300.46763605345</v>
      </c>
      <c r="AL83" s="346">
        <f t="shared" si="107"/>
        <v>544300.46763605345</v>
      </c>
      <c r="AN83" s="346">
        <f>$R83/$L83*7</f>
        <v>0</v>
      </c>
      <c r="AO83" s="346">
        <f t="shared" ref="AO83:AP91" si="124">$R83/$L83*7</f>
        <v>0</v>
      </c>
      <c r="AP83" s="346">
        <f t="shared" si="124"/>
        <v>0</v>
      </c>
    </row>
    <row r="84" spans="2:42" ht="18.649999999999999" customHeight="1" x14ac:dyDescent="0.35">
      <c r="B84" s="321" t="s">
        <v>122</v>
      </c>
      <c r="C84" s="293" t="s">
        <v>93</v>
      </c>
      <c r="D84" s="295" t="s">
        <v>86</v>
      </c>
      <c r="E84" s="295" t="s">
        <v>45</v>
      </c>
      <c r="F84" s="295" t="s">
        <v>87</v>
      </c>
      <c r="G84" s="296" t="s">
        <v>50</v>
      </c>
      <c r="H84" s="296" t="s">
        <v>95</v>
      </c>
      <c r="I84" s="296" t="s">
        <v>610</v>
      </c>
      <c r="J84" s="551" t="s">
        <v>96</v>
      </c>
      <c r="K84" s="295" t="s">
        <v>89</v>
      </c>
      <c r="L84" s="298">
        <f t="shared" si="120"/>
        <v>21</v>
      </c>
      <c r="M84" s="299">
        <v>45460</v>
      </c>
      <c r="N84" s="299">
        <v>45480</v>
      </c>
      <c r="O84" s="298">
        <f>Y84/X84*1000</f>
        <v>21667890.409973998</v>
      </c>
      <c r="P84" s="300" t="s">
        <v>17</v>
      </c>
      <c r="Q84" s="301"/>
      <c r="R84" s="298"/>
      <c r="S84" s="302">
        <v>0.8</v>
      </c>
      <c r="T84" s="303">
        <f t="shared" si="122"/>
        <v>17334312.3279792</v>
      </c>
      <c r="U84" s="298">
        <f>O84/V84</f>
        <v>2610589.2060209634</v>
      </c>
      <c r="V84" s="298">
        <v>8.3000000000000007</v>
      </c>
      <c r="W84" s="298"/>
      <c r="X84" s="304">
        <v>110</v>
      </c>
      <c r="Y84" s="305">
        <f>2383467.94509714</f>
        <v>2383467.94509714</v>
      </c>
      <c r="Z84" s="305">
        <f t="shared" si="69"/>
        <v>110.00000000000001</v>
      </c>
      <c r="AA84" s="305"/>
      <c r="AB84" s="306">
        <v>2901970</v>
      </c>
      <c r="AC84" s="307">
        <f>U84/AB84</f>
        <v>0.8995920722891565</v>
      </c>
      <c r="AF84" s="261">
        <v>0.748</v>
      </c>
      <c r="AJ84" s="346">
        <f t="shared" si="107"/>
        <v>7222630.1366579989</v>
      </c>
      <c r="AK84" s="346">
        <f t="shared" si="107"/>
        <v>7222630.1366579989</v>
      </c>
      <c r="AL84" s="346">
        <f t="shared" si="107"/>
        <v>7222630.1366579989</v>
      </c>
      <c r="AN84" s="346">
        <f t="shared" ref="AN84:AN91" si="125">$R84/$L84*7</f>
        <v>0</v>
      </c>
      <c r="AO84" s="346">
        <f t="shared" si="124"/>
        <v>0</v>
      </c>
      <c r="AP84" s="346">
        <f t="shared" si="124"/>
        <v>0</v>
      </c>
    </row>
    <row r="85" spans="2:42" ht="18.649999999999999" customHeight="1" x14ac:dyDescent="0.35">
      <c r="B85" s="321" t="s">
        <v>122</v>
      </c>
      <c r="C85" s="293" t="s">
        <v>97</v>
      </c>
      <c r="D85" s="264" t="s">
        <v>561</v>
      </c>
      <c r="E85" s="264" t="s">
        <v>45</v>
      </c>
      <c r="F85" s="263" t="s">
        <v>87</v>
      </c>
      <c r="G85" s="263" t="s">
        <v>98</v>
      </c>
      <c r="H85" s="265" t="s">
        <v>90</v>
      </c>
      <c r="I85" s="265" t="s">
        <v>609</v>
      </c>
      <c r="J85" s="552" t="s">
        <v>96</v>
      </c>
      <c r="K85" s="263" t="s">
        <v>89</v>
      </c>
      <c r="L85" s="266">
        <f t="shared" si="120"/>
        <v>21</v>
      </c>
      <c r="M85" s="267">
        <v>45460</v>
      </c>
      <c r="N85" s="267">
        <v>45480</v>
      </c>
      <c r="O85" s="266">
        <f t="shared" si="121"/>
        <v>4388751.2535612807</v>
      </c>
      <c r="P85" s="268" t="s">
        <v>17</v>
      </c>
      <c r="Q85" s="269">
        <v>1E-3</v>
      </c>
      <c r="R85" s="266">
        <f t="shared" ref="R85:R86" si="126">O85*Q85</f>
        <v>4388.7512535612805</v>
      </c>
      <c r="S85" s="270">
        <v>0.7</v>
      </c>
      <c r="T85" s="271">
        <f>O85*S85</f>
        <v>3072125.8774928963</v>
      </c>
      <c r="U85" s="266">
        <f t="shared" ref="U85" si="127">AB85*AC85</f>
        <v>2507857.8591778749</v>
      </c>
      <c r="V85" s="266">
        <v>1.75</v>
      </c>
      <c r="W85" s="266"/>
      <c r="X85" s="272">
        <v>70</v>
      </c>
      <c r="Y85" s="273">
        <f t="shared" si="123"/>
        <v>307212.58774928964</v>
      </c>
      <c r="Z85" s="273">
        <f t="shared" si="69"/>
        <v>69.999999999999986</v>
      </c>
      <c r="AA85" s="273">
        <f t="shared" ref="AA85:AA92" si="128">Y85/R85</f>
        <v>70</v>
      </c>
      <c r="AB85" s="274">
        <f>4836617*85%</f>
        <v>4111124.4499999997</v>
      </c>
      <c r="AC85" s="275">
        <v>0.61001749999999999</v>
      </c>
      <c r="AE85" s="260"/>
      <c r="AF85" s="261">
        <v>0.61599999999999999</v>
      </c>
      <c r="AG85" s="260"/>
      <c r="AJ85" s="346">
        <f t="shared" si="107"/>
        <v>1462917.0845204268</v>
      </c>
      <c r="AK85" s="346">
        <f t="shared" si="107"/>
        <v>1462917.0845204268</v>
      </c>
      <c r="AL85" s="346">
        <f t="shared" si="107"/>
        <v>1462917.0845204268</v>
      </c>
      <c r="AN85" s="346">
        <f t="shared" si="125"/>
        <v>1462.9170845204267</v>
      </c>
      <c r="AO85" s="346">
        <f t="shared" si="124"/>
        <v>1462.9170845204267</v>
      </c>
      <c r="AP85" s="346">
        <f t="shared" si="124"/>
        <v>1462.9170845204267</v>
      </c>
    </row>
    <row r="86" spans="2:42" ht="18.649999999999999" customHeight="1" x14ac:dyDescent="0.35">
      <c r="B86" s="321" t="s">
        <v>122</v>
      </c>
      <c r="C86" s="293" t="s">
        <v>97</v>
      </c>
      <c r="D86" s="264" t="s">
        <v>86</v>
      </c>
      <c r="E86" s="264" t="s">
        <v>45</v>
      </c>
      <c r="F86" s="263" t="s">
        <v>87</v>
      </c>
      <c r="G86" s="263" t="s">
        <v>98</v>
      </c>
      <c r="H86" s="265" t="s">
        <v>90</v>
      </c>
      <c r="I86" s="265" t="s">
        <v>610</v>
      </c>
      <c r="J86" s="552" t="s">
        <v>96</v>
      </c>
      <c r="K86" s="263" t="s">
        <v>89</v>
      </c>
      <c r="L86" s="266">
        <f t="shared" si="120"/>
        <v>21</v>
      </c>
      <c r="M86" s="267">
        <v>45460</v>
      </c>
      <c r="N86" s="267">
        <v>45480</v>
      </c>
      <c r="O86" s="266">
        <f>Y86/X86*1000</f>
        <v>6484089.6656249994</v>
      </c>
      <c r="P86" s="268" t="s">
        <v>17</v>
      </c>
      <c r="Q86" s="269">
        <v>1E-3</v>
      </c>
      <c r="R86" s="266">
        <f t="shared" si="126"/>
        <v>6484.0896656249997</v>
      </c>
      <c r="S86" s="270">
        <v>0.8</v>
      </c>
      <c r="T86" s="271">
        <f>O86*S86</f>
        <v>5187271.7324999999</v>
      </c>
      <c r="U86" s="266">
        <f>O86/V86</f>
        <v>3178475.3262867643</v>
      </c>
      <c r="V86" s="266">
        <f>1.5*136%</f>
        <v>2.04</v>
      </c>
      <c r="W86" s="266"/>
      <c r="X86" s="272">
        <v>80</v>
      </c>
      <c r="Y86" s="273">
        <v>518727.17324999999</v>
      </c>
      <c r="Z86" s="273">
        <f t="shared" si="69"/>
        <v>80</v>
      </c>
      <c r="AA86" s="273">
        <f t="shared" si="128"/>
        <v>80</v>
      </c>
      <c r="AB86" s="274">
        <v>4836617</v>
      </c>
      <c r="AC86" s="275">
        <f>U86/AB86</f>
        <v>0.65716911764705876</v>
      </c>
      <c r="AE86" s="260"/>
      <c r="AF86" s="261">
        <v>0.61599999999999999</v>
      </c>
      <c r="AG86" s="260"/>
      <c r="AJ86" s="346">
        <f t="shared" si="107"/>
        <v>2161363.2218749998</v>
      </c>
      <c r="AK86" s="346">
        <f t="shared" si="107"/>
        <v>2161363.2218749998</v>
      </c>
      <c r="AL86" s="346">
        <f t="shared" si="107"/>
        <v>2161363.2218749998</v>
      </c>
      <c r="AN86" s="346">
        <f t="shared" si="125"/>
        <v>2161.3632218749999</v>
      </c>
      <c r="AO86" s="346">
        <f t="shared" si="124"/>
        <v>2161.3632218749999</v>
      </c>
      <c r="AP86" s="346">
        <f t="shared" si="124"/>
        <v>2161.3632218749999</v>
      </c>
    </row>
    <row r="87" spans="2:42" ht="18.649999999999999" customHeight="1" x14ac:dyDescent="0.35">
      <c r="B87" s="321" t="s">
        <v>122</v>
      </c>
      <c r="C87" s="293" t="s">
        <v>97</v>
      </c>
      <c r="D87" s="263" t="s">
        <v>99</v>
      </c>
      <c r="E87" s="263" t="s">
        <v>46</v>
      </c>
      <c r="F87" s="263" t="s">
        <v>100</v>
      </c>
      <c r="G87" s="263" t="s">
        <v>101</v>
      </c>
      <c r="H87" s="265" t="s">
        <v>88</v>
      </c>
      <c r="I87" s="265" t="s">
        <v>102</v>
      </c>
      <c r="J87" s="553" t="s">
        <v>96</v>
      </c>
      <c r="K87" s="263" t="s">
        <v>89</v>
      </c>
      <c r="L87" s="266">
        <f t="shared" si="120"/>
        <v>21</v>
      </c>
      <c r="M87" s="267">
        <v>45460</v>
      </c>
      <c r="N87" s="267">
        <v>45480</v>
      </c>
      <c r="O87" s="266">
        <f t="shared" si="121"/>
        <v>2515883.0043272441</v>
      </c>
      <c r="P87" s="268" t="s">
        <v>17</v>
      </c>
      <c r="Q87" s="269">
        <v>1.4999999999999999E-2</v>
      </c>
      <c r="R87" s="266">
        <f>O87*Q87</f>
        <v>37738.24506490866</v>
      </c>
      <c r="S87" s="268" t="s">
        <v>17</v>
      </c>
      <c r="T87" s="271" t="s">
        <v>17</v>
      </c>
      <c r="U87" s="266">
        <f>AB87*AC87</f>
        <v>1257941.5021636221</v>
      </c>
      <c r="V87" s="266">
        <v>2</v>
      </c>
      <c r="W87" s="266"/>
      <c r="X87" s="272">
        <v>105</v>
      </c>
      <c r="Y87" s="273">
        <f t="shared" si="123"/>
        <v>264167.71545436064</v>
      </c>
      <c r="Z87" s="273">
        <f t="shared" si="69"/>
        <v>105.00000000000001</v>
      </c>
      <c r="AA87" s="273">
        <f t="shared" si="128"/>
        <v>7.0000000000000009</v>
      </c>
      <c r="AB87" s="274">
        <f>AB85*95%</f>
        <v>3905568.2274999996</v>
      </c>
      <c r="AC87" s="275">
        <v>0.32208924</v>
      </c>
      <c r="AE87" s="260"/>
      <c r="AF87" s="261">
        <v>0.26400000000000001</v>
      </c>
      <c r="AG87" s="260"/>
      <c r="AJ87" s="346">
        <f t="shared" ref="AJ87:AL92" si="129">$O87/$L87*7</f>
        <v>838627.66810908134</v>
      </c>
      <c r="AK87" s="346">
        <f t="shared" si="129"/>
        <v>838627.66810908134</v>
      </c>
      <c r="AL87" s="346">
        <f t="shared" si="129"/>
        <v>838627.66810908134</v>
      </c>
      <c r="AN87" s="346">
        <f t="shared" si="125"/>
        <v>12579.41502163622</v>
      </c>
      <c r="AO87" s="346">
        <f t="shared" si="124"/>
        <v>12579.41502163622</v>
      </c>
      <c r="AP87" s="346">
        <f t="shared" si="124"/>
        <v>12579.41502163622</v>
      </c>
    </row>
    <row r="88" spans="2:42" ht="18.649999999999999" customHeight="1" x14ac:dyDescent="0.35">
      <c r="B88" s="321" t="str">
        <f>B87</f>
        <v>Kolkata + Howrah</v>
      </c>
      <c r="C88" s="293" t="s">
        <v>97</v>
      </c>
      <c r="D88" s="310" t="s">
        <v>103</v>
      </c>
      <c r="E88" s="263" t="s">
        <v>46</v>
      </c>
      <c r="F88" s="310" t="s">
        <v>100</v>
      </c>
      <c r="G88" s="263" t="s">
        <v>98</v>
      </c>
      <c r="H88" s="265" t="s">
        <v>88</v>
      </c>
      <c r="I88" s="265" t="s">
        <v>104</v>
      </c>
      <c r="J88" s="553" t="s">
        <v>96</v>
      </c>
      <c r="K88" s="263" t="s">
        <v>105</v>
      </c>
      <c r="L88" s="266">
        <f t="shared" si="120"/>
        <v>21</v>
      </c>
      <c r="M88" s="267">
        <v>45460</v>
      </c>
      <c r="N88" s="267">
        <v>45480</v>
      </c>
      <c r="O88" s="266">
        <f t="shared" si="121"/>
        <v>1675103.4676683999</v>
      </c>
      <c r="P88" s="268" t="s">
        <v>17</v>
      </c>
      <c r="Q88" s="269">
        <v>1.4999999999999999E-2</v>
      </c>
      <c r="R88" s="266">
        <f>O88*Q88</f>
        <v>25126.552015025998</v>
      </c>
      <c r="S88" s="268" t="s">
        <v>17</v>
      </c>
      <c r="T88" s="271" t="s">
        <v>17</v>
      </c>
      <c r="U88" s="266">
        <f>AB88*AC88</f>
        <v>837551.73383419996</v>
      </c>
      <c r="V88" s="266">
        <v>2</v>
      </c>
      <c r="W88" s="266"/>
      <c r="X88" s="272">
        <v>120</v>
      </c>
      <c r="Y88" s="273">
        <f t="shared" si="123"/>
        <v>201012.41612020798</v>
      </c>
      <c r="Z88" s="273">
        <f t="shared" si="69"/>
        <v>120</v>
      </c>
      <c r="AA88" s="273">
        <f t="shared" si="128"/>
        <v>8</v>
      </c>
      <c r="AB88" s="274">
        <v>1560223</v>
      </c>
      <c r="AC88" s="275">
        <v>0.53681539999999994</v>
      </c>
      <c r="AE88" s="260"/>
      <c r="AF88" s="261">
        <v>0.44</v>
      </c>
      <c r="AG88" s="260"/>
      <c r="AH88" s="320"/>
      <c r="AJ88" s="346">
        <f t="shared" si="129"/>
        <v>558367.82255613338</v>
      </c>
      <c r="AK88" s="346">
        <f t="shared" si="129"/>
        <v>558367.82255613338</v>
      </c>
      <c r="AL88" s="346">
        <f t="shared" si="129"/>
        <v>558367.82255613338</v>
      </c>
      <c r="AN88" s="346">
        <f t="shared" si="125"/>
        <v>8375.5173383419988</v>
      </c>
      <c r="AO88" s="346">
        <f t="shared" si="124"/>
        <v>8375.5173383419988</v>
      </c>
      <c r="AP88" s="346">
        <f t="shared" si="124"/>
        <v>8375.5173383419988</v>
      </c>
    </row>
    <row r="89" spans="2:42" ht="18.649999999999999" customHeight="1" x14ac:dyDescent="0.35">
      <c r="B89" s="321" t="str">
        <f>B88</f>
        <v>Kolkata + Howrah</v>
      </c>
      <c r="C89" s="293" t="s">
        <v>97</v>
      </c>
      <c r="D89" s="310" t="s">
        <v>106</v>
      </c>
      <c r="E89" s="311" t="s">
        <v>46</v>
      </c>
      <c r="F89" s="311" t="s">
        <v>91</v>
      </c>
      <c r="G89" s="263" t="s">
        <v>98</v>
      </c>
      <c r="H89" s="310" t="s">
        <v>88</v>
      </c>
      <c r="I89" s="263" t="s">
        <v>107</v>
      </c>
      <c r="J89" s="553" t="s">
        <v>96</v>
      </c>
      <c r="K89" s="263" t="s">
        <v>89</v>
      </c>
      <c r="L89" s="266">
        <f t="shared" si="120"/>
        <v>21</v>
      </c>
      <c r="M89" s="267">
        <v>45460</v>
      </c>
      <c r="N89" s="267">
        <v>45480</v>
      </c>
      <c r="O89" s="266">
        <f t="shared" si="121"/>
        <v>1321712.8437836401</v>
      </c>
      <c r="P89" s="268" t="s">
        <v>17</v>
      </c>
      <c r="Q89" s="312">
        <v>0.01</v>
      </c>
      <c r="R89" s="266">
        <f t="shared" ref="R89:R90" si="130">O89*Q89</f>
        <v>13217.128437836402</v>
      </c>
      <c r="S89" s="268" t="s">
        <v>17</v>
      </c>
      <c r="T89" s="271" t="s">
        <v>17</v>
      </c>
      <c r="U89" s="266">
        <f t="shared" ref="U89" si="131">AB89*AC89</f>
        <v>660856.42189182003</v>
      </c>
      <c r="V89" s="266">
        <v>2</v>
      </c>
      <c r="W89" s="266"/>
      <c r="X89" s="272">
        <v>200</v>
      </c>
      <c r="Y89" s="273">
        <f>O89*X89/1000</f>
        <v>264342.56875672803</v>
      </c>
      <c r="Z89" s="273">
        <f t="shared" si="69"/>
        <v>200</v>
      </c>
      <c r="AA89" s="273">
        <f t="shared" si="128"/>
        <v>20</v>
      </c>
      <c r="AB89" s="274">
        <v>1865255</v>
      </c>
      <c r="AC89" s="275">
        <v>0.35429816400000003</v>
      </c>
      <c r="AE89" s="260"/>
      <c r="AF89" s="261">
        <v>0.26400000000000001</v>
      </c>
      <c r="AG89" s="260"/>
      <c r="AH89" s="562"/>
      <c r="AJ89" s="346">
        <f t="shared" si="129"/>
        <v>440570.94792788004</v>
      </c>
      <c r="AK89" s="346">
        <f t="shared" si="129"/>
        <v>440570.94792788004</v>
      </c>
      <c r="AL89" s="346">
        <f t="shared" si="129"/>
        <v>440570.94792788004</v>
      </c>
      <c r="AN89" s="346">
        <f t="shared" si="125"/>
        <v>4405.7094792788012</v>
      </c>
      <c r="AO89" s="346">
        <f t="shared" si="124"/>
        <v>4405.7094792788012</v>
      </c>
      <c r="AP89" s="346">
        <f t="shared" si="124"/>
        <v>4405.7094792788012</v>
      </c>
    </row>
    <row r="90" spans="2:42" ht="18.649999999999999" customHeight="1" x14ac:dyDescent="0.35">
      <c r="B90" s="321" t="str">
        <f>B89</f>
        <v>Kolkata + Howrah</v>
      </c>
      <c r="C90" s="293" t="s">
        <v>97</v>
      </c>
      <c r="D90" s="310" t="s">
        <v>588</v>
      </c>
      <c r="E90" s="263" t="s">
        <v>46</v>
      </c>
      <c r="F90" s="310" t="s">
        <v>589</v>
      </c>
      <c r="G90" s="263" t="s">
        <v>98</v>
      </c>
      <c r="H90" s="265" t="s">
        <v>88</v>
      </c>
      <c r="I90" s="265" t="s">
        <v>590</v>
      </c>
      <c r="J90" s="553" t="s">
        <v>591</v>
      </c>
      <c r="K90" s="263" t="s">
        <v>592</v>
      </c>
      <c r="L90" s="266">
        <f t="shared" si="120"/>
        <v>21</v>
      </c>
      <c r="M90" s="267">
        <v>45460</v>
      </c>
      <c r="N90" s="267">
        <v>45480</v>
      </c>
      <c r="O90" s="266">
        <f>U90*3</f>
        <v>202355.37000000002</v>
      </c>
      <c r="P90" s="268" t="s">
        <v>17</v>
      </c>
      <c r="Q90" s="269">
        <v>1.4999999999999999E-2</v>
      </c>
      <c r="R90" s="266">
        <f t="shared" si="130"/>
        <v>3035.3305500000001</v>
      </c>
      <c r="S90" s="268" t="s">
        <v>17</v>
      </c>
      <c r="T90" s="271" t="s">
        <v>17</v>
      </c>
      <c r="U90" s="266">
        <f>AB90*AC90</f>
        <v>67451.790000000008</v>
      </c>
      <c r="V90" s="266">
        <f>O90/U90</f>
        <v>3</v>
      </c>
      <c r="W90" s="266"/>
      <c r="X90" s="272">
        <v>2</v>
      </c>
      <c r="Y90" s="273">
        <f>O90/3*X90</f>
        <v>134903.58000000002</v>
      </c>
      <c r="Z90" s="273">
        <f t="shared" si="69"/>
        <v>666.66666666666663</v>
      </c>
      <c r="AA90" s="273">
        <f t="shared" si="128"/>
        <v>44.44444444444445</v>
      </c>
      <c r="AB90" s="274">
        <v>963597</v>
      </c>
      <c r="AC90" s="275">
        <v>7.0000000000000007E-2</v>
      </c>
      <c r="AE90" s="260"/>
      <c r="AF90" s="261">
        <v>0.26400000000000001</v>
      </c>
      <c r="AG90" s="260"/>
      <c r="AJ90" s="346">
        <f t="shared" si="129"/>
        <v>67451.790000000008</v>
      </c>
      <c r="AK90" s="346">
        <f t="shared" si="129"/>
        <v>67451.790000000008</v>
      </c>
      <c r="AL90" s="346">
        <f t="shared" si="129"/>
        <v>67451.790000000008</v>
      </c>
      <c r="AN90" s="346">
        <f t="shared" si="125"/>
        <v>1011.7768500000002</v>
      </c>
      <c r="AO90" s="346">
        <f t="shared" si="124"/>
        <v>1011.7768500000002</v>
      </c>
      <c r="AP90" s="346">
        <f t="shared" si="124"/>
        <v>1011.7768500000002</v>
      </c>
    </row>
    <row r="91" spans="2:42" ht="18.649999999999999" customHeight="1" x14ac:dyDescent="0.35">
      <c r="B91" s="321" t="str">
        <f>B90</f>
        <v>Kolkata + Howrah</v>
      </c>
      <c r="C91" s="293" t="s">
        <v>97</v>
      </c>
      <c r="D91" s="310" t="s">
        <v>109</v>
      </c>
      <c r="E91" s="263" t="s">
        <v>46</v>
      </c>
      <c r="F91" s="310" t="s">
        <v>100</v>
      </c>
      <c r="G91" s="263" t="s">
        <v>98</v>
      </c>
      <c r="H91" s="265" t="s">
        <v>88</v>
      </c>
      <c r="I91" s="265" t="s">
        <v>110</v>
      </c>
      <c r="J91" s="553" t="s">
        <v>96</v>
      </c>
      <c r="K91" s="263" t="s">
        <v>111</v>
      </c>
      <c r="L91" s="266">
        <f t="shared" si="120"/>
        <v>21</v>
      </c>
      <c r="M91" s="267">
        <v>45460</v>
      </c>
      <c r="N91" s="267">
        <v>45480</v>
      </c>
      <c r="O91" s="266">
        <f t="shared" si="121"/>
        <v>1843381.1383679996</v>
      </c>
      <c r="P91" s="268" t="s">
        <v>17</v>
      </c>
      <c r="Q91" s="269">
        <v>0.02</v>
      </c>
      <c r="R91" s="266">
        <f>O91*Q91</f>
        <v>36867.622767359993</v>
      </c>
      <c r="S91" s="268" t="s">
        <v>17</v>
      </c>
      <c r="T91" s="271" t="s">
        <v>17</v>
      </c>
      <c r="U91" s="266">
        <f>AB91*AC91</f>
        <v>1843381.1383679996</v>
      </c>
      <c r="V91" s="266">
        <v>1</v>
      </c>
      <c r="W91" s="266"/>
      <c r="X91" s="272">
        <v>4.5</v>
      </c>
      <c r="Y91" s="273">
        <f>R91*X91</f>
        <v>165904.30245311998</v>
      </c>
      <c r="Z91" s="273">
        <f t="shared" si="69"/>
        <v>90.000000000000014</v>
      </c>
      <c r="AA91" s="273">
        <f t="shared" si="128"/>
        <v>4.5</v>
      </c>
      <c r="AB91" s="274">
        <v>2861599.9999999995</v>
      </c>
      <c r="AC91" s="275">
        <v>0.64417848</v>
      </c>
      <c r="AE91" s="260"/>
      <c r="AF91" s="261">
        <v>0.52800000000000002</v>
      </c>
      <c r="AG91" s="260"/>
      <c r="AJ91" s="346">
        <f t="shared" si="129"/>
        <v>614460.37945599994</v>
      </c>
      <c r="AK91" s="346">
        <f t="shared" si="129"/>
        <v>614460.37945599994</v>
      </c>
      <c r="AL91" s="346">
        <f t="shared" si="129"/>
        <v>614460.37945599994</v>
      </c>
      <c r="AN91" s="346">
        <f t="shared" si="125"/>
        <v>12289.207589119997</v>
      </c>
      <c r="AO91" s="346">
        <f t="shared" si="124"/>
        <v>12289.207589119997</v>
      </c>
      <c r="AP91" s="346">
        <f t="shared" si="124"/>
        <v>12289.207589119997</v>
      </c>
    </row>
    <row r="92" spans="2:42" ht="18.649999999999999" customHeight="1" x14ac:dyDescent="0.35">
      <c r="B92" s="321" t="str">
        <f>B90</f>
        <v>Kolkata + Howrah</v>
      </c>
      <c r="C92" s="293" t="s">
        <v>97</v>
      </c>
      <c r="D92" s="310" t="s">
        <v>600</v>
      </c>
      <c r="E92" s="314" t="s">
        <v>46</v>
      </c>
      <c r="F92" s="311" t="s">
        <v>565</v>
      </c>
      <c r="G92" s="263" t="s">
        <v>101</v>
      </c>
      <c r="H92" s="265" t="s">
        <v>88</v>
      </c>
      <c r="I92" s="265" t="s">
        <v>527</v>
      </c>
      <c r="J92" s="552" t="s">
        <v>566</v>
      </c>
      <c r="K92" s="263" t="s">
        <v>89</v>
      </c>
      <c r="L92" s="266">
        <f t="shared" ref="L92" si="132">N92-M92+1</f>
        <v>13</v>
      </c>
      <c r="M92" s="267">
        <v>45460</v>
      </c>
      <c r="N92" s="267">
        <v>45472</v>
      </c>
      <c r="O92" s="266">
        <f t="shared" si="121"/>
        <v>327081.92000000004</v>
      </c>
      <c r="P92" s="268" t="s">
        <v>17</v>
      </c>
      <c r="Q92" s="315">
        <v>5.0000000000000001E-3</v>
      </c>
      <c r="R92" s="266">
        <f t="shared" ref="R92" si="133">O92*Q92</f>
        <v>1635.4096000000002</v>
      </c>
      <c r="S92" s="268" t="s">
        <v>17</v>
      </c>
      <c r="T92" s="271" t="s">
        <v>17</v>
      </c>
      <c r="U92" s="266">
        <f t="shared" ref="U92" si="134">AB92*AC92</f>
        <v>163540.96000000002</v>
      </c>
      <c r="V92" s="266">
        <v>2</v>
      </c>
      <c r="W92" s="266"/>
      <c r="X92" s="272">
        <v>105</v>
      </c>
      <c r="Y92" s="273">
        <f t="shared" ref="Y92" si="135">O92/1000*X92</f>
        <v>34343.601600000002</v>
      </c>
      <c r="Z92" s="273">
        <f t="shared" si="69"/>
        <v>105</v>
      </c>
      <c r="AA92" s="273">
        <f t="shared" si="128"/>
        <v>21</v>
      </c>
      <c r="AB92" s="274">
        <v>408852.4</v>
      </c>
      <c r="AC92" s="275">
        <v>0.4</v>
      </c>
      <c r="AE92" s="260"/>
      <c r="AF92" s="261">
        <v>0.74917341863057396</v>
      </c>
      <c r="AG92" s="260"/>
      <c r="AJ92" s="346">
        <f t="shared" si="129"/>
        <v>176121.03384615388</v>
      </c>
      <c r="AK92" s="346">
        <f>$O92/$L92*6</f>
        <v>150960.88615384616</v>
      </c>
      <c r="AL92" s="346"/>
      <c r="AN92" s="346">
        <f>R92/$L92*7</f>
        <v>880.60516923076932</v>
      </c>
      <c r="AO92" s="346">
        <f>R92/$L92*6</f>
        <v>754.80443076923086</v>
      </c>
      <c r="AP92" s="346"/>
    </row>
    <row r="93" spans="2:42" ht="18.649999999999999" customHeight="1" x14ac:dyDescent="0.35">
      <c r="B93" s="321" t="s">
        <v>122</v>
      </c>
      <c r="C93" s="293" t="s">
        <v>97</v>
      </c>
      <c r="D93" s="311" t="s">
        <v>116</v>
      </c>
      <c r="E93" s="263" t="s">
        <v>46</v>
      </c>
      <c r="F93" s="311" t="s">
        <v>114</v>
      </c>
      <c r="G93" s="263" t="s">
        <v>98</v>
      </c>
      <c r="H93" s="265" t="s">
        <v>88</v>
      </c>
      <c r="I93" s="265" t="s">
        <v>115</v>
      </c>
      <c r="J93" s="552" t="s">
        <v>96</v>
      </c>
      <c r="K93" s="263" t="s">
        <v>105</v>
      </c>
      <c r="L93" s="266">
        <f>N93-M93+1</f>
        <v>6</v>
      </c>
      <c r="M93" s="267">
        <v>45471</v>
      </c>
      <c r="N93" s="267">
        <v>45476</v>
      </c>
      <c r="O93" s="266">
        <f>220115/14*6</f>
        <v>94335</v>
      </c>
      <c r="P93" s="268" t="s">
        <v>17</v>
      </c>
      <c r="Q93" s="315">
        <v>0.01</v>
      </c>
      <c r="R93" s="266">
        <f>O93*Q93</f>
        <v>943.35</v>
      </c>
      <c r="S93" s="268" t="s">
        <v>17</v>
      </c>
      <c r="T93" s="271" t="s">
        <v>17</v>
      </c>
      <c r="U93" s="266">
        <f>O93/V93</f>
        <v>37734</v>
      </c>
      <c r="V93" s="266">
        <v>2.5</v>
      </c>
      <c r="W93" s="266"/>
      <c r="X93" s="272">
        <v>260</v>
      </c>
      <c r="Y93" s="273">
        <f>(O93/1000)*X93</f>
        <v>24527.1</v>
      </c>
      <c r="Z93" s="273">
        <f t="shared" si="69"/>
        <v>260</v>
      </c>
      <c r="AA93" s="273">
        <f>Y93/R93</f>
        <v>25.999999999999996</v>
      </c>
      <c r="AB93" s="274">
        <v>102720</v>
      </c>
      <c r="AC93" s="275">
        <f>U93/AB93</f>
        <v>0.3673481308411215</v>
      </c>
      <c r="AE93" s="260"/>
      <c r="AF93" s="261">
        <v>0.37714408099688473</v>
      </c>
      <c r="AG93" s="260"/>
      <c r="AJ93" s="346"/>
      <c r="AK93" s="346">
        <f>$O93/$L93*3</f>
        <v>47167.5</v>
      </c>
      <c r="AL93" s="346">
        <f>$O93/$L93*3</f>
        <v>47167.5</v>
      </c>
      <c r="AN93" s="346"/>
      <c r="AO93" s="346">
        <f>$R93/$L93*3</f>
        <v>471.67499999999995</v>
      </c>
      <c r="AP93" s="346">
        <f>$R93/$L93*3</f>
        <v>471.67499999999995</v>
      </c>
    </row>
    <row r="94" spans="2:42" ht="18.649999999999999" customHeight="1" x14ac:dyDescent="0.35">
      <c r="B94" s="277" t="str">
        <f>B93</f>
        <v>Kolkata + Howrah</v>
      </c>
      <c r="C94" s="278"/>
      <c r="D94" s="279" t="s">
        <v>18</v>
      </c>
      <c r="E94" s="280"/>
      <c r="F94" s="279"/>
      <c r="G94" s="280"/>
      <c r="H94" s="280"/>
      <c r="I94" s="281"/>
      <c r="J94" s="546"/>
      <c r="K94" s="283"/>
      <c r="L94" s="284"/>
      <c r="M94" s="284"/>
      <c r="N94" s="284"/>
      <c r="O94" s="284">
        <f>SUM(O83:O93)</f>
        <v>42153485.476215728</v>
      </c>
      <c r="P94" s="284"/>
      <c r="Q94" s="285">
        <f>R94/O94</f>
        <v>3.0705996880696692E-3</v>
      </c>
      <c r="R94" s="284">
        <f>SUM(R83:R93)</f>
        <v>129436.47935431734</v>
      </c>
      <c r="S94" s="286"/>
      <c r="T94" s="316">
        <f>SUM(T83:T93)</f>
        <v>26981676.130444035</v>
      </c>
      <c r="U94" s="284">
        <f>U86+(SUM(U83:U83,U87:U93,U84:U85)*18%)</f>
        <v>5019342.0170141468</v>
      </c>
      <c r="V94" s="284">
        <f>O94/U94</f>
        <v>8.3982094332937187</v>
      </c>
      <c r="W94" s="284"/>
      <c r="X94" s="287"/>
      <c r="Y94" s="317">
        <f>SUM(Y83:Y93)</f>
        <v>4502721.665844366</v>
      </c>
      <c r="Z94" s="288">
        <f t="shared" si="69"/>
        <v>106.81730383564457</v>
      </c>
      <c r="AA94" s="288">
        <f>Y94/R94</f>
        <v>34.787114794112156</v>
      </c>
      <c r="AB94" s="284">
        <f>AB86+(SUM(AB83:AB83,AB87:AB93,AB84:AB85)*9%)</f>
        <v>6543061.1069750004</v>
      </c>
      <c r="AC94" s="289">
        <f>U94/AB94</f>
        <v>0.76712442921608259</v>
      </c>
      <c r="AD94" s="261"/>
      <c r="AE94" s="290"/>
      <c r="AF94" s="261">
        <v>0.75380651153512179</v>
      </c>
      <c r="AG94" s="290"/>
      <c r="AH94" s="460"/>
      <c r="AI94" s="459"/>
    </row>
    <row r="95" spans="2:42" ht="18.649999999999999" customHeight="1" x14ac:dyDescent="0.35">
      <c r="B95" s="321" t="s">
        <v>22</v>
      </c>
      <c r="C95" s="293" t="s">
        <v>93</v>
      </c>
      <c r="D95" s="294" t="s">
        <v>94</v>
      </c>
      <c r="E95" s="294" t="s">
        <v>45</v>
      </c>
      <c r="F95" s="295" t="s">
        <v>87</v>
      </c>
      <c r="G95" s="295" t="s">
        <v>50</v>
      </c>
      <c r="H95" s="296" t="s">
        <v>95</v>
      </c>
      <c r="I95" s="296" t="s">
        <v>608</v>
      </c>
      <c r="J95" s="551" t="s">
        <v>96</v>
      </c>
      <c r="K95" s="295" t="s">
        <v>89</v>
      </c>
      <c r="L95" s="298">
        <f t="shared" ref="L95:L103" si="136">N95-(M95-1)</f>
        <v>21</v>
      </c>
      <c r="M95" s="299">
        <v>45460</v>
      </c>
      <c r="N95" s="299">
        <v>45480</v>
      </c>
      <c r="O95" s="298">
        <f t="shared" ref="O95:O97" si="137">U95*V95</f>
        <v>4021132.1352787204</v>
      </c>
      <c r="P95" s="300" t="s">
        <v>17</v>
      </c>
      <c r="Q95" s="301"/>
      <c r="R95" s="298"/>
      <c r="S95" s="302">
        <v>0.85</v>
      </c>
      <c r="T95" s="303">
        <f t="shared" ref="T95:T96" si="138">O95*S95</f>
        <v>3417962.3149869121</v>
      </c>
      <c r="U95" s="298">
        <f>AB95*AC95</f>
        <v>591342.96107039996</v>
      </c>
      <c r="V95" s="298">
        <f>5*136%</f>
        <v>6.8000000000000007</v>
      </c>
      <c r="W95" s="298"/>
      <c r="X95" s="304">
        <v>125</v>
      </c>
      <c r="Y95" s="305">
        <f t="shared" ref="Y95:Y100" si="139">(O95/1000)*X95</f>
        <v>502641.51690984005</v>
      </c>
      <c r="Z95" s="305">
        <f t="shared" si="69"/>
        <v>125</v>
      </c>
      <c r="AA95" s="305"/>
      <c r="AB95" s="306">
        <v>688485</v>
      </c>
      <c r="AC95" s="307">
        <v>0.85890464</v>
      </c>
      <c r="AD95" s="261"/>
      <c r="AE95" s="260"/>
      <c r="AF95" s="261">
        <v>0.70400000000000007</v>
      </c>
      <c r="AG95" s="260"/>
      <c r="AJ95" s="346">
        <f t="shared" ref="AJ95:AL110" si="140">$O95/$L95*7</f>
        <v>1340377.3784262403</v>
      </c>
      <c r="AK95" s="346">
        <f t="shared" si="140"/>
        <v>1340377.3784262403</v>
      </c>
      <c r="AL95" s="346">
        <f t="shared" si="140"/>
        <v>1340377.3784262403</v>
      </c>
      <c r="AN95" s="346">
        <f>$R95/$L95*7</f>
        <v>0</v>
      </c>
      <c r="AO95" s="346">
        <f t="shared" ref="AO95:AP103" si="141">$R95/$L95*7</f>
        <v>0</v>
      </c>
      <c r="AP95" s="346">
        <f t="shared" si="141"/>
        <v>0</v>
      </c>
    </row>
    <row r="96" spans="2:42" ht="18.649999999999999" customHeight="1" x14ac:dyDescent="0.35">
      <c r="B96" s="321" t="s">
        <v>22</v>
      </c>
      <c r="C96" s="293" t="s">
        <v>93</v>
      </c>
      <c r="D96" s="295" t="s">
        <v>86</v>
      </c>
      <c r="E96" s="295" t="s">
        <v>45</v>
      </c>
      <c r="F96" s="295" t="s">
        <v>87</v>
      </c>
      <c r="G96" s="296" t="s">
        <v>50</v>
      </c>
      <c r="H96" s="296" t="s">
        <v>95</v>
      </c>
      <c r="I96" s="296" t="s">
        <v>610</v>
      </c>
      <c r="J96" s="551" t="s">
        <v>96</v>
      </c>
      <c r="K96" s="295" t="s">
        <v>89</v>
      </c>
      <c r="L96" s="298">
        <f t="shared" si="136"/>
        <v>21</v>
      </c>
      <c r="M96" s="299">
        <v>45460</v>
      </c>
      <c r="N96" s="299">
        <v>45480</v>
      </c>
      <c r="O96" s="298">
        <f>Y96/X96*1000</f>
        <v>23246638.783036184</v>
      </c>
      <c r="P96" s="300" t="s">
        <v>17</v>
      </c>
      <c r="Q96" s="301"/>
      <c r="R96" s="298"/>
      <c r="S96" s="302">
        <v>0.8</v>
      </c>
      <c r="T96" s="303">
        <f t="shared" si="138"/>
        <v>18597311.026428949</v>
      </c>
      <c r="U96" s="298">
        <f>O96/V96</f>
        <v>2800799.8533778531</v>
      </c>
      <c r="V96" s="298">
        <v>8.3000000000000007</v>
      </c>
      <c r="W96" s="298"/>
      <c r="X96" s="304">
        <v>110</v>
      </c>
      <c r="Y96" s="305">
        <f>2557130.26613398</f>
        <v>2557130.2661339799</v>
      </c>
      <c r="Z96" s="305">
        <f t="shared" si="69"/>
        <v>109.99999999999999</v>
      </c>
      <c r="AA96" s="305"/>
      <c r="AB96" s="306">
        <v>3113411</v>
      </c>
      <c r="AC96" s="307">
        <f>U96/AB96</f>
        <v>0.89959207228915583</v>
      </c>
      <c r="AF96" s="261">
        <v>0.748</v>
      </c>
      <c r="AH96" s="568"/>
      <c r="AJ96" s="346">
        <f t="shared" si="140"/>
        <v>7748879.5943453945</v>
      </c>
      <c r="AK96" s="346">
        <f t="shared" si="140"/>
        <v>7748879.5943453945</v>
      </c>
      <c r="AL96" s="346">
        <f t="shared" si="140"/>
        <v>7748879.5943453945</v>
      </c>
      <c r="AN96" s="346">
        <f t="shared" ref="AN96:AN103" si="142">$R96/$L96*7</f>
        <v>0</v>
      </c>
      <c r="AO96" s="346">
        <f t="shared" si="141"/>
        <v>0</v>
      </c>
      <c r="AP96" s="346">
        <f t="shared" si="141"/>
        <v>0</v>
      </c>
    </row>
    <row r="97" spans="2:42" ht="18.649999999999999" customHeight="1" x14ac:dyDescent="0.35">
      <c r="B97" s="321" t="s">
        <v>22</v>
      </c>
      <c r="C97" s="293" t="s">
        <v>97</v>
      </c>
      <c r="D97" s="264" t="s">
        <v>561</v>
      </c>
      <c r="E97" s="264" t="s">
        <v>45</v>
      </c>
      <c r="F97" s="263" t="s">
        <v>87</v>
      </c>
      <c r="G97" s="263" t="s">
        <v>98</v>
      </c>
      <c r="H97" s="265" t="s">
        <v>90</v>
      </c>
      <c r="I97" s="265" t="s">
        <v>609</v>
      </c>
      <c r="J97" s="552" t="s">
        <v>96</v>
      </c>
      <c r="K97" s="263" t="s">
        <v>89</v>
      </c>
      <c r="L97" s="266">
        <f t="shared" si="136"/>
        <v>21</v>
      </c>
      <c r="M97" s="267">
        <v>45460</v>
      </c>
      <c r="N97" s="267">
        <v>45480</v>
      </c>
      <c r="O97" s="266">
        <f t="shared" si="137"/>
        <v>5541567.9677231563</v>
      </c>
      <c r="P97" s="268" t="s">
        <v>17</v>
      </c>
      <c r="Q97" s="269">
        <v>1E-3</v>
      </c>
      <c r="R97" s="266">
        <f t="shared" ref="R97:R98" si="143">O97*Q97</f>
        <v>5541.5679677231565</v>
      </c>
      <c r="S97" s="270">
        <v>0.7</v>
      </c>
      <c r="T97" s="271">
        <f>O97*S97</f>
        <v>3879097.577406209</v>
      </c>
      <c r="U97" s="266">
        <f t="shared" ref="U97" si="144">AB97*AC97</f>
        <v>3166610.267270375</v>
      </c>
      <c r="V97" s="266">
        <v>1.75</v>
      </c>
      <c r="W97" s="266"/>
      <c r="X97" s="272">
        <v>70</v>
      </c>
      <c r="Y97" s="273">
        <f t="shared" si="139"/>
        <v>387909.75774062093</v>
      </c>
      <c r="Z97" s="273">
        <f t="shared" si="69"/>
        <v>69.999999999999986</v>
      </c>
      <c r="AA97" s="273">
        <f t="shared" ref="AA97:AA104" si="145">Y97/R97</f>
        <v>70</v>
      </c>
      <c r="AB97" s="274">
        <f>6107077*85%</f>
        <v>5191015.45</v>
      </c>
      <c r="AC97" s="275">
        <v>0.61001749999999999</v>
      </c>
      <c r="AE97" s="260"/>
      <c r="AF97" s="261">
        <v>0.61599999999999999</v>
      </c>
      <c r="AG97" s="260"/>
      <c r="AJ97" s="346">
        <f t="shared" si="140"/>
        <v>1847189.3225743854</v>
      </c>
      <c r="AK97" s="346">
        <f t="shared" si="140"/>
        <v>1847189.3225743854</v>
      </c>
      <c r="AL97" s="346">
        <f t="shared" si="140"/>
        <v>1847189.3225743854</v>
      </c>
      <c r="AN97" s="346">
        <f t="shared" si="142"/>
        <v>1847.1893225743856</v>
      </c>
      <c r="AO97" s="346">
        <f t="shared" si="141"/>
        <v>1847.1893225743856</v>
      </c>
      <c r="AP97" s="346">
        <f t="shared" si="141"/>
        <v>1847.1893225743856</v>
      </c>
    </row>
    <row r="98" spans="2:42" ht="18.649999999999999" customHeight="1" x14ac:dyDescent="0.35">
      <c r="B98" s="321" t="s">
        <v>22</v>
      </c>
      <c r="C98" s="293" t="s">
        <v>97</v>
      </c>
      <c r="D98" s="264" t="s">
        <v>86</v>
      </c>
      <c r="E98" s="264" t="s">
        <v>45</v>
      </c>
      <c r="F98" s="263" t="s">
        <v>87</v>
      </c>
      <c r="G98" s="263" t="s">
        <v>98</v>
      </c>
      <c r="H98" s="265" t="s">
        <v>90</v>
      </c>
      <c r="I98" s="265" t="s">
        <v>610</v>
      </c>
      <c r="J98" s="552" t="s">
        <v>96</v>
      </c>
      <c r="K98" s="263" t="s">
        <v>89</v>
      </c>
      <c r="L98" s="266">
        <f t="shared" si="136"/>
        <v>21</v>
      </c>
      <c r="M98" s="267">
        <v>45460</v>
      </c>
      <c r="N98" s="267">
        <v>45480</v>
      </c>
      <c r="O98" s="266">
        <f>Y98/X98*1000</f>
        <v>8187300.1031250004</v>
      </c>
      <c r="P98" s="268" t="s">
        <v>17</v>
      </c>
      <c r="Q98" s="269">
        <v>1E-3</v>
      </c>
      <c r="R98" s="266">
        <f t="shared" si="143"/>
        <v>8187.3001031250005</v>
      </c>
      <c r="S98" s="270">
        <v>0.8</v>
      </c>
      <c r="T98" s="271">
        <f>O98*S98</f>
        <v>6549840.0825000005</v>
      </c>
      <c r="U98" s="266">
        <f>O98/V98</f>
        <v>4013382.4034926472</v>
      </c>
      <c r="V98" s="266">
        <f>1.5*136%</f>
        <v>2.04</v>
      </c>
      <c r="W98" s="266"/>
      <c r="X98" s="272">
        <v>80</v>
      </c>
      <c r="Y98" s="273">
        <v>654984.00825000007</v>
      </c>
      <c r="Z98" s="273">
        <f t="shared" si="69"/>
        <v>80</v>
      </c>
      <c r="AA98" s="273">
        <f t="shared" si="145"/>
        <v>80</v>
      </c>
      <c r="AB98" s="274">
        <v>6107077</v>
      </c>
      <c r="AC98" s="275">
        <f>U98/AB98</f>
        <v>0.65716911764705888</v>
      </c>
      <c r="AE98" s="260"/>
      <c r="AF98" s="261">
        <v>0.61599999999999999</v>
      </c>
      <c r="AG98" s="260"/>
      <c r="AJ98" s="346">
        <f t="shared" si="140"/>
        <v>2729100.0343749998</v>
      </c>
      <c r="AK98" s="346">
        <f t="shared" si="140"/>
        <v>2729100.0343749998</v>
      </c>
      <c r="AL98" s="346">
        <f t="shared" si="140"/>
        <v>2729100.0343749998</v>
      </c>
      <c r="AN98" s="346">
        <f t="shared" si="142"/>
        <v>2729.1000343750002</v>
      </c>
      <c r="AO98" s="346">
        <f t="shared" si="141"/>
        <v>2729.1000343750002</v>
      </c>
      <c r="AP98" s="346">
        <f t="shared" si="141"/>
        <v>2729.1000343750002</v>
      </c>
    </row>
    <row r="99" spans="2:42" ht="18.649999999999999" customHeight="1" x14ac:dyDescent="0.35">
      <c r="B99" s="321" t="s">
        <v>22</v>
      </c>
      <c r="C99" s="293" t="s">
        <v>97</v>
      </c>
      <c r="D99" s="263" t="s">
        <v>99</v>
      </c>
      <c r="E99" s="263" t="s">
        <v>46</v>
      </c>
      <c r="F99" s="263" t="s">
        <v>100</v>
      </c>
      <c r="G99" s="263" t="s">
        <v>101</v>
      </c>
      <c r="H99" s="265" t="s">
        <v>88</v>
      </c>
      <c r="I99" s="265" t="s">
        <v>102</v>
      </c>
      <c r="J99" s="553" t="s">
        <v>96</v>
      </c>
      <c r="K99" s="263" t="s">
        <v>89</v>
      </c>
      <c r="L99" s="266">
        <f t="shared" si="136"/>
        <v>21</v>
      </c>
      <c r="M99" s="267">
        <v>45460</v>
      </c>
      <c r="N99" s="267">
        <v>45480</v>
      </c>
      <c r="O99" s="266">
        <f>U99*V99</f>
        <v>3176743.4201256405</v>
      </c>
      <c r="P99" s="268" t="s">
        <v>17</v>
      </c>
      <c r="Q99" s="269">
        <v>1.4999999999999999E-2</v>
      </c>
      <c r="R99" s="266">
        <f>O99*Q99</f>
        <v>47651.151301884602</v>
      </c>
      <c r="S99" s="268" t="s">
        <v>17</v>
      </c>
      <c r="T99" s="271" t="s">
        <v>17</v>
      </c>
      <c r="U99" s="266">
        <f>AB99*AC99</f>
        <v>1588371.7100628202</v>
      </c>
      <c r="V99" s="266">
        <v>2</v>
      </c>
      <c r="W99" s="266"/>
      <c r="X99" s="272">
        <v>105</v>
      </c>
      <c r="Y99" s="273">
        <f t="shared" si="139"/>
        <v>333558.05911319226</v>
      </c>
      <c r="Z99" s="273">
        <f t="shared" si="69"/>
        <v>105</v>
      </c>
      <c r="AA99" s="273">
        <f t="shared" si="145"/>
        <v>7.0000000000000009</v>
      </c>
      <c r="AB99" s="274">
        <f>AB97*95%</f>
        <v>4931464.6775000002</v>
      </c>
      <c r="AC99" s="275">
        <v>0.32208924</v>
      </c>
      <c r="AE99" s="260"/>
      <c r="AF99" s="261">
        <v>0.26400000000000001</v>
      </c>
      <c r="AG99" s="260"/>
      <c r="AJ99" s="346">
        <f t="shared" si="140"/>
        <v>1058914.4733752136</v>
      </c>
      <c r="AK99" s="346">
        <f t="shared" si="140"/>
        <v>1058914.4733752136</v>
      </c>
      <c r="AL99" s="346">
        <f t="shared" si="140"/>
        <v>1058914.4733752136</v>
      </c>
      <c r="AN99" s="346">
        <f t="shared" si="142"/>
        <v>15883.717100628201</v>
      </c>
      <c r="AO99" s="346">
        <f t="shared" si="141"/>
        <v>15883.717100628201</v>
      </c>
      <c r="AP99" s="346">
        <f t="shared" si="141"/>
        <v>15883.717100628201</v>
      </c>
    </row>
    <row r="100" spans="2:42" ht="18.649999999999999" customHeight="1" x14ac:dyDescent="0.35">
      <c r="B100" s="321" t="str">
        <f>B99</f>
        <v>Mumbai</v>
      </c>
      <c r="C100" s="293" t="s">
        <v>97</v>
      </c>
      <c r="D100" s="310" t="s">
        <v>103</v>
      </c>
      <c r="E100" s="263" t="s">
        <v>46</v>
      </c>
      <c r="F100" s="310" t="s">
        <v>100</v>
      </c>
      <c r="G100" s="263" t="s">
        <v>98</v>
      </c>
      <c r="H100" s="265" t="s">
        <v>88</v>
      </c>
      <c r="I100" s="265" t="s">
        <v>104</v>
      </c>
      <c r="J100" s="553" t="s">
        <v>96</v>
      </c>
      <c r="K100" s="263" t="s">
        <v>105</v>
      </c>
      <c r="L100" s="266">
        <f t="shared" si="136"/>
        <v>21</v>
      </c>
      <c r="M100" s="267">
        <v>45460</v>
      </c>
      <c r="N100" s="267">
        <v>45480</v>
      </c>
      <c r="O100" s="266">
        <f>U100*V100</f>
        <v>2142707.2581463996</v>
      </c>
      <c r="P100" s="268" t="s">
        <v>17</v>
      </c>
      <c r="Q100" s="269">
        <v>1.4999999999999999E-2</v>
      </c>
      <c r="R100" s="266">
        <f>O100*Q100</f>
        <v>32140.608872195993</v>
      </c>
      <c r="S100" s="268" t="s">
        <v>17</v>
      </c>
      <c r="T100" s="271" t="s">
        <v>17</v>
      </c>
      <c r="U100" s="266">
        <f>AB100*AC100</f>
        <v>1071353.6290731998</v>
      </c>
      <c r="V100" s="266">
        <v>2</v>
      </c>
      <c r="W100" s="266"/>
      <c r="X100" s="272">
        <v>120</v>
      </c>
      <c r="Y100" s="273">
        <f t="shared" si="139"/>
        <v>257124.87097756795</v>
      </c>
      <c r="Z100" s="273">
        <f t="shared" si="69"/>
        <v>120</v>
      </c>
      <c r="AA100" s="273">
        <f t="shared" si="145"/>
        <v>8</v>
      </c>
      <c r="AB100" s="274">
        <v>1995758</v>
      </c>
      <c r="AC100" s="275">
        <v>0.53681539999999994</v>
      </c>
      <c r="AE100" s="260"/>
      <c r="AF100" s="261">
        <v>0.44</v>
      </c>
      <c r="AG100" s="260"/>
      <c r="AH100" s="320"/>
      <c r="AJ100" s="346">
        <f t="shared" si="140"/>
        <v>714235.75271546654</v>
      </c>
      <c r="AK100" s="346">
        <f t="shared" si="140"/>
        <v>714235.75271546654</v>
      </c>
      <c r="AL100" s="346">
        <f t="shared" si="140"/>
        <v>714235.75271546654</v>
      </c>
      <c r="AN100" s="346">
        <f t="shared" si="142"/>
        <v>10713.536290731998</v>
      </c>
      <c r="AO100" s="346">
        <f t="shared" si="141"/>
        <v>10713.536290731998</v>
      </c>
      <c r="AP100" s="346">
        <f t="shared" si="141"/>
        <v>10713.536290731998</v>
      </c>
    </row>
    <row r="101" spans="2:42" ht="18" customHeight="1" x14ac:dyDescent="0.35">
      <c r="B101" s="321" t="str">
        <f>B100</f>
        <v>Mumbai</v>
      </c>
      <c r="C101" s="293" t="s">
        <v>97</v>
      </c>
      <c r="D101" s="310" t="s">
        <v>106</v>
      </c>
      <c r="E101" s="311" t="s">
        <v>46</v>
      </c>
      <c r="F101" s="311" t="s">
        <v>91</v>
      </c>
      <c r="G101" s="263" t="s">
        <v>98</v>
      </c>
      <c r="H101" s="310" t="s">
        <v>88</v>
      </c>
      <c r="I101" s="263" t="s">
        <v>107</v>
      </c>
      <c r="J101" s="553" t="s">
        <v>96</v>
      </c>
      <c r="K101" s="263" t="s">
        <v>89</v>
      </c>
      <c r="L101" s="266">
        <f t="shared" si="136"/>
        <v>21</v>
      </c>
      <c r="M101" s="267">
        <v>45460</v>
      </c>
      <c r="N101" s="267">
        <v>45480</v>
      </c>
      <c r="O101" s="266">
        <f>U101*V101</f>
        <v>1311501.2621008321</v>
      </c>
      <c r="P101" s="268" t="s">
        <v>17</v>
      </c>
      <c r="Q101" s="312">
        <v>0.01</v>
      </c>
      <c r="R101" s="266">
        <f t="shared" ref="R101:R102" si="146">O101*Q101</f>
        <v>13115.012621008322</v>
      </c>
      <c r="S101" s="268" t="s">
        <v>17</v>
      </c>
      <c r="T101" s="271" t="s">
        <v>17</v>
      </c>
      <c r="U101" s="266">
        <f t="shared" ref="U101" si="147">AB101*AC101</f>
        <v>655750.63105041604</v>
      </c>
      <c r="V101" s="266">
        <v>2</v>
      </c>
      <c r="W101" s="266"/>
      <c r="X101" s="272">
        <v>200</v>
      </c>
      <c r="Y101" s="273">
        <f>O101*X101/1000</f>
        <v>262300.25242016639</v>
      </c>
      <c r="Z101" s="273">
        <f t="shared" si="69"/>
        <v>199.99999999999997</v>
      </c>
      <c r="AA101" s="273">
        <f t="shared" si="145"/>
        <v>19.999999999999996</v>
      </c>
      <c r="AB101" s="274">
        <v>2776266</v>
      </c>
      <c r="AC101" s="275">
        <v>0.23619877600000003</v>
      </c>
      <c r="AE101" s="260"/>
      <c r="AF101" s="261">
        <v>0.17600000000000002</v>
      </c>
      <c r="AG101" s="260"/>
      <c r="AH101" s="562"/>
      <c r="AJ101" s="346">
        <f t="shared" si="140"/>
        <v>437167.087366944</v>
      </c>
      <c r="AK101" s="346">
        <f t="shared" si="140"/>
        <v>437167.087366944</v>
      </c>
      <c r="AL101" s="346">
        <f t="shared" si="140"/>
        <v>437167.087366944</v>
      </c>
      <c r="AN101" s="346">
        <f t="shared" si="142"/>
        <v>4371.6708736694409</v>
      </c>
      <c r="AO101" s="346">
        <f t="shared" si="141"/>
        <v>4371.6708736694409</v>
      </c>
      <c r="AP101" s="346">
        <f t="shared" si="141"/>
        <v>4371.6708736694409</v>
      </c>
    </row>
    <row r="102" spans="2:42" ht="18.649999999999999" customHeight="1" x14ac:dyDescent="0.35">
      <c r="B102" s="321" t="str">
        <f>B101</f>
        <v>Mumbai</v>
      </c>
      <c r="C102" s="293" t="s">
        <v>97</v>
      </c>
      <c r="D102" s="310" t="s">
        <v>588</v>
      </c>
      <c r="E102" s="263" t="s">
        <v>46</v>
      </c>
      <c r="F102" s="310" t="s">
        <v>589</v>
      </c>
      <c r="G102" s="263" t="s">
        <v>98</v>
      </c>
      <c r="H102" s="265" t="s">
        <v>88</v>
      </c>
      <c r="I102" s="265" t="s">
        <v>590</v>
      </c>
      <c r="J102" s="553" t="s">
        <v>591</v>
      </c>
      <c r="K102" s="263" t="s">
        <v>592</v>
      </c>
      <c r="L102" s="266">
        <f t="shared" si="136"/>
        <v>21</v>
      </c>
      <c r="M102" s="267">
        <v>45460</v>
      </c>
      <c r="N102" s="267">
        <v>45480</v>
      </c>
      <c r="O102" s="266">
        <f>U102*3</f>
        <v>539614.53</v>
      </c>
      <c r="P102" s="268" t="s">
        <v>17</v>
      </c>
      <c r="Q102" s="269">
        <v>1.4999999999999999E-2</v>
      </c>
      <c r="R102" s="266">
        <f t="shared" si="146"/>
        <v>8094.2179500000002</v>
      </c>
      <c r="S102" s="268" t="s">
        <v>17</v>
      </c>
      <c r="T102" s="271" t="s">
        <v>17</v>
      </c>
      <c r="U102" s="266">
        <f>AB102*AC102</f>
        <v>179871.51</v>
      </c>
      <c r="V102" s="266">
        <f>O102/U102</f>
        <v>3</v>
      </c>
      <c r="W102" s="266"/>
      <c r="X102" s="272">
        <v>2</v>
      </c>
      <c r="Y102" s="273">
        <f>O102/3*X102</f>
        <v>359743.02</v>
      </c>
      <c r="Z102" s="273">
        <f t="shared" si="69"/>
        <v>666.66666666666663</v>
      </c>
      <c r="AA102" s="273">
        <f t="shared" si="145"/>
        <v>44.444444444444443</v>
      </c>
      <c r="AB102" s="274">
        <v>2569593</v>
      </c>
      <c r="AC102" s="275">
        <v>7.0000000000000007E-2</v>
      </c>
      <c r="AE102" s="260"/>
      <c r="AF102" s="261">
        <v>0.26400000000000001</v>
      </c>
      <c r="AG102" s="260"/>
      <c r="AJ102" s="346">
        <f t="shared" si="140"/>
        <v>179871.51</v>
      </c>
      <c r="AK102" s="346">
        <f t="shared" si="140"/>
        <v>179871.51</v>
      </c>
      <c r="AL102" s="346">
        <f t="shared" si="140"/>
        <v>179871.51</v>
      </c>
      <c r="AN102" s="346">
        <f t="shared" si="142"/>
        <v>2698.0726500000001</v>
      </c>
      <c r="AO102" s="346">
        <f t="shared" si="141"/>
        <v>2698.0726500000001</v>
      </c>
      <c r="AP102" s="346">
        <f t="shared" si="141"/>
        <v>2698.0726500000001</v>
      </c>
    </row>
    <row r="103" spans="2:42" ht="18.649999999999999" customHeight="1" x14ac:dyDescent="0.35">
      <c r="B103" s="321" t="str">
        <f>B102</f>
        <v>Mumbai</v>
      </c>
      <c r="C103" s="293" t="s">
        <v>97</v>
      </c>
      <c r="D103" s="310" t="s">
        <v>109</v>
      </c>
      <c r="E103" s="263" t="s">
        <v>46</v>
      </c>
      <c r="F103" s="310" t="s">
        <v>100</v>
      </c>
      <c r="G103" s="263" t="s">
        <v>98</v>
      </c>
      <c r="H103" s="265" t="s">
        <v>88</v>
      </c>
      <c r="I103" s="265" t="s">
        <v>110</v>
      </c>
      <c r="J103" s="553" t="s">
        <v>96</v>
      </c>
      <c r="K103" s="263" t="s">
        <v>111</v>
      </c>
      <c r="L103" s="266">
        <f t="shared" si="136"/>
        <v>21</v>
      </c>
      <c r="M103" s="267">
        <v>45460</v>
      </c>
      <c r="N103" s="267">
        <v>45480</v>
      </c>
      <c r="O103" s="266">
        <f>U103*V103</f>
        <v>2873229.274344</v>
      </c>
      <c r="P103" s="268" t="s">
        <v>17</v>
      </c>
      <c r="Q103" s="269">
        <v>0.02</v>
      </c>
      <c r="R103" s="266">
        <f>O103*Q103</f>
        <v>57464.585486880002</v>
      </c>
      <c r="S103" s="268" t="s">
        <v>17</v>
      </c>
      <c r="T103" s="271" t="s">
        <v>17</v>
      </c>
      <c r="U103" s="266">
        <f>AB103*AC103</f>
        <v>2873229.274344</v>
      </c>
      <c r="V103" s="266">
        <v>1</v>
      </c>
      <c r="W103" s="266"/>
      <c r="X103" s="272">
        <v>4.5</v>
      </c>
      <c r="Y103" s="273">
        <f>R103*X103</f>
        <v>258590.63469096</v>
      </c>
      <c r="Z103" s="273">
        <f t="shared" si="69"/>
        <v>90</v>
      </c>
      <c r="AA103" s="273">
        <f t="shared" si="145"/>
        <v>4.5</v>
      </c>
      <c r="AB103" s="274">
        <v>4460300</v>
      </c>
      <c r="AC103" s="275">
        <v>0.64417848</v>
      </c>
      <c r="AE103" s="260"/>
      <c r="AF103" s="261">
        <v>0.52800000000000002</v>
      </c>
      <c r="AG103" s="260"/>
      <c r="AJ103" s="346">
        <f t="shared" si="140"/>
        <v>957743.09144800005</v>
      </c>
      <c r="AK103" s="346">
        <f t="shared" si="140"/>
        <v>957743.09144800005</v>
      </c>
      <c r="AL103" s="346">
        <f t="shared" si="140"/>
        <v>957743.09144800005</v>
      </c>
      <c r="AN103" s="346">
        <f t="shared" si="142"/>
        <v>19154.861828960002</v>
      </c>
      <c r="AO103" s="346">
        <f t="shared" si="141"/>
        <v>19154.861828960002</v>
      </c>
      <c r="AP103" s="346">
        <f t="shared" si="141"/>
        <v>19154.861828960002</v>
      </c>
    </row>
    <row r="104" spans="2:42" ht="18.649999999999999" customHeight="1" x14ac:dyDescent="0.35">
      <c r="B104" s="321" t="s">
        <v>22</v>
      </c>
      <c r="C104" s="293" t="s">
        <v>97</v>
      </c>
      <c r="D104" s="310" t="s">
        <v>600</v>
      </c>
      <c r="E104" s="314" t="s">
        <v>46</v>
      </c>
      <c r="F104" s="311" t="s">
        <v>565</v>
      </c>
      <c r="G104" s="263" t="s">
        <v>101</v>
      </c>
      <c r="H104" s="265" t="s">
        <v>88</v>
      </c>
      <c r="I104" s="265" t="s">
        <v>527</v>
      </c>
      <c r="J104" s="552" t="s">
        <v>566</v>
      </c>
      <c r="K104" s="263" t="s">
        <v>89</v>
      </c>
      <c r="L104" s="266">
        <f t="shared" ref="L104" si="148">N104-M104+1</f>
        <v>13</v>
      </c>
      <c r="M104" s="267">
        <v>45460</v>
      </c>
      <c r="N104" s="267">
        <v>45472</v>
      </c>
      <c r="O104" s="266">
        <f t="shared" ref="O104" si="149">U104*V104</f>
        <v>718419.96000000008</v>
      </c>
      <c r="P104" s="268" t="s">
        <v>17</v>
      </c>
      <c r="Q104" s="315">
        <v>5.0000000000000001E-3</v>
      </c>
      <c r="R104" s="266">
        <f t="shared" ref="R104" si="150">O104*Q104</f>
        <v>3592.0998000000004</v>
      </c>
      <c r="S104" s="268" t="s">
        <v>17</v>
      </c>
      <c r="T104" s="271" t="s">
        <v>17</v>
      </c>
      <c r="U104" s="266">
        <f t="shared" ref="U104" si="151">AB104*AC104</f>
        <v>359209.98000000004</v>
      </c>
      <c r="V104" s="266">
        <v>2</v>
      </c>
      <c r="W104" s="266"/>
      <c r="X104" s="272">
        <v>105</v>
      </c>
      <c r="Y104" s="273">
        <f t="shared" ref="Y104" si="152">O104/1000*X104</f>
        <v>75434.09580000001</v>
      </c>
      <c r="Z104" s="273">
        <f t="shared" ref="Z104:Z167" si="153">Y104/O104*1000</f>
        <v>105</v>
      </c>
      <c r="AA104" s="273">
        <f t="shared" si="145"/>
        <v>21</v>
      </c>
      <c r="AB104" s="274">
        <v>798244.4</v>
      </c>
      <c r="AC104" s="275">
        <v>0.45</v>
      </c>
      <c r="AE104" s="260"/>
      <c r="AF104" s="261">
        <v>0.29264880126797788</v>
      </c>
      <c r="AG104" s="260"/>
      <c r="AJ104" s="346">
        <f t="shared" si="140"/>
        <v>386841.51692307694</v>
      </c>
      <c r="AK104" s="346">
        <f>$O104/$L104*6</f>
        <v>331578.44307692308</v>
      </c>
      <c r="AL104" s="346"/>
      <c r="AN104" s="346">
        <f>$R104/$L104*7</f>
        <v>1934.2075846153848</v>
      </c>
      <c r="AO104" s="346">
        <f>$R104/$L104*6</f>
        <v>1657.8922153846156</v>
      </c>
      <c r="AP104" s="346"/>
    </row>
    <row r="105" spans="2:42" ht="18.649999999999999" customHeight="1" x14ac:dyDescent="0.35">
      <c r="B105" s="321" t="s">
        <v>22</v>
      </c>
      <c r="C105" s="293" t="s">
        <v>97</v>
      </c>
      <c r="D105" s="311" t="s">
        <v>116</v>
      </c>
      <c r="E105" s="263" t="s">
        <v>46</v>
      </c>
      <c r="F105" s="311" t="s">
        <v>114</v>
      </c>
      <c r="G105" s="263" t="s">
        <v>98</v>
      </c>
      <c r="H105" s="265" t="s">
        <v>88</v>
      </c>
      <c r="I105" s="265" t="s">
        <v>115</v>
      </c>
      <c r="J105" s="552" t="s">
        <v>96</v>
      </c>
      <c r="K105" s="263" t="s">
        <v>105</v>
      </c>
      <c r="L105" s="266">
        <f>N105-M105+1</f>
        <v>6</v>
      </c>
      <c r="M105" s="267">
        <v>45471</v>
      </c>
      <c r="N105" s="267">
        <v>45476</v>
      </c>
      <c r="O105" s="266">
        <f>1980000/14*6</f>
        <v>848571.42857142852</v>
      </c>
      <c r="P105" s="268" t="s">
        <v>17</v>
      </c>
      <c r="Q105" s="315">
        <v>0.01</v>
      </c>
      <c r="R105" s="266">
        <f>O105*Q105</f>
        <v>8485.7142857142862</v>
      </c>
      <c r="S105" s="268" t="s">
        <v>17</v>
      </c>
      <c r="T105" s="271" t="s">
        <v>17</v>
      </c>
      <c r="U105" s="266">
        <f>O105/V105</f>
        <v>169714.28571428571</v>
      </c>
      <c r="V105" s="266">
        <v>5</v>
      </c>
      <c r="W105" s="266"/>
      <c r="X105" s="272">
        <v>260</v>
      </c>
      <c r="Y105" s="273">
        <f>(O105/1000)*X105</f>
        <v>220628.57142857142</v>
      </c>
      <c r="Z105" s="273">
        <f t="shared" si="153"/>
        <v>260</v>
      </c>
      <c r="AA105" s="273">
        <f>Y105/R105</f>
        <v>25.999999999999996</v>
      </c>
      <c r="AB105" s="274">
        <v>462000</v>
      </c>
      <c r="AC105" s="275">
        <f>U105/AB105</f>
        <v>0.36734693877551017</v>
      </c>
      <c r="AE105" s="260"/>
      <c r="AF105" s="261">
        <v>0.37714285714285711</v>
      </c>
      <c r="AG105" s="260"/>
      <c r="AJ105" s="346"/>
      <c r="AK105" s="346">
        <f>$O105/$L105*3</f>
        <v>424285.71428571426</v>
      </c>
      <c r="AL105" s="346">
        <f>$O105/$L105*3</f>
        <v>424285.71428571426</v>
      </c>
      <c r="AN105" s="346"/>
      <c r="AO105" s="346">
        <f>$R105/$L105*3</f>
        <v>4242.8571428571431</v>
      </c>
      <c r="AP105" s="346">
        <f>$R105/$L105*3</f>
        <v>4242.8571428571431</v>
      </c>
    </row>
    <row r="106" spans="2:42" ht="18.649999999999999" customHeight="1" x14ac:dyDescent="0.35">
      <c r="B106" s="277" t="str">
        <f>B105</f>
        <v>Mumbai</v>
      </c>
      <c r="C106" s="278"/>
      <c r="D106" s="279" t="s">
        <v>18</v>
      </c>
      <c r="E106" s="280"/>
      <c r="F106" s="279"/>
      <c r="G106" s="280"/>
      <c r="H106" s="280"/>
      <c r="I106" s="281"/>
      <c r="J106" s="546"/>
      <c r="K106" s="283"/>
      <c r="L106" s="284"/>
      <c r="M106" s="284"/>
      <c r="N106" s="284"/>
      <c r="O106" s="284">
        <f>SUM(O95:O105)</f>
        <v>52607426.122451358</v>
      </c>
      <c r="P106" s="284"/>
      <c r="Q106" s="285">
        <f>R106/O106</f>
        <v>3.5027803481510605E-3</v>
      </c>
      <c r="R106" s="284">
        <f>SUM(R95:R105)</f>
        <v>184272.25838853137</v>
      </c>
      <c r="S106" s="286"/>
      <c r="T106" s="316">
        <f>SUM(T95:T105)</f>
        <v>32444211.001322068</v>
      </c>
      <c r="U106" s="284">
        <f>U98+(SUM(U95:U95,U99:U105,U96:U97)*7%)</f>
        <v>4955320.190630082</v>
      </c>
      <c r="V106" s="284">
        <f>O106/U106</f>
        <v>10.616352546082837</v>
      </c>
      <c r="W106" s="284"/>
      <c r="X106" s="287"/>
      <c r="Y106" s="317">
        <f>SUM(Y95:Y105)</f>
        <v>5870045.0534648998</v>
      </c>
      <c r="Z106" s="288">
        <f t="shared" si="153"/>
        <v>111.58206143371326</v>
      </c>
      <c r="AA106" s="288">
        <f>Y106/R106</f>
        <v>31.855283615660273</v>
      </c>
      <c r="AB106" s="284">
        <f>AB98+(SUM(AB95:AB97,AB99:AB105)*2%)</f>
        <v>6646807.75055</v>
      </c>
      <c r="AC106" s="289">
        <f>U106/AB106</f>
        <v>0.74551880791497949</v>
      </c>
      <c r="AD106" s="261"/>
      <c r="AE106" s="290"/>
      <c r="AF106" s="261">
        <v>0.75269897524226992</v>
      </c>
      <c r="AG106" s="290"/>
      <c r="AH106" s="460"/>
      <c r="AI106" s="459"/>
    </row>
    <row r="107" spans="2:42" ht="18.649999999999999" customHeight="1" x14ac:dyDescent="0.35">
      <c r="B107" s="321" t="s">
        <v>123</v>
      </c>
      <c r="C107" s="293" t="s">
        <v>93</v>
      </c>
      <c r="D107" s="294" t="s">
        <v>94</v>
      </c>
      <c r="E107" s="294" t="s">
        <v>45</v>
      </c>
      <c r="F107" s="295" t="s">
        <v>87</v>
      </c>
      <c r="G107" s="295" t="s">
        <v>50</v>
      </c>
      <c r="H107" s="296" t="s">
        <v>95</v>
      </c>
      <c r="I107" s="296" t="s">
        <v>608</v>
      </c>
      <c r="J107" s="551" t="s">
        <v>96</v>
      </c>
      <c r="K107" s="295" t="s">
        <v>89</v>
      </c>
      <c r="L107" s="298">
        <f t="shared" ref="L107:L115" si="154">N107-(M107-1)</f>
        <v>21</v>
      </c>
      <c r="M107" s="299">
        <v>45460</v>
      </c>
      <c r="N107" s="299">
        <v>45480</v>
      </c>
      <c r="O107" s="298">
        <f t="shared" ref="O107:O109" si="155">U107*V107</f>
        <v>1659067.07386112</v>
      </c>
      <c r="P107" s="300" t="s">
        <v>17</v>
      </c>
      <c r="Q107" s="301"/>
      <c r="R107" s="298"/>
      <c r="S107" s="302">
        <v>0.85</v>
      </c>
      <c r="T107" s="303">
        <f t="shared" ref="T107:T108" si="156">O107*S107</f>
        <v>1410207.012781952</v>
      </c>
      <c r="U107" s="298">
        <f>AB107*AC107</f>
        <v>243980.45203839999</v>
      </c>
      <c r="V107" s="298">
        <f>5*136%</f>
        <v>6.8000000000000007</v>
      </c>
      <c r="W107" s="298"/>
      <c r="X107" s="304">
        <v>125</v>
      </c>
      <c r="Y107" s="305">
        <f t="shared" ref="Y107:Y112" si="157">(O107/1000)*X107</f>
        <v>207383.38423264</v>
      </c>
      <c r="Z107" s="305">
        <f t="shared" si="153"/>
        <v>125</v>
      </c>
      <c r="AA107" s="305"/>
      <c r="AB107" s="306">
        <v>284060</v>
      </c>
      <c r="AC107" s="307">
        <v>0.85890464</v>
      </c>
      <c r="AD107" s="261"/>
      <c r="AE107" s="260"/>
      <c r="AF107" s="261">
        <v>0.70400000000000007</v>
      </c>
      <c r="AG107" s="260"/>
      <c r="AH107" s="568"/>
      <c r="AJ107" s="346">
        <f t="shared" si="140"/>
        <v>553022.35795370664</v>
      </c>
      <c r="AK107" s="346">
        <f t="shared" si="140"/>
        <v>553022.35795370664</v>
      </c>
      <c r="AL107" s="346">
        <f t="shared" si="140"/>
        <v>553022.35795370664</v>
      </c>
      <c r="AN107" s="346">
        <f>$R107/$L107*7</f>
        <v>0</v>
      </c>
      <c r="AO107" s="346">
        <f t="shared" ref="AO107:AP115" si="158">$R107/$L107*7</f>
        <v>0</v>
      </c>
      <c r="AP107" s="346">
        <f t="shared" si="158"/>
        <v>0</v>
      </c>
    </row>
    <row r="108" spans="2:42" ht="18.649999999999999" customHeight="1" x14ac:dyDescent="0.35">
      <c r="B108" s="321" t="s">
        <v>123</v>
      </c>
      <c r="C108" s="293" t="s">
        <v>93</v>
      </c>
      <c r="D108" s="295" t="s">
        <v>86</v>
      </c>
      <c r="E108" s="295" t="s">
        <v>45</v>
      </c>
      <c r="F108" s="295" t="s">
        <v>87</v>
      </c>
      <c r="G108" s="296" t="s">
        <v>50</v>
      </c>
      <c r="H108" s="296" t="s">
        <v>95</v>
      </c>
      <c r="I108" s="296" t="s">
        <v>610</v>
      </c>
      <c r="J108" s="551" t="s">
        <v>96</v>
      </c>
      <c r="K108" s="295" t="s">
        <v>89</v>
      </c>
      <c r="L108" s="298">
        <f t="shared" si="154"/>
        <v>21</v>
      </c>
      <c r="M108" s="299">
        <v>45460</v>
      </c>
      <c r="N108" s="299">
        <v>45480</v>
      </c>
      <c r="O108" s="298">
        <f>Y108/X108*1000</f>
        <v>7470198.1748159993</v>
      </c>
      <c r="P108" s="300" t="s">
        <v>17</v>
      </c>
      <c r="Q108" s="301"/>
      <c r="R108" s="298"/>
      <c r="S108" s="302">
        <v>0.8</v>
      </c>
      <c r="T108" s="303">
        <f t="shared" si="156"/>
        <v>5976158.5398527998</v>
      </c>
      <c r="U108" s="298">
        <f>O108/V108</f>
        <v>900023.8764838553</v>
      </c>
      <c r="V108" s="298">
        <v>8.3000000000000007</v>
      </c>
      <c r="W108" s="298"/>
      <c r="X108" s="304">
        <v>110</v>
      </c>
      <c r="Y108" s="305">
        <f>821721.79922976</f>
        <v>821721.79922975996</v>
      </c>
      <c r="Z108" s="305">
        <f t="shared" si="153"/>
        <v>110</v>
      </c>
      <c r="AA108" s="305"/>
      <c r="AB108" s="306">
        <v>1000480</v>
      </c>
      <c r="AC108" s="307">
        <f>U108/AB108</f>
        <v>0.8995920722891565</v>
      </c>
      <c r="AF108" s="261">
        <v>0.748</v>
      </c>
      <c r="AJ108" s="346">
        <f t="shared" si="140"/>
        <v>2490066.0582719999</v>
      </c>
      <c r="AK108" s="346">
        <f t="shared" si="140"/>
        <v>2490066.0582719999</v>
      </c>
      <c r="AL108" s="346">
        <f t="shared" si="140"/>
        <v>2490066.0582719999</v>
      </c>
      <c r="AN108" s="346">
        <f t="shared" ref="AN108:AN115" si="159">$R108/$L108*7</f>
        <v>0</v>
      </c>
      <c r="AO108" s="346">
        <f t="shared" si="158"/>
        <v>0</v>
      </c>
      <c r="AP108" s="346">
        <f t="shared" si="158"/>
        <v>0</v>
      </c>
    </row>
    <row r="109" spans="2:42" ht="18.649999999999999" customHeight="1" x14ac:dyDescent="0.35">
      <c r="B109" s="321" t="s">
        <v>123</v>
      </c>
      <c r="C109" s="293" t="s">
        <v>97</v>
      </c>
      <c r="D109" s="264" t="s">
        <v>561</v>
      </c>
      <c r="E109" s="264" t="s">
        <v>45</v>
      </c>
      <c r="F109" s="263" t="s">
        <v>87</v>
      </c>
      <c r="G109" s="263" t="s">
        <v>98</v>
      </c>
      <c r="H109" s="265" t="s">
        <v>90</v>
      </c>
      <c r="I109" s="265" t="s">
        <v>609</v>
      </c>
      <c r="J109" s="552" t="s">
        <v>96</v>
      </c>
      <c r="K109" s="263" t="s">
        <v>89</v>
      </c>
      <c r="L109" s="266">
        <f t="shared" si="154"/>
        <v>21</v>
      </c>
      <c r="M109" s="267">
        <v>45460</v>
      </c>
      <c r="N109" s="267">
        <v>45480</v>
      </c>
      <c r="O109" s="266">
        <f t="shared" si="155"/>
        <v>2643699.9416749999</v>
      </c>
      <c r="P109" s="268" t="s">
        <v>17</v>
      </c>
      <c r="Q109" s="269">
        <v>1E-3</v>
      </c>
      <c r="R109" s="266">
        <f t="shared" ref="R109:R110" si="160">O109*Q109</f>
        <v>2643.699941675</v>
      </c>
      <c r="S109" s="270">
        <v>0.7</v>
      </c>
      <c r="T109" s="271">
        <f>O109*S109</f>
        <v>1850589.9591724998</v>
      </c>
      <c r="U109" s="266">
        <f t="shared" ref="U109" si="161">AB109*AC109</f>
        <v>1057479.97667</v>
      </c>
      <c r="V109" s="266">
        <v>2.5</v>
      </c>
      <c r="W109" s="266"/>
      <c r="X109" s="272">
        <v>70</v>
      </c>
      <c r="Y109" s="273">
        <f t="shared" si="157"/>
        <v>185058.99591724999</v>
      </c>
      <c r="Z109" s="273">
        <f t="shared" si="153"/>
        <v>70</v>
      </c>
      <c r="AA109" s="273">
        <f t="shared" ref="AA109:AA116" si="162">Y109/R109</f>
        <v>70</v>
      </c>
      <c r="AB109" s="274">
        <f>2039440*85%</f>
        <v>1733524</v>
      </c>
      <c r="AC109" s="275">
        <v>0.61001749999999999</v>
      </c>
      <c r="AE109" s="260"/>
      <c r="AF109" s="261">
        <v>0.748</v>
      </c>
      <c r="AG109" s="260"/>
      <c r="AJ109" s="346">
        <f t="shared" si="140"/>
        <v>881233.31389166659</v>
      </c>
      <c r="AK109" s="346">
        <f t="shared" si="140"/>
        <v>881233.31389166659</v>
      </c>
      <c r="AL109" s="346">
        <f t="shared" si="140"/>
        <v>881233.31389166659</v>
      </c>
      <c r="AN109" s="346">
        <f t="shared" si="159"/>
        <v>881.23331389166663</v>
      </c>
      <c r="AO109" s="346">
        <f t="shared" si="158"/>
        <v>881.23331389166663</v>
      </c>
      <c r="AP109" s="346">
        <f t="shared" si="158"/>
        <v>881.23331389166663</v>
      </c>
    </row>
    <row r="110" spans="2:42" ht="18.649999999999999" customHeight="1" x14ac:dyDescent="0.35">
      <c r="B110" s="321" t="s">
        <v>123</v>
      </c>
      <c r="C110" s="293" t="s">
        <v>97</v>
      </c>
      <c r="D110" s="264" t="s">
        <v>86</v>
      </c>
      <c r="E110" s="264" t="s">
        <v>45</v>
      </c>
      <c r="F110" s="263" t="s">
        <v>87</v>
      </c>
      <c r="G110" s="263" t="s">
        <v>98</v>
      </c>
      <c r="H110" s="265" t="s">
        <v>90</v>
      </c>
      <c r="I110" s="265" t="s">
        <v>610</v>
      </c>
      <c r="J110" s="552" t="s">
        <v>96</v>
      </c>
      <c r="K110" s="263" t="s">
        <v>89</v>
      </c>
      <c r="L110" s="266">
        <f t="shared" si="154"/>
        <v>21</v>
      </c>
      <c r="M110" s="267">
        <v>45460</v>
      </c>
      <c r="N110" s="267">
        <v>45480</v>
      </c>
      <c r="O110" s="266">
        <f>Y110/X110*1000</f>
        <v>3421258.7480499996</v>
      </c>
      <c r="P110" s="268" t="s">
        <v>17</v>
      </c>
      <c r="Q110" s="269">
        <v>1E-3</v>
      </c>
      <c r="R110" s="266">
        <f t="shared" si="160"/>
        <v>3421.2587480499997</v>
      </c>
      <c r="S110" s="270">
        <v>0.8</v>
      </c>
      <c r="T110" s="271">
        <f>O110*S110</f>
        <v>2737006.9984399998</v>
      </c>
      <c r="U110" s="266">
        <f>O110/V110</f>
        <v>1257815.7161948527</v>
      </c>
      <c r="V110" s="266">
        <f>2*136%</f>
        <v>2.72</v>
      </c>
      <c r="W110" s="266"/>
      <c r="X110" s="272">
        <v>80</v>
      </c>
      <c r="Y110" s="273">
        <v>273700.69984399999</v>
      </c>
      <c r="Z110" s="273">
        <f t="shared" si="153"/>
        <v>80</v>
      </c>
      <c r="AA110" s="273">
        <f t="shared" si="162"/>
        <v>80</v>
      </c>
      <c r="AB110" s="274">
        <v>2039440</v>
      </c>
      <c r="AC110" s="275">
        <f>U110/AB110</f>
        <v>0.61674563419117634</v>
      </c>
      <c r="AE110" s="260"/>
      <c r="AF110" s="261">
        <v>0.748</v>
      </c>
      <c r="AG110" s="260"/>
      <c r="AJ110" s="346">
        <f t="shared" si="140"/>
        <v>1140419.5826833332</v>
      </c>
      <c r="AK110" s="346">
        <f t="shared" si="140"/>
        <v>1140419.5826833332</v>
      </c>
      <c r="AL110" s="346">
        <f t="shared" si="140"/>
        <v>1140419.5826833332</v>
      </c>
      <c r="AN110" s="346">
        <f t="shared" si="159"/>
        <v>1140.4195826833334</v>
      </c>
      <c r="AO110" s="346">
        <f t="shared" si="158"/>
        <v>1140.4195826833334</v>
      </c>
      <c r="AP110" s="346">
        <f t="shared" si="158"/>
        <v>1140.4195826833334</v>
      </c>
    </row>
    <row r="111" spans="2:42" ht="18.649999999999999" customHeight="1" x14ac:dyDescent="0.35">
      <c r="B111" s="321" t="s">
        <v>123</v>
      </c>
      <c r="C111" s="293" t="s">
        <v>97</v>
      </c>
      <c r="D111" s="263" t="s">
        <v>99</v>
      </c>
      <c r="E111" s="263" t="s">
        <v>46</v>
      </c>
      <c r="F111" s="263" t="s">
        <v>100</v>
      </c>
      <c r="G111" s="263" t="s">
        <v>101</v>
      </c>
      <c r="H111" s="265" t="s">
        <v>88</v>
      </c>
      <c r="I111" s="265" t="s">
        <v>102</v>
      </c>
      <c r="J111" s="553" t="s">
        <v>96</v>
      </c>
      <c r="K111" s="263" t="s">
        <v>89</v>
      </c>
      <c r="L111" s="266">
        <f t="shared" si="154"/>
        <v>21</v>
      </c>
      <c r="M111" s="267">
        <v>45460</v>
      </c>
      <c r="N111" s="267">
        <v>45480</v>
      </c>
      <c r="O111" s="266">
        <f>U111*V111</f>
        <v>795647.93444650783</v>
      </c>
      <c r="P111" s="268" t="s">
        <v>17</v>
      </c>
      <c r="Q111" s="269">
        <v>1.4999999999999999E-2</v>
      </c>
      <c r="R111" s="266">
        <f>O111*Q111</f>
        <v>11934.719016697618</v>
      </c>
      <c r="S111" s="268" t="s">
        <v>17</v>
      </c>
      <c r="T111" s="271" t="s">
        <v>17</v>
      </c>
      <c r="U111" s="266">
        <f>AB111*AC111</f>
        <v>530431.95629767189</v>
      </c>
      <c r="V111" s="266">
        <v>1.5</v>
      </c>
      <c r="W111" s="266"/>
      <c r="X111" s="272">
        <v>105</v>
      </c>
      <c r="Y111" s="273">
        <f t="shared" si="157"/>
        <v>83543.033116883322</v>
      </c>
      <c r="Z111" s="273">
        <f t="shared" si="153"/>
        <v>105</v>
      </c>
      <c r="AA111" s="273">
        <f t="shared" si="162"/>
        <v>7</v>
      </c>
      <c r="AB111" s="274">
        <f>AB109*95%</f>
        <v>1646847.7999999998</v>
      </c>
      <c r="AC111" s="275">
        <v>0.32208924</v>
      </c>
      <c r="AE111" s="260"/>
      <c r="AF111" s="261">
        <v>0.26400000000000001</v>
      </c>
      <c r="AG111" s="260"/>
      <c r="AJ111" s="346">
        <f t="shared" ref="AJ111:AL116" si="163">$O111/$L111*7</f>
        <v>265215.97814883594</v>
      </c>
      <c r="AK111" s="346">
        <f t="shared" si="163"/>
        <v>265215.97814883594</v>
      </c>
      <c r="AL111" s="346">
        <f t="shared" si="163"/>
        <v>265215.97814883594</v>
      </c>
      <c r="AN111" s="346">
        <f t="shared" si="159"/>
        <v>3978.2396722325398</v>
      </c>
      <c r="AO111" s="346">
        <f t="shared" si="158"/>
        <v>3978.2396722325398</v>
      </c>
      <c r="AP111" s="346">
        <f t="shared" si="158"/>
        <v>3978.2396722325398</v>
      </c>
    </row>
    <row r="112" spans="2:42" ht="18.649999999999999" customHeight="1" x14ac:dyDescent="0.35">
      <c r="B112" s="321" t="str">
        <f>B111</f>
        <v>Pune</v>
      </c>
      <c r="C112" s="293" t="s">
        <v>97</v>
      </c>
      <c r="D112" s="310" t="s">
        <v>103</v>
      </c>
      <c r="E112" s="263" t="s">
        <v>46</v>
      </c>
      <c r="F112" s="310" t="s">
        <v>100</v>
      </c>
      <c r="G112" s="263" t="s">
        <v>98</v>
      </c>
      <c r="H112" s="265" t="s">
        <v>88</v>
      </c>
      <c r="I112" s="265" t="s">
        <v>104</v>
      </c>
      <c r="J112" s="553" t="s">
        <v>96</v>
      </c>
      <c r="K112" s="263" t="s">
        <v>105</v>
      </c>
      <c r="L112" s="266">
        <f t="shared" si="154"/>
        <v>21</v>
      </c>
      <c r="M112" s="267">
        <v>45460</v>
      </c>
      <c r="N112" s="267">
        <v>45480</v>
      </c>
      <c r="O112" s="266">
        <f>U112*V112</f>
        <v>620587.05361619999</v>
      </c>
      <c r="P112" s="268" t="s">
        <v>17</v>
      </c>
      <c r="Q112" s="269">
        <v>1.4999999999999999E-2</v>
      </c>
      <c r="R112" s="266">
        <f>O112*Q112</f>
        <v>9308.8058042430002</v>
      </c>
      <c r="S112" s="268" t="s">
        <v>17</v>
      </c>
      <c r="T112" s="271" t="s">
        <v>17</v>
      </c>
      <c r="U112" s="266">
        <f>AB112*AC112</f>
        <v>413724.70241079998</v>
      </c>
      <c r="V112" s="266">
        <v>1.5</v>
      </c>
      <c r="W112" s="266"/>
      <c r="X112" s="272">
        <v>120</v>
      </c>
      <c r="Y112" s="273">
        <f t="shared" si="157"/>
        <v>74470.446433944002</v>
      </c>
      <c r="Z112" s="273">
        <f t="shared" si="153"/>
        <v>120.00000000000001</v>
      </c>
      <c r="AA112" s="273">
        <f t="shared" si="162"/>
        <v>8</v>
      </c>
      <c r="AB112" s="274">
        <v>770702</v>
      </c>
      <c r="AC112" s="275">
        <v>0.53681539999999994</v>
      </c>
      <c r="AE112" s="260"/>
      <c r="AF112" s="261">
        <v>0.44</v>
      </c>
      <c r="AG112" s="260"/>
      <c r="AH112" s="320"/>
      <c r="AJ112" s="346">
        <f t="shared" si="163"/>
        <v>206862.35120540002</v>
      </c>
      <c r="AK112" s="346">
        <f t="shared" si="163"/>
        <v>206862.35120540002</v>
      </c>
      <c r="AL112" s="346">
        <f t="shared" si="163"/>
        <v>206862.35120540002</v>
      </c>
      <c r="AN112" s="346">
        <f t="shared" si="159"/>
        <v>3102.9352680810002</v>
      </c>
      <c r="AO112" s="346">
        <f t="shared" si="158"/>
        <v>3102.9352680810002</v>
      </c>
      <c r="AP112" s="346">
        <f t="shared" si="158"/>
        <v>3102.9352680810002</v>
      </c>
    </row>
    <row r="113" spans="2:42" ht="18.649999999999999" customHeight="1" x14ac:dyDescent="0.35">
      <c r="B113" s="321" t="str">
        <f>B112</f>
        <v>Pune</v>
      </c>
      <c r="C113" s="293" t="s">
        <v>97</v>
      </c>
      <c r="D113" s="310" t="s">
        <v>106</v>
      </c>
      <c r="E113" s="311" t="s">
        <v>46</v>
      </c>
      <c r="F113" s="311" t="s">
        <v>91</v>
      </c>
      <c r="G113" s="263" t="s">
        <v>98</v>
      </c>
      <c r="H113" s="310" t="s">
        <v>88</v>
      </c>
      <c r="I113" s="263" t="s">
        <v>107</v>
      </c>
      <c r="J113" s="553" t="s">
        <v>96</v>
      </c>
      <c r="K113" s="263" t="s">
        <v>89</v>
      </c>
      <c r="L113" s="266">
        <f t="shared" si="154"/>
        <v>21</v>
      </c>
      <c r="M113" s="267">
        <v>45460</v>
      </c>
      <c r="N113" s="267">
        <v>45480</v>
      </c>
      <c r="O113" s="266">
        <f>U113*V113</f>
        <v>598557.34133038798</v>
      </c>
      <c r="P113" s="268" t="s">
        <v>17</v>
      </c>
      <c r="Q113" s="312">
        <v>0.01</v>
      </c>
      <c r="R113" s="266">
        <f t="shared" ref="R113:R114" si="164">O113*Q113</f>
        <v>5985.5734133038795</v>
      </c>
      <c r="S113" s="268" t="s">
        <v>17</v>
      </c>
      <c r="T113" s="271" t="s">
        <v>17</v>
      </c>
      <c r="U113" s="266">
        <f t="shared" ref="U113" si="165">AB113*AC113</f>
        <v>399038.22755359201</v>
      </c>
      <c r="V113" s="266">
        <v>1.5</v>
      </c>
      <c r="W113" s="266"/>
      <c r="X113" s="272">
        <v>200</v>
      </c>
      <c r="Y113" s="273">
        <f>O113*X113/1000</f>
        <v>119711.46826607759</v>
      </c>
      <c r="Z113" s="273">
        <f t="shared" si="153"/>
        <v>199.99999999999997</v>
      </c>
      <c r="AA113" s="273">
        <f t="shared" si="162"/>
        <v>20</v>
      </c>
      <c r="AB113" s="274">
        <v>1126278</v>
      </c>
      <c r="AC113" s="275">
        <v>0.35429816400000003</v>
      </c>
      <c r="AE113" s="260"/>
      <c r="AF113" s="261">
        <v>0.26400000000000001</v>
      </c>
      <c r="AG113" s="260"/>
      <c r="AH113" s="562"/>
      <c r="AJ113" s="346">
        <f t="shared" si="163"/>
        <v>199519.113776796</v>
      </c>
      <c r="AK113" s="346">
        <f t="shared" si="163"/>
        <v>199519.113776796</v>
      </c>
      <c r="AL113" s="346">
        <f t="shared" si="163"/>
        <v>199519.113776796</v>
      </c>
      <c r="AN113" s="346">
        <f t="shared" si="159"/>
        <v>1995.1911377679598</v>
      </c>
      <c r="AO113" s="346">
        <f t="shared" si="158"/>
        <v>1995.1911377679598</v>
      </c>
      <c r="AP113" s="346">
        <f t="shared" si="158"/>
        <v>1995.1911377679598</v>
      </c>
    </row>
    <row r="114" spans="2:42" ht="18.649999999999999" customHeight="1" x14ac:dyDescent="0.35">
      <c r="B114" s="321" t="str">
        <f>B113</f>
        <v>Pune</v>
      </c>
      <c r="C114" s="293" t="s">
        <v>97</v>
      </c>
      <c r="D114" s="310" t="s">
        <v>588</v>
      </c>
      <c r="E114" s="263" t="s">
        <v>46</v>
      </c>
      <c r="F114" s="310" t="s">
        <v>589</v>
      </c>
      <c r="G114" s="263" t="s">
        <v>98</v>
      </c>
      <c r="H114" s="265" t="s">
        <v>88</v>
      </c>
      <c r="I114" s="265" t="s">
        <v>590</v>
      </c>
      <c r="J114" s="553" t="s">
        <v>591</v>
      </c>
      <c r="K114" s="263" t="s">
        <v>592</v>
      </c>
      <c r="L114" s="266">
        <f t="shared" si="154"/>
        <v>21</v>
      </c>
      <c r="M114" s="267">
        <v>45460</v>
      </c>
      <c r="N114" s="267">
        <v>45480</v>
      </c>
      <c r="O114" s="266">
        <f>U114*3</f>
        <v>269807.37</v>
      </c>
      <c r="P114" s="268" t="s">
        <v>17</v>
      </c>
      <c r="Q114" s="269">
        <v>1.4999999999999999E-2</v>
      </c>
      <c r="R114" s="266">
        <f t="shared" si="164"/>
        <v>4047.1105499999999</v>
      </c>
      <c r="S114" s="268" t="s">
        <v>17</v>
      </c>
      <c r="T114" s="271" t="s">
        <v>17</v>
      </c>
      <c r="U114" s="266">
        <f>AB114*AC114</f>
        <v>89935.790000000008</v>
      </c>
      <c r="V114" s="266">
        <f>O114/U114</f>
        <v>2.9999999999999996</v>
      </c>
      <c r="W114" s="266"/>
      <c r="X114" s="272">
        <v>2</v>
      </c>
      <c r="Y114" s="273">
        <f>O114/3*X114</f>
        <v>179871.58</v>
      </c>
      <c r="Z114" s="273">
        <f t="shared" si="153"/>
        <v>666.66666666666663</v>
      </c>
      <c r="AA114" s="273">
        <f t="shared" si="162"/>
        <v>44.444444444444443</v>
      </c>
      <c r="AB114" s="274">
        <v>1284797</v>
      </c>
      <c r="AC114" s="275">
        <v>7.0000000000000007E-2</v>
      </c>
      <c r="AE114" s="260"/>
      <c r="AF114" s="261">
        <v>0.26400000000000001</v>
      </c>
      <c r="AG114" s="260"/>
      <c r="AJ114" s="346">
        <f t="shared" si="163"/>
        <v>89935.79</v>
      </c>
      <c r="AK114" s="346">
        <f t="shared" si="163"/>
        <v>89935.79</v>
      </c>
      <c r="AL114" s="346">
        <f t="shared" si="163"/>
        <v>89935.79</v>
      </c>
      <c r="AN114" s="346">
        <f t="shared" si="159"/>
        <v>1349.03685</v>
      </c>
      <c r="AO114" s="346">
        <f t="shared" si="158"/>
        <v>1349.03685</v>
      </c>
      <c r="AP114" s="346">
        <f t="shared" si="158"/>
        <v>1349.03685</v>
      </c>
    </row>
    <row r="115" spans="2:42" ht="18.649999999999999" customHeight="1" x14ac:dyDescent="0.35">
      <c r="B115" s="321" t="str">
        <f>B114</f>
        <v>Pune</v>
      </c>
      <c r="C115" s="293" t="s">
        <v>97</v>
      </c>
      <c r="D115" s="310" t="s">
        <v>109</v>
      </c>
      <c r="E115" s="263" t="s">
        <v>46</v>
      </c>
      <c r="F115" s="310" t="s">
        <v>100</v>
      </c>
      <c r="G115" s="263" t="s">
        <v>98</v>
      </c>
      <c r="H115" s="265" t="s">
        <v>88</v>
      </c>
      <c r="I115" s="265" t="s">
        <v>110</v>
      </c>
      <c r="J115" s="553" t="s">
        <v>96</v>
      </c>
      <c r="K115" s="263" t="s">
        <v>111</v>
      </c>
      <c r="L115" s="266">
        <f t="shared" si="154"/>
        <v>21</v>
      </c>
      <c r="M115" s="267">
        <v>45460</v>
      </c>
      <c r="N115" s="267">
        <v>45480</v>
      </c>
      <c r="O115" s="266">
        <f>U115*V115</f>
        <v>5990988.6996959997</v>
      </c>
      <c r="P115" s="268" t="s">
        <v>17</v>
      </c>
      <c r="Q115" s="269">
        <v>0.02</v>
      </c>
      <c r="R115" s="266">
        <f>O115*Q115</f>
        <v>119819.77399392</v>
      </c>
      <c r="S115" s="268" t="s">
        <v>17</v>
      </c>
      <c r="T115" s="271" t="s">
        <v>17</v>
      </c>
      <c r="U115" s="266">
        <f>AB115*AC115</f>
        <v>2995494.3498479999</v>
      </c>
      <c r="V115" s="266">
        <v>2</v>
      </c>
      <c r="W115" s="266"/>
      <c r="X115" s="272">
        <v>4.5</v>
      </c>
      <c r="Y115" s="273">
        <f>R115*X115</f>
        <v>539188.98297263996</v>
      </c>
      <c r="Z115" s="273">
        <f t="shared" si="153"/>
        <v>90</v>
      </c>
      <c r="AA115" s="273">
        <f t="shared" si="162"/>
        <v>4.5</v>
      </c>
      <c r="AB115" s="274">
        <v>3985800</v>
      </c>
      <c r="AC115" s="275">
        <v>0.75154155999999994</v>
      </c>
      <c r="AE115" s="260"/>
      <c r="AF115" s="261">
        <v>0.61599999999999999</v>
      </c>
      <c r="AG115" s="260"/>
      <c r="AJ115" s="346">
        <f t="shared" si="163"/>
        <v>1996996.2332319999</v>
      </c>
      <c r="AK115" s="346">
        <f t="shared" si="163"/>
        <v>1996996.2332319999</v>
      </c>
      <c r="AL115" s="346">
        <f t="shared" si="163"/>
        <v>1996996.2332319999</v>
      </c>
      <c r="AN115" s="346">
        <f t="shared" si="159"/>
        <v>39939.924664639999</v>
      </c>
      <c r="AO115" s="346">
        <f t="shared" si="158"/>
        <v>39939.924664639999</v>
      </c>
      <c r="AP115" s="346">
        <f t="shared" si="158"/>
        <v>39939.924664639999</v>
      </c>
    </row>
    <row r="116" spans="2:42" ht="18.649999999999999" customHeight="1" x14ac:dyDescent="0.35">
      <c r="B116" s="321" t="s">
        <v>123</v>
      </c>
      <c r="C116" s="293" t="s">
        <v>97</v>
      </c>
      <c r="D116" s="310" t="s">
        <v>600</v>
      </c>
      <c r="E116" s="314" t="s">
        <v>46</v>
      </c>
      <c r="F116" s="311" t="s">
        <v>565</v>
      </c>
      <c r="G116" s="263" t="s">
        <v>101</v>
      </c>
      <c r="H116" s="265" t="s">
        <v>88</v>
      </c>
      <c r="I116" s="265" t="s">
        <v>527</v>
      </c>
      <c r="J116" s="552" t="s">
        <v>566</v>
      </c>
      <c r="K116" s="263" t="s">
        <v>89</v>
      </c>
      <c r="L116" s="266">
        <f t="shared" ref="L116" si="166">N116-M116+1</f>
        <v>13</v>
      </c>
      <c r="M116" s="267">
        <v>45460</v>
      </c>
      <c r="N116" s="267">
        <v>45472</v>
      </c>
      <c r="O116" s="266">
        <f t="shared" ref="O116" si="167">U116*V116</f>
        <v>611540.16</v>
      </c>
      <c r="P116" s="268" t="s">
        <v>17</v>
      </c>
      <c r="Q116" s="315">
        <v>5.0000000000000001E-3</v>
      </c>
      <c r="R116" s="266">
        <f t="shared" ref="R116" si="168">O116*Q116</f>
        <v>3057.7008000000001</v>
      </c>
      <c r="S116" s="268" t="s">
        <v>17</v>
      </c>
      <c r="T116" s="271" t="s">
        <v>17</v>
      </c>
      <c r="U116" s="266">
        <f t="shared" ref="U116" si="169">AB116*AC116</f>
        <v>305770.08</v>
      </c>
      <c r="V116" s="266">
        <v>2</v>
      </c>
      <c r="W116" s="266"/>
      <c r="X116" s="272">
        <v>105</v>
      </c>
      <c r="Y116" s="273">
        <f t="shared" ref="Y116" si="170">O116/1000*X116</f>
        <v>64211.716800000002</v>
      </c>
      <c r="Z116" s="273">
        <f t="shared" si="153"/>
        <v>105</v>
      </c>
      <c r="AA116" s="273">
        <f t="shared" si="162"/>
        <v>21</v>
      </c>
      <c r="AB116" s="274">
        <v>764425.20000000007</v>
      </c>
      <c r="AC116" s="275">
        <v>0.4</v>
      </c>
      <c r="AE116" s="260"/>
      <c r="AF116" s="261">
        <v>0.40991114416565549</v>
      </c>
      <c r="AG116" s="260"/>
      <c r="AJ116" s="346">
        <f t="shared" si="163"/>
        <v>329290.85538461542</v>
      </c>
      <c r="AK116" s="346">
        <f>$O116/$L116*6</f>
        <v>282249.30461538467</v>
      </c>
      <c r="AL116" s="346"/>
      <c r="AN116" s="346">
        <f>$R116/$L116*7</f>
        <v>1646.454276923077</v>
      </c>
      <c r="AO116" s="346">
        <f>$R116/$L116*6</f>
        <v>1411.246523076923</v>
      </c>
      <c r="AP116" s="346"/>
    </row>
    <row r="117" spans="2:42" ht="18.649999999999999" customHeight="1" x14ac:dyDescent="0.35">
      <c r="B117" s="321" t="s">
        <v>123</v>
      </c>
      <c r="C117" s="293" t="s">
        <v>97</v>
      </c>
      <c r="D117" s="311" t="s">
        <v>116</v>
      </c>
      <c r="E117" s="263" t="s">
        <v>46</v>
      </c>
      <c r="F117" s="311" t="s">
        <v>114</v>
      </c>
      <c r="G117" s="263" t="s">
        <v>98</v>
      </c>
      <c r="H117" s="265" t="s">
        <v>88</v>
      </c>
      <c r="I117" s="265" t="s">
        <v>115</v>
      </c>
      <c r="J117" s="552" t="s">
        <v>96</v>
      </c>
      <c r="K117" s="263" t="s">
        <v>105</v>
      </c>
      <c r="L117" s="266">
        <f>N117-M117+1</f>
        <v>6</v>
      </c>
      <c r="M117" s="267">
        <v>45471</v>
      </c>
      <c r="N117" s="267">
        <v>45476</v>
      </c>
      <c r="O117" s="266">
        <f>1501715/14*6</f>
        <v>643592.14285714284</v>
      </c>
      <c r="P117" s="268" t="s">
        <v>17</v>
      </c>
      <c r="Q117" s="315">
        <v>0.01</v>
      </c>
      <c r="R117" s="266">
        <f>O117*Q117</f>
        <v>6435.9214285714288</v>
      </c>
      <c r="S117" s="268" t="s">
        <v>17</v>
      </c>
      <c r="T117" s="271" t="s">
        <v>17</v>
      </c>
      <c r="U117" s="266">
        <f>O117/V117</f>
        <v>128718.42857142857</v>
      </c>
      <c r="V117" s="266">
        <v>5</v>
      </c>
      <c r="W117" s="266"/>
      <c r="X117" s="272">
        <v>260</v>
      </c>
      <c r="Y117" s="273">
        <f>(O117/1000)*X117</f>
        <v>167333.95714285714</v>
      </c>
      <c r="Z117" s="273">
        <f t="shared" si="153"/>
        <v>260</v>
      </c>
      <c r="AA117" s="273">
        <f>Y117/R117</f>
        <v>25.999999999999996</v>
      </c>
      <c r="AB117" s="274">
        <v>350400</v>
      </c>
      <c r="AC117" s="275">
        <f>U117/AB117</f>
        <v>0.36734711350293542</v>
      </c>
      <c r="AE117" s="260"/>
      <c r="AF117" s="261">
        <v>0.3771430365296804</v>
      </c>
      <c r="AG117" s="260"/>
      <c r="AJ117" s="346"/>
      <c r="AK117" s="346">
        <f>$O117/$L117*3</f>
        <v>321796.07142857142</v>
      </c>
      <c r="AL117" s="346">
        <f>$O117/$L117*3</f>
        <v>321796.07142857142</v>
      </c>
      <c r="AN117" s="346"/>
      <c r="AO117" s="346">
        <f>$R117/$L117*3</f>
        <v>3217.9607142857144</v>
      </c>
      <c r="AP117" s="346">
        <f>$R117/$L117*3</f>
        <v>3217.9607142857144</v>
      </c>
    </row>
    <row r="118" spans="2:42" ht="18.649999999999999" customHeight="1" x14ac:dyDescent="0.35">
      <c r="B118" s="277" t="str">
        <f>B117</f>
        <v>Pune</v>
      </c>
      <c r="C118" s="278"/>
      <c r="D118" s="279" t="s">
        <v>18</v>
      </c>
      <c r="E118" s="280"/>
      <c r="F118" s="279"/>
      <c r="G118" s="280"/>
      <c r="H118" s="280"/>
      <c r="I118" s="281"/>
      <c r="J118" s="546"/>
      <c r="K118" s="283"/>
      <c r="L118" s="284"/>
      <c r="M118" s="284"/>
      <c r="N118" s="284"/>
      <c r="O118" s="284">
        <f>SUM(O107:O117)</f>
        <v>24724944.64034836</v>
      </c>
      <c r="P118" s="284"/>
      <c r="Q118" s="285">
        <f>R118/O118</f>
        <v>6.7403412270739408E-3</v>
      </c>
      <c r="R118" s="284">
        <f>SUM(R107:R117)</f>
        <v>166654.56369646091</v>
      </c>
      <c r="S118" s="286"/>
      <c r="T118" s="316">
        <f>SUM(T107:T117)</f>
        <v>11973962.510247251</v>
      </c>
      <c r="U118" s="284">
        <f>U115+(SUM(U107:U108,U116:U117,U109,U110:U114)*3%)</f>
        <v>3155301.9260346177</v>
      </c>
      <c r="V118" s="284">
        <f>O118/U118</f>
        <v>7.8359996031888759</v>
      </c>
      <c r="W118" s="284"/>
      <c r="X118" s="287"/>
      <c r="Y118" s="317">
        <f>SUM(Y107:Y117)</f>
        <v>2716196.0639560521</v>
      </c>
      <c r="Z118" s="288">
        <f t="shared" si="153"/>
        <v>109.8565074044098</v>
      </c>
      <c r="AA118" s="288">
        <f>Y118/R118</f>
        <v>16.298359935124498</v>
      </c>
      <c r="AB118" s="284">
        <f>AB115+(SUM(AB107:AB114,AB116:AB117)*2%)</f>
        <v>4205819.08</v>
      </c>
      <c r="AC118" s="289">
        <f>U118/AB118</f>
        <v>0.75022293304033838</v>
      </c>
      <c r="AD118" s="261"/>
      <c r="AE118" s="290"/>
      <c r="AF118" s="261">
        <v>0.74374568017607401</v>
      </c>
      <c r="AG118" s="290"/>
      <c r="AH118" s="460"/>
      <c r="AI118" s="459"/>
    </row>
    <row r="119" spans="2:42" ht="18.649999999999999" customHeight="1" x14ac:dyDescent="0.35">
      <c r="B119" s="322" t="s">
        <v>124</v>
      </c>
      <c r="C119" s="293" t="s">
        <v>93</v>
      </c>
      <c r="D119" s="294" t="s">
        <v>94</v>
      </c>
      <c r="E119" s="294" t="s">
        <v>45</v>
      </c>
      <c r="F119" s="295" t="s">
        <v>87</v>
      </c>
      <c r="G119" s="295" t="s">
        <v>50</v>
      </c>
      <c r="H119" s="296" t="s">
        <v>95</v>
      </c>
      <c r="I119" s="296" t="s">
        <v>608</v>
      </c>
      <c r="J119" s="551" t="s">
        <v>96</v>
      </c>
      <c r="K119" s="295" t="s">
        <v>89</v>
      </c>
      <c r="L119" s="298">
        <f t="shared" ref="L119:L125" si="171">N119-(M119-1)</f>
        <v>21</v>
      </c>
      <c r="M119" s="299">
        <v>45460</v>
      </c>
      <c r="N119" s="299">
        <v>45480</v>
      </c>
      <c r="O119" s="298">
        <f t="shared" ref="O119:O121" si="172">U119*V119</f>
        <v>788852.92726056965</v>
      </c>
      <c r="P119" s="300" t="s">
        <v>17</v>
      </c>
      <c r="Q119" s="301"/>
      <c r="R119" s="298"/>
      <c r="S119" s="302">
        <v>0.85</v>
      </c>
      <c r="T119" s="303">
        <f t="shared" ref="T119:T120" si="173">O119*S119</f>
        <v>670524.9881714842</v>
      </c>
      <c r="U119" s="298">
        <f>AB119*AC119</f>
        <v>193346.30570112</v>
      </c>
      <c r="V119" s="298">
        <f>3*136%</f>
        <v>4.08</v>
      </c>
      <c r="W119" s="298"/>
      <c r="X119" s="304">
        <v>125</v>
      </c>
      <c r="Y119" s="305">
        <f t="shared" ref="Y119:Y124" si="174">(O119/1000)*X119</f>
        <v>98606.615907571206</v>
      </c>
      <c r="Z119" s="305">
        <f t="shared" si="153"/>
        <v>125</v>
      </c>
      <c r="AA119" s="305"/>
      <c r="AB119" s="306">
        <v>225108</v>
      </c>
      <c r="AC119" s="307">
        <v>0.85890464</v>
      </c>
      <c r="AD119" s="261"/>
      <c r="AE119" s="260"/>
      <c r="AF119" s="261">
        <v>0.70400000000000007</v>
      </c>
      <c r="AG119" s="260"/>
      <c r="AJ119" s="346">
        <f t="shared" ref="AJ119:AL135" si="175">$O119/$L119*7</f>
        <v>262950.97575352323</v>
      </c>
      <c r="AK119" s="346">
        <f t="shared" si="175"/>
        <v>262950.97575352323</v>
      </c>
      <c r="AL119" s="346">
        <f t="shared" si="175"/>
        <v>262950.97575352323</v>
      </c>
      <c r="AN119" s="346">
        <f>$R119/$L119*7</f>
        <v>0</v>
      </c>
      <c r="AO119" s="346">
        <f t="shared" ref="AO119:AP125" si="176">$R119/$L119*7</f>
        <v>0</v>
      </c>
      <c r="AP119" s="346">
        <f t="shared" si="176"/>
        <v>0</v>
      </c>
    </row>
    <row r="120" spans="2:42" ht="18.649999999999999" customHeight="1" x14ac:dyDescent="0.35">
      <c r="B120" s="322" t="s">
        <v>124</v>
      </c>
      <c r="C120" s="293" t="s">
        <v>93</v>
      </c>
      <c r="D120" s="295" t="s">
        <v>86</v>
      </c>
      <c r="E120" s="295" t="s">
        <v>45</v>
      </c>
      <c r="F120" s="295" t="s">
        <v>87</v>
      </c>
      <c r="G120" s="296" t="s">
        <v>50</v>
      </c>
      <c r="H120" s="296" t="s">
        <v>95</v>
      </c>
      <c r="I120" s="296" t="s">
        <v>610</v>
      </c>
      <c r="J120" s="551" t="s">
        <v>96</v>
      </c>
      <c r="K120" s="295" t="s">
        <v>89</v>
      </c>
      <c r="L120" s="298">
        <f t="shared" si="171"/>
        <v>21</v>
      </c>
      <c r="M120" s="299">
        <v>45460</v>
      </c>
      <c r="N120" s="299">
        <v>45480</v>
      </c>
      <c r="O120" s="298">
        <f>Y120/X120*1000</f>
        <v>1436576.5720800001</v>
      </c>
      <c r="P120" s="300" t="s">
        <v>17</v>
      </c>
      <c r="Q120" s="301"/>
      <c r="R120" s="298"/>
      <c r="S120" s="302">
        <v>0.8</v>
      </c>
      <c r="T120" s="303">
        <f t="shared" si="173"/>
        <v>1149261.2576640001</v>
      </c>
      <c r="U120" s="298">
        <f>O120/V120</f>
        <v>258842.62560000003</v>
      </c>
      <c r="V120" s="298">
        <v>5.55</v>
      </c>
      <c r="W120" s="298"/>
      <c r="X120" s="304">
        <v>110</v>
      </c>
      <c r="Y120" s="305">
        <f>158023.4229288</f>
        <v>158023.42292879999</v>
      </c>
      <c r="Z120" s="305">
        <f t="shared" si="153"/>
        <v>109.99999999999999</v>
      </c>
      <c r="AA120" s="305"/>
      <c r="AB120" s="306">
        <v>288600</v>
      </c>
      <c r="AC120" s="307">
        <f>U120/AB120</f>
        <v>0.89689059459459475</v>
      </c>
      <c r="AF120" s="261">
        <v>0.748</v>
      </c>
      <c r="AJ120" s="346">
        <f t="shared" si="175"/>
        <v>478858.85736000002</v>
      </c>
      <c r="AK120" s="346">
        <f t="shared" si="175"/>
        <v>478858.85736000002</v>
      </c>
      <c r="AL120" s="346">
        <f t="shared" si="175"/>
        <v>478858.85736000002</v>
      </c>
      <c r="AN120" s="346">
        <f t="shared" ref="AN120:AN125" si="177">$R120/$L120*7</f>
        <v>0</v>
      </c>
      <c r="AO120" s="346">
        <f t="shared" si="176"/>
        <v>0</v>
      </c>
      <c r="AP120" s="346">
        <f t="shared" si="176"/>
        <v>0</v>
      </c>
    </row>
    <row r="121" spans="2:42" ht="18.649999999999999" customHeight="1" x14ac:dyDescent="0.35">
      <c r="B121" s="322" t="s">
        <v>124</v>
      </c>
      <c r="C121" s="293" t="s">
        <v>97</v>
      </c>
      <c r="D121" s="264" t="s">
        <v>561</v>
      </c>
      <c r="E121" s="264" t="s">
        <v>45</v>
      </c>
      <c r="F121" s="263" t="s">
        <v>87</v>
      </c>
      <c r="G121" s="263" t="s">
        <v>98</v>
      </c>
      <c r="H121" s="265" t="s">
        <v>90</v>
      </c>
      <c r="I121" s="265" t="s">
        <v>609</v>
      </c>
      <c r="J121" s="552" t="s">
        <v>96</v>
      </c>
      <c r="K121" s="263" t="s">
        <v>89</v>
      </c>
      <c r="L121" s="266">
        <f t="shared" si="171"/>
        <v>21</v>
      </c>
      <c r="M121" s="267">
        <v>45460</v>
      </c>
      <c r="N121" s="267">
        <v>45480</v>
      </c>
      <c r="O121" s="266">
        <f t="shared" si="172"/>
        <v>249006.60582719999</v>
      </c>
      <c r="P121" s="268" t="s">
        <v>17</v>
      </c>
      <c r="Q121" s="269">
        <v>1E-3</v>
      </c>
      <c r="R121" s="266">
        <f t="shared" ref="R121:R122" si="178">O121*Q121</f>
        <v>249.00660582719999</v>
      </c>
      <c r="S121" s="270">
        <v>0.7</v>
      </c>
      <c r="T121" s="271">
        <f>O121*S121</f>
        <v>174304.62407903999</v>
      </c>
      <c r="U121" s="266">
        <f t="shared" ref="U121" si="179">AB121*AC121</f>
        <v>249006.60582719999</v>
      </c>
      <c r="V121" s="266">
        <v>1</v>
      </c>
      <c r="W121" s="266"/>
      <c r="X121" s="272">
        <v>70</v>
      </c>
      <c r="Y121" s="273">
        <f t="shared" si="174"/>
        <v>17430.462407904</v>
      </c>
      <c r="Z121" s="273">
        <f t="shared" si="153"/>
        <v>70</v>
      </c>
      <c r="AA121" s="273">
        <f t="shared" ref="AA121:AA126" si="180">Y121/R121</f>
        <v>70</v>
      </c>
      <c r="AB121" s="274">
        <f>600288*85%</f>
        <v>510244.8</v>
      </c>
      <c r="AC121" s="275">
        <v>0.488014</v>
      </c>
      <c r="AE121" s="260"/>
      <c r="AF121" s="261">
        <v>0.44</v>
      </c>
      <c r="AG121" s="260"/>
      <c r="AJ121" s="346">
        <f t="shared" si="175"/>
        <v>83002.201942399988</v>
      </c>
      <c r="AK121" s="346">
        <f t="shared" si="175"/>
        <v>83002.201942399988</v>
      </c>
      <c r="AL121" s="346">
        <f t="shared" si="175"/>
        <v>83002.201942399988</v>
      </c>
      <c r="AN121" s="346">
        <f t="shared" si="177"/>
        <v>83.002201942400006</v>
      </c>
      <c r="AO121" s="346">
        <f t="shared" si="176"/>
        <v>83.002201942400006</v>
      </c>
      <c r="AP121" s="346">
        <f t="shared" si="176"/>
        <v>83.002201942400006</v>
      </c>
    </row>
    <row r="122" spans="2:42" ht="18.649999999999999" customHeight="1" x14ac:dyDescent="0.35">
      <c r="B122" s="322" t="s">
        <v>124</v>
      </c>
      <c r="C122" s="293" t="s">
        <v>97</v>
      </c>
      <c r="D122" s="264" t="s">
        <v>86</v>
      </c>
      <c r="E122" s="264" t="s">
        <v>45</v>
      </c>
      <c r="F122" s="263" t="s">
        <v>87</v>
      </c>
      <c r="G122" s="263" t="s">
        <v>98</v>
      </c>
      <c r="H122" s="265" t="s">
        <v>90</v>
      </c>
      <c r="I122" s="265" t="s">
        <v>610</v>
      </c>
      <c r="J122" s="552" t="s">
        <v>96</v>
      </c>
      <c r="K122" s="263" t="s">
        <v>89</v>
      </c>
      <c r="L122" s="266">
        <f t="shared" si="171"/>
        <v>21</v>
      </c>
      <c r="M122" s="267">
        <v>45460</v>
      </c>
      <c r="N122" s="267">
        <v>45480</v>
      </c>
      <c r="O122" s="266">
        <f>Y122/X122*1000</f>
        <v>402804.80354399997</v>
      </c>
      <c r="P122" s="268" t="s">
        <v>17</v>
      </c>
      <c r="Q122" s="269">
        <v>1E-3</v>
      </c>
      <c r="R122" s="266">
        <f t="shared" si="178"/>
        <v>402.80480354399998</v>
      </c>
      <c r="S122" s="270">
        <v>0.8</v>
      </c>
      <c r="T122" s="271">
        <f>O122*S122</f>
        <v>322243.84283520002</v>
      </c>
      <c r="U122" s="266">
        <f>O122/V122</f>
        <v>296180.0026058823</v>
      </c>
      <c r="V122" s="266">
        <f>1*136%</f>
        <v>1.36</v>
      </c>
      <c r="W122" s="266"/>
      <c r="X122" s="272">
        <v>80</v>
      </c>
      <c r="Y122" s="273">
        <v>32224.384283519998</v>
      </c>
      <c r="Z122" s="273">
        <f t="shared" si="153"/>
        <v>80</v>
      </c>
      <c r="AA122" s="273">
        <f t="shared" si="180"/>
        <v>80</v>
      </c>
      <c r="AB122" s="274">
        <v>600288</v>
      </c>
      <c r="AC122" s="275">
        <f>U122/AB122</f>
        <v>0.4933965073529411</v>
      </c>
      <c r="AE122" s="260"/>
      <c r="AF122" s="261">
        <v>0.44</v>
      </c>
      <c r="AG122" s="260"/>
      <c r="AJ122" s="346">
        <f t="shared" si="175"/>
        <v>134268.26784799999</v>
      </c>
      <c r="AK122" s="346">
        <f t="shared" si="175"/>
        <v>134268.26784799999</v>
      </c>
      <c r="AL122" s="346">
        <f t="shared" si="175"/>
        <v>134268.26784799999</v>
      </c>
      <c r="AN122" s="346">
        <f t="shared" si="177"/>
        <v>134.26826784799999</v>
      </c>
      <c r="AO122" s="346">
        <f t="shared" si="176"/>
        <v>134.26826784799999</v>
      </c>
      <c r="AP122" s="346">
        <f t="shared" si="176"/>
        <v>134.26826784799999</v>
      </c>
    </row>
    <row r="123" spans="2:42" ht="18.649999999999999" customHeight="1" x14ac:dyDescent="0.35">
      <c r="B123" s="322" t="s">
        <v>124</v>
      </c>
      <c r="C123" s="293" t="s">
        <v>97</v>
      </c>
      <c r="D123" s="263" t="s">
        <v>99</v>
      </c>
      <c r="E123" s="263" t="s">
        <v>46</v>
      </c>
      <c r="F123" s="263" t="s">
        <v>100</v>
      </c>
      <c r="G123" s="263" t="s">
        <v>101</v>
      </c>
      <c r="H123" s="265" t="s">
        <v>88</v>
      </c>
      <c r="I123" s="265" t="s">
        <v>102</v>
      </c>
      <c r="J123" s="553" t="s">
        <v>96</v>
      </c>
      <c r="K123" s="263" t="s">
        <v>89</v>
      </c>
      <c r="L123" s="266">
        <f t="shared" si="171"/>
        <v>21</v>
      </c>
      <c r="M123" s="267">
        <v>45460</v>
      </c>
      <c r="N123" s="267">
        <v>45480</v>
      </c>
      <c r="O123" s="266">
        <f>U123*V123</f>
        <v>110590.05881300516</v>
      </c>
      <c r="P123" s="268" t="s">
        <v>17</v>
      </c>
      <c r="Q123" s="269">
        <v>1.4999999999999999E-2</v>
      </c>
      <c r="R123" s="266">
        <f>O123*Q123</f>
        <v>1658.8508821950775</v>
      </c>
      <c r="S123" s="268" t="s">
        <v>17</v>
      </c>
      <c r="T123" s="271" t="s">
        <v>17</v>
      </c>
      <c r="U123" s="266">
        <f>AB123*AC123</f>
        <v>130105.95154471196</v>
      </c>
      <c r="V123" s="266">
        <v>0.85</v>
      </c>
      <c r="W123" s="266"/>
      <c r="X123" s="272">
        <v>105</v>
      </c>
      <c r="Y123" s="273">
        <f t="shared" si="174"/>
        <v>11611.956175365542</v>
      </c>
      <c r="Z123" s="273">
        <f t="shared" si="153"/>
        <v>105</v>
      </c>
      <c r="AA123" s="273">
        <f t="shared" si="180"/>
        <v>7</v>
      </c>
      <c r="AB123" s="274">
        <f>AB121*95%</f>
        <v>484732.55999999994</v>
      </c>
      <c r="AC123" s="275">
        <v>0.26840769999999997</v>
      </c>
      <c r="AE123" s="260"/>
      <c r="AF123" s="261">
        <v>0.22</v>
      </c>
      <c r="AG123" s="260"/>
      <c r="AJ123" s="346">
        <f t="shared" si="175"/>
        <v>36863.352937668387</v>
      </c>
      <c r="AK123" s="346">
        <f t="shared" si="175"/>
        <v>36863.352937668387</v>
      </c>
      <c r="AL123" s="346">
        <f t="shared" si="175"/>
        <v>36863.352937668387</v>
      </c>
      <c r="AN123" s="346">
        <f t="shared" si="177"/>
        <v>552.9502940650259</v>
      </c>
      <c r="AO123" s="346">
        <f t="shared" si="176"/>
        <v>552.9502940650259</v>
      </c>
      <c r="AP123" s="346">
        <f t="shared" si="176"/>
        <v>552.9502940650259</v>
      </c>
    </row>
    <row r="124" spans="2:42" ht="18.649999999999999" customHeight="1" x14ac:dyDescent="0.35">
      <c r="B124" s="322" t="str">
        <f>B123</f>
        <v>Coimbatore</v>
      </c>
      <c r="C124" s="293" t="s">
        <v>97</v>
      </c>
      <c r="D124" s="310" t="s">
        <v>103</v>
      </c>
      <c r="E124" s="263" t="s">
        <v>46</v>
      </c>
      <c r="F124" s="310" t="s">
        <v>100</v>
      </c>
      <c r="G124" s="263" t="s">
        <v>98</v>
      </c>
      <c r="H124" s="265" t="s">
        <v>88</v>
      </c>
      <c r="I124" s="265" t="s">
        <v>104</v>
      </c>
      <c r="J124" s="553" t="s">
        <v>96</v>
      </c>
      <c r="K124" s="263" t="s">
        <v>105</v>
      </c>
      <c r="L124" s="266">
        <f t="shared" si="171"/>
        <v>21</v>
      </c>
      <c r="M124" s="267">
        <v>45460</v>
      </c>
      <c r="N124" s="267">
        <v>45480</v>
      </c>
      <c r="O124" s="266">
        <f>U124*V124</f>
        <v>435229.23208632995</v>
      </c>
      <c r="P124" s="268" t="s">
        <v>17</v>
      </c>
      <c r="Q124" s="269">
        <v>1.4999999999999999E-2</v>
      </c>
      <c r="R124" s="266">
        <f>O124*Q124</f>
        <v>6528.4384812949493</v>
      </c>
      <c r="S124" s="268" t="s">
        <v>17</v>
      </c>
      <c r="T124" s="271" t="s">
        <v>17</v>
      </c>
      <c r="U124" s="266">
        <f>AB124*AC124</f>
        <v>512034.39068979997</v>
      </c>
      <c r="V124" s="266">
        <v>0.85</v>
      </c>
      <c r="W124" s="266"/>
      <c r="X124" s="272">
        <v>120</v>
      </c>
      <c r="Y124" s="273">
        <f t="shared" si="174"/>
        <v>52227.507850359594</v>
      </c>
      <c r="Z124" s="273">
        <f t="shared" si="153"/>
        <v>120</v>
      </c>
      <c r="AA124" s="273">
        <f t="shared" si="180"/>
        <v>8</v>
      </c>
      <c r="AB124" s="274">
        <v>953837</v>
      </c>
      <c r="AC124" s="275">
        <v>0.53681539999999994</v>
      </c>
      <c r="AE124" s="260"/>
      <c r="AF124" s="261">
        <v>0.44</v>
      </c>
      <c r="AG124" s="260"/>
      <c r="AH124" s="320"/>
      <c r="AJ124" s="346">
        <f t="shared" si="175"/>
        <v>145076.41069544334</v>
      </c>
      <c r="AK124" s="346">
        <f t="shared" si="175"/>
        <v>145076.41069544334</v>
      </c>
      <c r="AL124" s="346">
        <f t="shared" si="175"/>
        <v>145076.41069544334</v>
      </c>
      <c r="AN124" s="346">
        <f t="shared" si="177"/>
        <v>2176.1461604316501</v>
      </c>
      <c r="AO124" s="346">
        <f t="shared" si="176"/>
        <v>2176.1461604316501</v>
      </c>
      <c r="AP124" s="346">
        <f t="shared" si="176"/>
        <v>2176.1461604316501</v>
      </c>
    </row>
    <row r="125" spans="2:42" ht="18.649999999999999" customHeight="1" x14ac:dyDescent="0.35">
      <c r="B125" s="322" t="str">
        <f>B124</f>
        <v>Coimbatore</v>
      </c>
      <c r="C125" s="293" t="s">
        <v>97</v>
      </c>
      <c r="D125" s="310" t="s">
        <v>106</v>
      </c>
      <c r="E125" s="311" t="s">
        <v>46</v>
      </c>
      <c r="F125" s="311" t="s">
        <v>91</v>
      </c>
      <c r="G125" s="263" t="s">
        <v>98</v>
      </c>
      <c r="H125" s="310" t="s">
        <v>88</v>
      </c>
      <c r="I125" s="263" t="s">
        <v>107</v>
      </c>
      <c r="J125" s="553" t="s">
        <v>96</v>
      </c>
      <c r="K125" s="263" t="s">
        <v>89</v>
      </c>
      <c r="L125" s="266">
        <f t="shared" si="171"/>
        <v>21</v>
      </c>
      <c r="M125" s="267">
        <v>45460</v>
      </c>
      <c r="N125" s="267">
        <v>45480</v>
      </c>
      <c r="O125" s="266">
        <f>U125*V125</f>
        <v>100829.18304551399</v>
      </c>
      <c r="P125" s="268" t="s">
        <v>17</v>
      </c>
      <c r="Q125" s="312">
        <v>0.01</v>
      </c>
      <c r="R125" s="266">
        <f t="shared" ref="R125" si="181">O125*Q125</f>
        <v>1008.2918304551399</v>
      </c>
      <c r="S125" s="268" t="s">
        <v>17</v>
      </c>
      <c r="T125" s="271" t="s">
        <v>17</v>
      </c>
      <c r="U125" s="266">
        <f t="shared" ref="U125" si="182">AB125*AC125</f>
        <v>118622.56828883999</v>
      </c>
      <c r="V125" s="266">
        <v>0.85</v>
      </c>
      <c r="W125" s="266"/>
      <c r="X125" s="272">
        <v>200</v>
      </c>
      <c r="Y125" s="273">
        <f>O125*X125/1000</f>
        <v>20165.836609102797</v>
      </c>
      <c r="Z125" s="273">
        <f t="shared" si="153"/>
        <v>199.99999999999997</v>
      </c>
      <c r="AA125" s="273">
        <f t="shared" si="180"/>
        <v>19.999999999999996</v>
      </c>
      <c r="AB125" s="274">
        <v>401772</v>
      </c>
      <c r="AC125" s="275">
        <v>0.29524846999999999</v>
      </c>
      <c r="AE125" s="260"/>
      <c r="AF125" s="261">
        <v>0.22</v>
      </c>
      <c r="AG125" s="260"/>
      <c r="AH125" s="562"/>
      <c r="AJ125" s="346">
        <f t="shared" si="175"/>
        <v>33609.727681837991</v>
      </c>
      <c r="AK125" s="346">
        <f t="shared" si="175"/>
        <v>33609.727681837991</v>
      </c>
      <c r="AL125" s="346">
        <f t="shared" si="175"/>
        <v>33609.727681837991</v>
      </c>
      <c r="AN125" s="346">
        <f t="shared" si="177"/>
        <v>336.09727681838001</v>
      </c>
      <c r="AO125" s="346">
        <f t="shared" si="176"/>
        <v>336.09727681838001</v>
      </c>
      <c r="AP125" s="346">
        <f t="shared" si="176"/>
        <v>336.09727681838001</v>
      </c>
    </row>
    <row r="126" spans="2:42" ht="18.649999999999999" customHeight="1" x14ac:dyDescent="0.35">
      <c r="B126" s="277" t="str">
        <f>B123</f>
        <v>Coimbatore</v>
      </c>
      <c r="C126" s="278"/>
      <c r="D126" s="279" t="s">
        <v>18</v>
      </c>
      <c r="E126" s="280"/>
      <c r="F126" s="279"/>
      <c r="G126" s="280"/>
      <c r="H126" s="280"/>
      <c r="I126" s="281"/>
      <c r="J126" s="546"/>
      <c r="K126" s="283"/>
      <c r="L126" s="284"/>
      <c r="M126" s="284"/>
      <c r="N126" s="284"/>
      <c r="O126" s="284">
        <f>SUM(O119:O125)</f>
        <v>3523889.382656619</v>
      </c>
      <c r="P126" s="284"/>
      <c r="Q126" s="285">
        <f>R126/O126</f>
        <v>2.7944670033576745E-3</v>
      </c>
      <c r="R126" s="284">
        <f>SUM(R119:R125)</f>
        <v>9847.392603316368</v>
      </c>
      <c r="S126" s="286"/>
      <c r="T126" s="316">
        <f>SUM(T119:T125)</f>
        <v>2316334.7127497243</v>
      </c>
      <c r="U126" s="284">
        <f>U124+(SUM(U119:U123,U125)*10%)</f>
        <v>636644.79664657544</v>
      </c>
      <c r="V126" s="284">
        <f>O126/U126</f>
        <v>5.5350949245452759</v>
      </c>
      <c r="W126" s="284"/>
      <c r="X126" s="287"/>
      <c r="Y126" s="317">
        <f>SUM(Y119:Y125)</f>
        <v>390290.18616262311</v>
      </c>
      <c r="Z126" s="288">
        <f t="shared" si="153"/>
        <v>110.75551578988211</v>
      </c>
      <c r="AA126" s="288">
        <f t="shared" si="180"/>
        <v>39.633860645627415</v>
      </c>
      <c r="AB126" s="284">
        <f>AB124+(SUM(AB119:AB123,AB125)*2%)</f>
        <v>1004051.9072</v>
      </c>
      <c r="AC126" s="289">
        <f>U126/AB126</f>
        <v>0.63407558123363073</v>
      </c>
      <c r="AD126" s="261"/>
      <c r="AE126" s="290"/>
      <c r="AF126" s="261">
        <v>0.77104278663391268</v>
      </c>
      <c r="AG126" s="290"/>
      <c r="AH126" s="460"/>
      <c r="AI126" s="459"/>
    </row>
    <row r="127" spans="2:42" ht="18.649999999999999" customHeight="1" x14ac:dyDescent="0.35">
      <c r="B127" s="322" t="s">
        <v>125</v>
      </c>
      <c r="C127" s="293" t="s">
        <v>93</v>
      </c>
      <c r="D127" s="294" t="s">
        <v>94</v>
      </c>
      <c r="E127" s="294" t="s">
        <v>45</v>
      </c>
      <c r="F127" s="295" t="s">
        <v>87</v>
      </c>
      <c r="G127" s="295" t="s">
        <v>50</v>
      </c>
      <c r="H127" s="296" t="s">
        <v>95</v>
      </c>
      <c r="I127" s="296" t="s">
        <v>608</v>
      </c>
      <c r="J127" s="551" t="s">
        <v>96</v>
      </c>
      <c r="K127" s="295" t="s">
        <v>89</v>
      </c>
      <c r="L127" s="298">
        <f t="shared" ref="L127:L133" si="183">N127-(M127-1)</f>
        <v>21</v>
      </c>
      <c r="M127" s="299">
        <v>45460</v>
      </c>
      <c r="N127" s="299">
        <v>45480</v>
      </c>
      <c r="O127" s="298">
        <f t="shared" ref="O127:O129" si="184">U127*V127</f>
        <v>462519.11795443197</v>
      </c>
      <c r="P127" s="300" t="s">
        <v>17</v>
      </c>
      <c r="Q127" s="301"/>
      <c r="R127" s="298"/>
      <c r="S127" s="302">
        <v>0.85</v>
      </c>
      <c r="T127" s="303">
        <f t="shared" ref="T127:T128" si="185">O127*S127</f>
        <v>393141.25026126718</v>
      </c>
      <c r="U127" s="298">
        <f>AB127*AC127</f>
        <v>113362.5289104</v>
      </c>
      <c r="V127" s="298">
        <f>3*136%</f>
        <v>4.08</v>
      </c>
      <c r="W127" s="298"/>
      <c r="X127" s="304">
        <v>125</v>
      </c>
      <c r="Y127" s="305">
        <f t="shared" ref="Y127:Y132" si="186">(O127/1000)*X127</f>
        <v>57814.889744303997</v>
      </c>
      <c r="Z127" s="305">
        <f t="shared" si="153"/>
        <v>125</v>
      </c>
      <c r="AA127" s="305"/>
      <c r="AB127" s="306">
        <v>131985</v>
      </c>
      <c r="AC127" s="307">
        <v>0.85890464</v>
      </c>
      <c r="AD127" s="261"/>
      <c r="AE127" s="260"/>
      <c r="AF127" s="261">
        <v>0.70400000000000007</v>
      </c>
      <c r="AG127" s="260"/>
      <c r="AH127" s="568"/>
      <c r="AJ127" s="346">
        <f t="shared" si="175"/>
        <v>154173.03931814397</v>
      </c>
      <c r="AK127" s="346">
        <f t="shared" si="175"/>
        <v>154173.03931814397</v>
      </c>
      <c r="AL127" s="346">
        <f t="shared" si="175"/>
        <v>154173.03931814397</v>
      </c>
      <c r="AN127" s="346">
        <f>$R127/$L127*7</f>
        <v>0</v>
      </c>
      <c r="AO127" s="346">
        <f t="shared" ref="AO127:AP133" si="187">$R127/$L127*7</f>
        <v>0</v>
      </c>
      <c r="AP127" s="346">
        <f t="shared" si="187"/>
        <v>0</v>
      </c>
    </row>
    <row r="128" spans="2:42" ht="18.649999999999999" customHeight="1" x14ac:dyDescent="0.35">
      <c r="B128" s="322" t="s">
        <v>125</v>
      </c>
      <c r="C128" s="293" t="s">
        <v>93</v>
      </c>
      <c r="D128" s="295" t="s">
        <v>86</v>
      </c>
      <c r="E128" s="295" t="s">
        <v>45</v>
      </c>
      <c r="F128" s="295" t="s">
        <v>87</v>
      </c>
      <c r="G128" s="296" t="s">
        <v>50</v>
      </c>
      <c r="H128" s="296" t="s">
        <v>95</v>
      </c>
      <c r="I128" s="296" t="s">
        <v>610</v>
      </c>
      <c r="J128" s="551" t="s">
        <v>96</v>
      </c>
      <c r="K128" s="295" t="s">
        <v>89</v>
      </c>
      <c r="L128" s="298">
        <f t="shared" si="183"/>
        <v>21</v>
      </c>
      <c r="M128" s="299">
        <v>45460</v>
      </c>
      <c r="N128" s="299">
        <v>45480</v>
      </c>
      <c r="O128" s="298">
        <f>Y128/X128*1000</f>
        <v>3033386.6848920002</v>
      </c>
      <c r="P128" s="300" t="s">
        <v>17</v>
      </c>
      <c r="Q128" s="301"/>
      <c r="R128" s="298"/>
      <c r="S128" s="302">
        <v>0.8</v>
      </c>
      <c r="T128" s="303">
        <f t="shared" si="185"/>
        <v>2426709.3479136</v>
      </c>
      <c r="U128" s="298">
        <f>O128/V128</f>
        <v>546556.15944000008</v>
      </c>
      <c r="V128" s="298">
        <v>5.55</v>
      </c>
      <c r="W128" s="298"/>
      <c r="X128" s="304">
        <v>110</v>
      </c>
      <c r="Y128" s="305">
        <f>333672.53533812</f>
        <v>333672.53533812001</v>
      </c>
      <c r="Z128" s="305">
        <f t="shared" si="153"/>
        <v>110</v>
      </c>
      <c r="AA128" s="305"/>
      <c r="AB128" s="306">
        <v>609390</v>
      </c>
      <c r="AC128" s="307">
        <f>U128/AB128</f>
        <v>0.89689059459459475</v>
      </c>
      <c r="AF128" s="261">
        <v>0.748</v>
      </c>
      <c r="AJ128" s="346">
        <f t="shared" si="175"/>
        <v>1011128.8949640002</v>
      </c>
      <c r="AK128" s="346">
        <f t="shared" si="175"/>
        <v>1011128.8949640002</v>
      </c>
      <c r="AL128" s="346">
        <f t="shared" si="175"/>
        <v>1011128.8949640002</v>
      </c>
      <c r="AN128" s="346">
        <f t="shared" ref="AN128:AN133" si="188">$R128/$L128*7</f>
        <v>0</v>
      </c>
      <c r="AO128" s="346">
        <f t="shared" si="187"/>
        <v>0</v>
      </c>
      <c r="AP128" s="346">
        <f t="shared" si="187"/>
        <v>0</v>
      </c>
    </row>
    <row r="129" spans="2:42" ht="18.649999999999999" customHeight="1" x14ac:dyDescent="0.35">
      <c r="B129" s="322" t="s">
        <v>125</v>
      </c>
      <c r="C129" s="293" t="s">
        <v>97</v>
      </c>
      <c r="D129" s="264" t="s">
        <v>561</v>
      </c>
      <c r="E129" s="264" t="s">
        <v>45</v>
      </c>
      <c r="F129" s="263" t="s">
        <v>87</v>
      </c>
      <c r="G129" s="263" t="s">
        <v>98</v>
      </c>
      <c r="H129" s="265" t="s">
        <v>90</v>
      </c>
      <c r="I129" s="265" t="s">
        <v>609</v>
      </c>
      <c r="J129" s="552" t="s">
        <v>96</v>
      </c>
      <c r="K129" s="263" t="s">
        <v>89</v>
      </c>
      <c r="L129" s="266">
        <f t="shared" si="183"/>
        <v>21</v>
      </c>
      <c r="M129" s="267">
        <v>45460</v>
      </c>
      <c r="N129" s="267">
        <v>45480</v>
      </c>
      <c r="O129" s="266">
        <f t="shared" si="184"/>
        <v>505564.44748199999</v>
      </c>
      <c r="P129" s="268" t="s">
        <v>17</v>
      </c>
      <c r="Q129" s="269">
        <v>1E-3</v>
      </c>
      <c r="R129" s="266">
        <f t="shared" ref="R129:R130" si="189">O129*Q129</f>
        <v>505.56444748199999</v>
      </c>
      <c r="S129" s="270">
        <v>0.7</v>
      </c>
      <c r="T129" s="271">
        <f>O129*S129</f>
        <v>353895.11323739996</v>
      </c>
      <c r="U129" s="266">
        <f t="shared" ref="U129" si="190">AB129*AC129</f>
        <v>505564.44748199999</v>
      </c>
      <c r="V129" s="266">
        <v>1</v>
      </c>
      <c r="W129" s="266"/>
      <c r="X129" s="272">
        <v>70</v>
      </c>
      <c r="Y129" s="273">
        <f t="shared" si="186"/>
        <v>35389.51132374</v>
      </c>
      <c r="Z129" s="273">
        <f t="shared" si="153"/>
        <v>70</v>
      </c>
      <c r="AA129" s="273">
        <f t="shared" ref="AA129:AA134" si="191">Y129/R129</f>
        <v>70</v>
      </c>
      <c r="AB129" s="274">
        <f>1218780*85%</f>
        <v>1035963</v>
      </c>
      <c r="AC129" s="275">
        <v>0.488014</v>
      </c>
      <c r="AE129" s="260"/>
      <c r="AF129" s="261">
        <v>0.44</v>
      </c>
      <c r="AG129" s="260"/>
      <c r="AJ129" s="346">
        <f t="shared" si="175"/>
        <v>168521.482494</v>
      </c>
      <c r="AK129" s="346">
        <f t="shared" si="175"/>
        <v>168521.482494</v>
      </c>
      <c r="AL129" s="346">
        <f t="shared" si="175"/>
        <v>168521.482494</v>
      </c>
      <c r="AN129" s="346">
        <f t="shared" si="188"/>
        <v>168.521482494</v>
      </c>
      <c r="AO129" s="346">
        <f t="shared" si="187"/>
        <v>168.521482494</v>
      </c>
      <c r="AP129" s="346">
        <f t="shared" si="187"/>
        <v>168.521482494</v>
      </c>
    </row>
    <row r="130" spans="2:42" ht="18.649999999999999" customHeight="1" x14ac:dyDescent="0.35">
      <c r="B130" s="322" t="s">
        <v>125</v>
      </c>
      <c r="C130" s="293" t="s">
        <v>97</v>
      </c>
      <c r="D130" s="264" t="s">
        <v>86</v>
      </c>
      <c r="E130" s="264" t="s">
        <v>45</v>
      </c>
      <c r="F130" s="263" t="s">
        <v>87</v>
      </c>
      <c r="G130" s="263" t="s">
        <v>98</v>
      </c>
      <c r="H130" s="265" t="s">
        <v>90</v>
      </c>
      <c r="I130" s="265" t="s">
        <v>610</v>
      </c>
      <c r="J130" s="552" t="s">
        <v>96</v>
      </c>
      <c r="K130" s="263" t="s">
        <v>89</v>
      </c>
      <c r="L130" s="266">
        <f t="shared" si="183"/>
        <v>21</v>
      </c>
      <c r="M130" s="267">
        <v>45460</v>
      </c>
      <c r="N130" s="267">
        <v>45480</v>
      </c>
      <c r="O130" s="266">
        <f>Y130/X130*1000</f>
        <v>754120.125</v>
      </c>
      <c r="P130" s="268" t="s">
        <v>17</v>
      </c>
      <c r="Q130" s="269">
        <v>1E-3</v>
      </c>
      <c r="R130" s="266">
        <f t="shared" si="189"/>
        <v>754.12012500000003</v>
      </c>
      <c r="S130" s="270">
        <v>0.8</v>
      </c>
      <c r="T130" s="271">
        <f>O130*S130</f>
        <v>603296.1</v>
      </c>
      <c r="U130" s="266">
        <f>O130/V130</f>
        <v>538657.23214285716</v>
      </c>
      <c r="V130" s="266">
        <v>1.4</v>
      </c>
      <c r="W130" s="266"/>
      <c r="X130" s="272">
        <v>80</v>
      </c>
      <c r="Y130" s="273">
        <v>60329.61</v>
      </c>
      <c r="Z130" s="273">
        <f t="shared" si="153"/>
        <v>80</v>
      </c>
      <c r="AA130" s="273">
        <f t="shared" si="191"/>
        <v>80</v>
      </c>
      <c r="AB130" s="274">
        <v>1218780</v>
      </c>
      <c r="AC130" s="275">
        <f>U130/AB130</f>
        <v>0.44196428571428575</v>
      </c>
      <c r="AE130" s="260"/>
      <c r="AF130" s="261">
        <v>0.44</v>
      </c>
      <c r="AG130" s="260"/>
      <c r="AJ130" s="346">
        <f t="shared" si="175"/>
        <v>251373.375</v>
      </c>
      <c r="AK130" s="346">
        <f t="shared" si="175"/>
        <v>251373.375</v>
      </c>
      <c r="AL130" s="346">
        <f t="shared" si="175"/>
        <v>251373.375</v>
      </c>
      <c r="AN130" s="346">
        <f t="shared" si="188"/>
        <v>251.37337499999998</v>
      </c>
      <c r="AO130" s="346">
        <f t="shared" si="187"/>
        <v>251.37337499999998</v>
      </c>
      <c r="AP130" s="346">
        <f t="shared" si="187"/>
        <v>251.37337499999998</v>
      </c>
    </row>
    <row r="131" spans="2:42" ht="18.649999999999999" customHeight="1" x14ac:dyDescent="0.35">
      <c r="B131" s="322" t="s">
        <v>125</v>
      </c>
      <c r="C131" s="293" t="s">
        <v>97</v>
      </c>
      <c r="D131" s="263" t="s">
        <v>99</v>
      </c>
      <c r="E131" s="263" t="s">
        <v>46</v>
      </c>
      <c r="F131" s="263" t="s">
        <v>100</v>
      </c>
      <c r="G131" s="263" t="s">
        <v>101</v>
      </c>
      <c r="H131" s="265" t="s">
        <v>88</v>
      </c>
      <c r="I131" s="265" t="s">
        <v>102</v>
      </c>
      <c r="J131" s="553" t="s">
        <v>96</v>
      </c>
      <c r="K131" s="263" t="s">
        <v>89</v>
      </c>
      <c r="L131" s="266">
        <f t="shared" si="183"/>
        <v>21</v>
      </c>
      <c r="M131" s="267">
        <v>45460</v>
      </c>
      <c r="N131" s="267">
        <v>45480</v>
      </c>
      <c r="O131" s="266">
        <f>U131*V131</f>
        <v>224533.81023794319</v>
      </c>
      <c r="P131" s="268" t="s">
        <v>17</v>
      </c>
      <c r="Q131" s="269">
        <v>1.4999999999999999E-2</v>
      </c>
      <c r="R131" s="266">
        <f>O131*Q131</f>
        <v>3368.0071535691477</v>
      </c>
      <c r="S131" s="268" t="s">
        <v>17</v>
      </c>
      <c r="T131" s="271" t="s">
        <v>17</v>
      </c>
      <c r="U131" s="266">
        <f>AB131*AC131</f>
        <v>264157.42380934494</v>
      </c>
      <c r="V131" s="266">
        <v>0.85</v>
      </c>
      <c r="W131" s="266"/>
      <c r="X131" s="272">
        <v>105</v>
      </c>
      <c r="Y131" s="273">
        <f t="shared" si="186"/>
        <v>23576.050074984036</v>
      </c>
      <c r="Z131" s="273">
        <f t="shared" si="153"/>
        <v>105</v>
      </c>
      <c r="AA131" s="273">
        <f t="shared" si="191"/>
        <v>7.0000000000000009</v>
      </c>
      <c r="AB131" s="274">
        <f>AB129*95%</f>
        <v>984164.85</v>
      </c>
      <c r="AC131" s="275">
        <v>0.26840769999999997</v>
      </c>
      <c r="AE131" s="260"/>
      <c r="AF131" s="261">
        <v>0.22</v>
      </c>
      <c r="AG131" s="260"/>
      <c r="AJ131" s="346">
        <f t="shared" si="175"/>
        <v>74844.603412647732</v>
      </c>
      <c r="AK131" s="346">
        <f t="shared" si="175"/>
        <v>74844.603412647732</v>
      </c>
      <c r="AL131" s="346">
        <f t="shared" si="175"/>
        <v>74844.603412647732</v>
      </c>
      <c r="AN131" s="346">
        <f t="shared" si="188"/>
        <v>1122.6690511897159</v>
      </c>
      <c r="AO131" s="346">
        <f t="shared" si="187"/>
        <v>1122.6690511897159</v>
      </c>
      <c r="AP131" s="346">
        <f t="shared" si="187"/>
        <v>1122.6690511897159</v>
      </c>
    </row>
    <row r="132" spans="2:42" ht="18.649999999999999" customHeight="1" x14ac:dyDescent="0.35">
      <c r="B132" s="322" t="str">
        <f>B131</f>
        <v>Jaipur</v>
      </c>
      <c r="C132" s="293" t="s">
        <v>97</v>
      </c>
      <c r="D132" s="310" t="s">
        <v>103</v>
      </c>
      <c r="E132" s="263" t="s">
        <v>46</v>
      </c>
      <c r="F132" s="310" t="s">
        <v>100</v>
      </c>
      <c r="G132" s="263" t="s">
        <v>98</v>
      </c>
      <c r="H132" s="265" t="s">
        <v>88</v>
      </c>
      <c r="I132" s="265" t="s">
        <v>104</v>
      </c>
      <c r="J132" s="553" t="s">
        <v>96</v>
      </c>
      <c r="K132" s="263" t="s">
        <v>105</v>
      </c>
      <c r="L132" s="266">
        <f t="shared" si="183"/>
        <v>21</v>
      </c>
      <c r="M132" s="267">
        <v>45460</v>
      </c>
      <c r="N132" s="267">
        <v>45480</v>
      </c>
      <c r="O132" s="266">
        <f>U132*V132</f>
        <v>341770.09503049596</v>
      </c>
      <c r="P132" s="268" t="s">
        <v>17</v>
      </c>
      <c r="Q132" s="269">
        <v>1.4999999999999999E-2</v>
      </c>
      <c r="R132" s="266">
        <f>O132*Q132</f>
        <v>5126.5514254574391</v>
      </c>
      <c r="S132" s="268" t="s">
        <v>17</v>
      </c>
      <c r="T132" s="271" t="s">
        <v>17</v>
      </c>
      <c r="U132" s="266">
        <f>AB132*AC132</f>
        <v>402082.46474175999</v>
      </c>
      <c r="V132" s="266">
        <v>0.85</v>
      </c>
      <c r="W132" s="266"/>
      <c r="X132" s="272">
        <v>120</v>
      </c>
      <c r="Y132" s="273">
        <f t="shared" si="186"/>
        <v>41012.411403659513</v>
      </c>
      <c r="Z132" s="273">
        <f t="shared" si="153"/>
        <v>120</v>
      </c>
      <c r="AA132" s="273">
        <f t="shared" si="191"/>
        <v>8</v>
      </c>
      <c r="AB132" s="274">
        <v>936268</v>
      </c>
      <c r="AC132" s="275">
        <v>0.42945232</v>
      </c>
      <c r="AE132" s="260"/>
      <c r="AF132" s="261">
        <v>0.35200000000000004</v>
      </c>
      <c r="AG132" s="260"/>
      <c r="AH132" s="320"/>
      <c r="AJ132" s="346">
        <f t="shared" si="175"/>
        <v>113923.36501016532</v>
      </c>
      <c r="AK132" s="346">
        <f t="shared" si="175"/>
        <v>113923.36501016532</v>
      </c>
      <c r="AL132" s="346">
        <f t="shared" si="175"/>
        <v>113923.36501016532</v>
      </c>
      <c r="AN132" s="346">
        <f t="shared" si="188"/>
        <v>1708.8504751524797</v>
      </c>
      <c r="AO132" s="346">
        <f t="shared" si="187"/>
        <v>1708.8504751524797</v>
      </c>
      <c r="AP132" s="346">
        <f t="shared" si="187"/>
        <v>1708.8504751524797</v>
      </c>
    </row>
    <row r="133" spans="2:42" ht="18.649999999999999" customHeight="1" x14ac:dyDescent="0.35">
      <c r="B133" s="322" t="str">
        <f>B132</f>
        <v>Jaipur</v>
      </c>
      <c r="C133" s="293" t="s">
        <v>97</v>
      </c>
      <c r="D133" s="310" t="s">
        <v>106</v>
      </c>
      <c r="E133" s="311" t="s">
        <v>46</v>
      </c>
      <c r="F133" s="311" t="s">
        <v>91</v>
      </c>
      <c r="G133" s="263" t="s">
        <v>98</v>
      </c>
      <c r="H133" s="310" t="s">
        <v>88</v>
      </c>
      <c r="I133" s="263" t="s">
        <v>107</v>
      </c>
      <c r="J133" s="553" t="s">
        <v>96</v>
      </c>
      <c r="K133" s="263" t="s">
        <v>89</v>
      </c>
      <c r="L133" s="266">
        <f t="shared" si="183"/>
        <v>21</v>
      </c>
      <c r="M133" s="267">
        <v>45460</v>
      </c>
      <c r="N133" s="267">
        <v>45480</v>
      </c>
      <c r="O133" s="266">
        <f>U133*V133</f>
        <v>110394.56916445649</v>
      </c>
      <c r="P133" s="268" t="s">
        <v>17</v>
      </c>
      <c r="Q133" s="312">
        <v>0.01</v>
      </c>
      <c r="R133" s="266">
        <f t="shared" ref="R133" si="192">O133*Q133</f>
        <v>1103.9456916445649</v>
      </c>
      <c r="S133" s="268" t="s">
        <v>17</v>
      </c>
      <c r="T133" s="271" t="s">
        <v>17</v>
      </c>
      <c r="U133" s="266">
        <f t="shared" ref="U133" si="193">AB133*AC133</f>
        <v>129875.96372289</v>
      </c>
      <c r="V133" s="266">
        <v>0.85</v>
      </c>
      <c r="W133" s="266"/>
      <c r="X133" s="272">
        <v>200</v>
      </c>
      <c r="Y133" s="273">
        <f>O133*X133/1000</f>
        <v>22078.9138328913</v>
      </c>
      <c r="Z133" s="273">
        <f t="shared" si="153"/>
        <v>200</v>
      </c>
      <c r="AA133" s="273">
        <f t="shared" si="191"/>
        <v>20</v>
      </c>
      <c r="AB133" s="274">
        <v>439887</v>
      </c>
      <c r="AC133" s="275">
        <v>0.29524846999999999</v>
      </c>
      <c r="AE133" s="260"/>
      <c r="AF133" s="261">
        <v>0.22</v>
      </c>
      <c r="AG133" s="260"/>
      <c r="AH133" s="562"/>
      <c r="AJ133" s="346">
        <f t="shared" si="175"/>
        <v>36798.189721485498</v>
      </c>
      <c r="AK133" s="346">
        <f t="shared" si="175"/>
        <v>36798.189721485498</v>
      </c>
      <c r="AL133" s="346">
        <f t="shared" si="175"/>
        <v>36798.189721485498</v>
      </c>
      <c r="AN133" s="346">
        <f t="shared" si="188"/>
        <v>367.981897214855</v>
      </c>
      <c r="AO133" s="346">
        <f t="shared" si="187"/>
        <v>367.981897214855</v>
      </c>
      <c r="AP133" s="346">
        <f t="shared" si="187"/>
        <v>367.981897214855</v>
      </c>
    </row>
    <row r="134" spans="2:42" ht="18.649999999999999" customHeight="1" x14ac:dyDescent="0.35">
      <c r="B134" s="277" t="str">
        <f>B131</f>
        <v>Jaipur</v>
      </c>
      <c r="C134" s="278"/>
      <c r="D134" s="279" t="s">
        <v>18</v>
      </c>
      <c r="E134" s="280"/>
      <c r="F134" s="279"/>
      <c r="G134" s="280"/>
      <c r="H134" s="280"/>
      <c r="I134" s="281"/>
      <c r="J134" s="546"/>
      <c r="K134" s="283"/>
      <c r="L134" s="284"/>
      <c r="M134" s="284"/>
      <c r="N134" s="284"/>
      <c r="O134" s="284">
        <f>SUM(O127:O133)</f>
        <v>5432288.8497613287</v>
      </c>
      <c r="P134" s="284"/>
      <c r="Q134" s="285">
        <f>R134/O134</f>
        <v>1.9988239107775379E-3</v>
      </c>
      <c r="R134" s="284">
        <f>SUM(R127:R133)</f>
        <v>10858.188843153152</v>
      </c>
      <c r="S134" s="286"/>
      <c r="T134" s="284">
        <f>SUM(T127:T133)</f>
        <v>3777041.8114122674</v>
      </c>
      <c r="U134" s="284">
        <f>U130+(SUM(U127:U129,U131:U133)*15%)</f>
        <v>832897.08035881631</v>
      </c>
      <c r="V134" s="284">
        <f>O134/U134</f>
        <v>6.5221609942744321</v>
      </c>
      <c r="W134" s="284"/>
      <c r="X134" s="287"/>
      <c r="Y134" s="317">
        <f>SUM(Y127:Y133)</f>
        <v>573873.9217176988</v>
      </c>
      <c r="Z134" s="288">
        <f t="shared" si="153"/>
        <v>105.64127526887904</v>
      </c>
      <c r="AA134" s="288">
        <f t="shared" si="191"/>
        <v>52.851716801699069</v>
      </c>
      <c r="AB134" s="284">
        <f>AB130+(SUM(AB127:AB129,AB131:AB133)*2%)</f>
        <v>1301533.1570000001</v>
      </c>
      <c r="AC134" s="289">
        <f>U134/AB134</f>
        <v>0.63993535307131344</v>
      </c>
      <c r="AD134" s="261"/>
      <c r="AE134" s="290"/>
      <c r="AF134" s="261">
        <v>0.6428201785972153</v>
      </c>
      <c r="AG134" s="290"/>
      <c r="AH134" s="460"/>
      <c r="AI134" s="459"/>
    </row>
    <row r="135" spans="2:42" ht="18.649999999999999" customHeight="1" x14ac:dyDescent="0.35">
      <c r="B135" s="322" t="s">
        <v>126</v>
      </c>
      <c r="C135" s="293" t="s">
        <v>93</v>
      </c>
      <c r="D135" s="294" t="s">
        <v>94</v>
      </c>
      <c r="E135" s="294" t="s">
        <v>45</v>
      </c>
      <c r="F135" s="295" t="s">
        <v>87</v>
      </c>
      <c r="G135" s="295" t="s">
        <v>50</v>
      </c>
      <c r="H135" s="296" t="s">
        <v>95</v>
      </c>
      <c r="I135" s="296" t="s">
        <v>608</v>
      </c>
      <c r="J135" s="551" t="s">
        <v>96</v>
      </c>
      <c r="K135" s="295" t="s">
        <v>89</v>
      </c>
      <c r="L135" s="298">
        <f t="shared" ref="L135:L141" si="194">N135-(M135-1)</f>
        <v>21</v>
      </c>
      <c r="M135" s="299">
        <v>45460</v>
      </c>
      <c r="N135" s="299">
        <v>45480</v>
      </c>
      <c r="O135" s="298">
        <f t="shared" ref="O135:O137" si="195">U135*V135</f>
        <v>928213.15973253117</v>
      </c>
      <c r="P135" s="300" t="s">
        <v>17</v>
      </c>
      <c r="Q135" s="301"/>
      <c r="R135" s="298"/>
      <c r="S135" s="302">
        <v>0.85</v>
      </c>
      <c r="T135" s="303">
        <f t="shared" ref="T135:T136" si="196">O135*S135</f>
        <v>788981.18577265146</v>
      </c>
      <c r="U135" s="298">
        <f>AB135*AC135</f>
        <v>227503.22542464</v>
      </c>
      <c r="V135" s="298">
        <f>3*136%</f>
        <v>4.08</v>
      </c>
      <c r="W135" s="298"/>
      <c r="X135" s="304">
        <v>125</v>
      </c>
      <c r="Y135" s="305">
        <f t="shared" ref="Y135:Y140" si="197">(O135/1000)*X135</f>
        <v>116026.6449665664</v>
      </c>
      <c r="Z135" s="305">
        <f t="shared" si="153"/>
        <v>125</v>
      </c>
      <c r="AA135" s="305"/>
      <c r="AB135" s="306">
        <v>264876</v>
      </c>
      <c r="AC135" s="307">
        <v>0.85890464</v>
      </c>
      <c r="AD135" s="261"/>
      <c r="AE135" s="260"/>
      <c r="AF135" s="261">
        <v>0.70400000000000007</v>
      </c>
      <c r="AG135" s="260"/>
      <c r="AJ135" s="346">
        <f t="shared" si="175"/>
        <v>309404.38657751039</v>
      </c>
      <c r="AK135" s="346">
        <f t="shared" si="175"/>
        <v>309404.38657751039</v>
      </c>
      <c r="AL135" s="346">
        <f t="shared" si="175"/>
        <v>309404.38657751039</v>
      </c>
      <c r="AN135" s="346">
        <f>$R135/$L135*7</f>
        <v>0</v>
      </c>
      <c r="AO135" s="346">
        <f t="shared" ref="AO135:AP141" si="198">$R135/$L135*7</f>
        <v>0</v>
      </c>
      <c r="AP135" s="346">
        <f t="shared" si="198"/>
        <v>0</v>
      </c>
    </row>
    <row r="136" spans="2:42" ht="18.649999999999999" customHeight="1" x14ac:dyDescent="0.35">
      <c r="B136" s="322" t="s">
        <v>126</v>
      </c>
      <c r="C136" s="293" t="s">
        <v>93</v>
      </c>
      <c r="D136" s="295" t="s">
        <v>86</v>
      </c>
      <c r="E136" s="295" t="s">
        <v>45</v>
      </c>
      <c r="F136" s="295" t="s">
        <v>87</v>
      </c>
      <c r="G136" s="296" t="s">
        <v>50</v>
      </c>
      <c r="H136" s="296" t="s">
        <v>95</v>
      </c>
      <c r="I136" s="296" t="s">
        <v>610</v>
      </c>
      <c r="J136" s="551" t="s">
        <v>96</v>
      </c>
      <c r="K136" s="295" t="s">
        <v>89</v>
      </c>
      <c r="L136" s="298">
        <f t="shared" si="194"/>
        <v>21</v>
      </c>
      <c r="M136" s="299">
        <v>45460</v>
      </c>
      <c r="N136" s="299">
        <v>45480</v>
      </c>
      <c r="O136" s="298">
        <f>Y136/X136*1000</f>
        <v>1690366.788738</v>
      </c>
      <c r="P136" s="300" t="s">
        <v>17</v>
      </c>
      <c r="Q136" s="301"/>
      <c r="R136" s="298"/>
      <c r="S136" s="302">
        <v>0.8</v>
      </c>
      <c r="T136" s="303">
        <f t="shared" si="196"/>
        <v>1352293.4309904</v>
      </c>
      <c r="U136" s="298">
        <f>O136/V136</f>
        <v>304570.59256540542</v>
      </c>
      <c r="V136" s="298">
        <v>5.55</v>
      </c>
      <c r="W136" s="298"/>
      <c r="X136" s="304">
        <v>110</v>
      </c>
      <c r="Y136" s="305">
        <v>185940.34676118</v>
      </c>
      <c r="Z136" s="305">
        <f t="shared" si="153"/>
        <v>110</v>
      </c>
      <c r="AA136" s="305"/>
      <c r="AB136" s="306">
        <v>339585</v>
      </c>
      <c r="AC136" s="307">
        <f>U136/AB136</f>
        <v>0.89689059459459464</v>
      </c>
      <c r="AF136" s="261">
        <v>0.748</v>
      </c>
      <c r="AJ136" s="346">
        <f t="shared" ref="AJ136:AL141" si="199">$O136/$L136*7</f>
        <v>563455.59624600003</v>
      </c>
      <c r="AK136" s="346">
        <f t="shared" si="199"/>
        <v>563455.59624600003</v>
      </c>
      <c r="AL136" s="346">
        <f t="shared" si="199"/>
        <v>563455.59624600003</v>
      </c>
      <c r="AN136" s="346">
        <f t="shared" ref="AN136:AN141" si="200">$R136/$L136*7</f>
        <v>0</v>
      </c>
      <c r="AO136" s="346">
        <f t="shared" si="198"/>
        <v>0</v>
      </c>
      <c r="AP136" s="346">
        <f t="shared" si="198"/>
        <v>0</v>
      </c>
    </row>
    <row r="137" spans="2:42" ht="18.649999999999999" customHeight="1" x14ac:dyDescent="0.35">
      <c r="B137" s="322" t="s">
        <v>126</v>
      </c>
      <c r="C137" s="293" t="s">
        <v>97</v>
      </c>
      <c r="D137" s="264" t="s">
        <v>561</v>
      </c>
      <c r="E137" s="264" t="s">
        <v>45</v>
      </c>
      <c r="F137" s="263" t="s">
        <v>87</v>
      </c>
      <c r="G137" s="263" t="s">
        <v>98</v>
      </c>
      <c r="H137" s="265" t="s">
        <v>90</v>
      </c>
      <c r="I137" s="265" t="s">
        <v>609</v>
      </c>
      <c r="J137" s="552" t="s">
        <v>96</v>
      </c>
      <c r="K137" s="263" t="s">
        <v>89</v>
      </c>
      <c r="L137" s="266">
        <f t="shared" si="194"/>
        <v>21</v>
      </c>
      <c r="M137" s="267">
        <v>45460</v>
      </c>
      <c r="N137" s="267">
        <v>45480</v>
      </c>
      <c r="O137" s="266">
        <f t="shared" si="195"/>
        <v>287362.18816069997</v>
      </c>
      <c r="P137" s="268" t="s">
        <v>17</v>
      </c>
      <c r="Q137" s="269">
        <v>1E-3</v>
      </c>
      <c r="R137" s="266">
        <f t="shared" ref="R137:R138" si="201">O137*Q137</f>
        <v>287.36218816069999</v>
      </c>
      <c r="S137" s="270">
        <v>0.7</v>
      </c>
      <c r="T137" s="271">
        <f>O137*S137</f>
        <v>201153.53171248996</v>
      </c>
      <c r="U137" s="266">
        <f t="shared" ref="U137" si="202">AB137*AC137</f>
        <v>287362.18816069997</v>
      </c>
      <c r="V137" s="266">
        <v>1</v>
      </c>
      <c r="W137" s="266"/>
      <c r="X137" s="272">
        <v>70</v>
      </c>
      <c r="Y137" s="273">
        <f t="shared" si="197"/>
        <v>20115.353171249</v>
      </c>
      <c r="Z137" s="273">
        <f t="shared" si="153"/>
        <v>70</v>
      </c>
      <c r="AA137" s="273">
        <f t="shared" ref="AA137:AA142" si="203">Y137/R137</f>
        <v>70</v>
      </c>
      <c r="AB137" s="274">
        <f>692753*85%</f>
        <v>588840.04999999993</v>
      </c>
      <c r="AC137" s="275">
        <v>0.488014</v>
      </c>
      <c r="AE137" s="260"/>
      <c r="AF137" s="261">
        <v>0.39600000000000002</v>
      </c>
      <c r="AG137" s="260"/>
      <c r="AJ137" s="346">
        <f t="shared" si="199"/>
        <v>95787.396053566656</v>
      </c>
      <c r="AK137" s="346">
        <f t="shared" si="199"/>
        <v>95787.396053566656</v>
      </c>
      <c r="AL137" s="346">
        <f t="shared" si="199"/>
        <v>95787.396053566656</v>
      </c>
      <c r="AN137" s="346">
        <f t="shared" si="200"/>
        <v>95.787396053566653</v>
      </c>
      <c r="AO137" s="346">
        <f t="shared" si="198"/>
        <v>95.787396053566653</v>
      </c>
      <c r="AP137" s="346">
        <f t="shared" si="198"/>
        <v>95.787396053566653</v>
      </c>
    </row>
    <row r="138" spans="2:42" ht="18.649999999999999" customHeight="1" x14ac:dyDescent="0.35">
      <c r="B138" s="322" t="s">
        <v>126</v>
      </c>
      <c r="C138" s="293" t="s">
        <v>97</v>
      </c>
      <c r="D138" s="264" t="s">
        <v>86</v>
      </c>
      <c r="E138" s="264" t="s">
        <v>45</v>
      </c>
      <c r="F138" s="263" t="s">
        <v>87</v>
      </c>
      <c r="G138" s="263" t="s">
        <v>98</v>
      </c>
      <c r="H138" s="265" t="s">
        <v>90</v>
      </c>
      <c r="I138" s="265" t="s">
        <v>610</v>
      </c>
      <c r="J138" s="552" t="s">
        <v>96</v>
      </c>
      <c r="K138" s="263" t="s">
        <v>89</v>
      </c>
      <c r="L138" s="266">
        <f t="shared" si="194"/>
        <v>21</v>
      </c>
      <c r="M138" s="267">
        <v>45460</v>
      </c>
      <c r="N138" s="267">
        <v>45480</v>
      </c>
      <c r="O138" s="266">
        <f>Y138/X138*1000</f>
        <v>428640.91875000001</v>
      </c>
      <c r="P138" s="268" t="s">
        <v>17</v>
      </c>
      <c r="Q138" s="269">
        <v>1E-3</v>
      </c>
      <c r="R138" s="266">
        <f t="shared" si="201"/>
        <v>428.64091875000003</v>
      </c>
      <c r="S138" s="270">
        <v>0.8</v>
      </c>
      <c r="T138" s="271">
        <f>O138*S138</f>
        <v>342912.73500000004</v>
      </c>
      <c r="U138" s="266">
        <f>O138/V138</f>
        <v>306172.08482142858</v>
      </c>
      <c r="V138" s="266">
        <v>1.4</v>
      </c>
      <c r="W138" s="266"/>
      <c r="X138" s="272">
        <v>80</v>
      </c>
      <c r="Y138" s="273">
        <v>34291.273500000003</v>
      </c>
      <c r="Z138" s="273">
        <f t="shared" si="153"/>
        <v>80</v>
      </c>
      <c r="AA138" s="273">
        <f t="shared" si="203"/>
        <v>80</v>
      </c>
      <c r="AB138" s="274">
        <v>692753</v>
      </c>
      <c r="AC138" s="275">
        <f>U138/AB138</f>
        <v>0.44196428571428575</v>
      </c>
      <c r="AE138" s="260"/>
      <c r="AF138" s="261">
        <v>0.39600000000000002</v>
      </c>
      <c r="AG138" s="260"/>
      <c r="AJ138" s="346">
        <f t="shared" si="199"/>
        <v>142880.30625000002</v>
      </c>
      <c r="AK138" s="346">
        <f t="shared" si="199"/>
        <v>142880.30625000002</v>
      </c>
      <c r="AL138" s="346">
        <f t="shared" si="199"/>
        <v>142880.30625000002</v>
      </c>
      <c r="AN138" s="346">
        <f t="shared" si="200"/>
        <v>142.88030625000002</v>
      </c>
      <c r="AO138" s="346">
        <f t="shared" si="198"/>
        <v>142.88030625000002</v>
      </c>
      <c r="AP138" s="346">
        <f t="shared" si="198"/>
        <v>142.88030625000002</v>
      </c>
    </row>
    <row r="139" spans="2:42" ht="18.649999999999999" customHeight="1" x14ac:dyDescent="0.35">
      <c r="B139" s="322" t="s">
        <v>126</v>
      </c>
      <c r="C139" s="293" t="s">
        <v>97</v>
      </c>
      <c r="D139" s="263" t="s">
        <v>99</v>
      </c>
      <c r="E139" s="263" t="s">
        <v>46</v>
      </c>
      <c r="F139" s="263" t="s">
        <v>100</v>
      </c>
      <c r="G139" s="263" t="s">
        <v>101</v>
      </c>
      <c r="H139" s="265" t="s">
        <v>88</v>
      </c>
      <c r="I139" s="265" t="s">
        <v>102</v>
      </c>
      <c r="J139" s="553" t="s">
        <v>96</v>
      </c>
      <c r="K139" s="263" t="s">
        <v>89</v>
      </c>
      <c r="L139" s="266">
        <f t="shared" si="194"/>
        <v>21</v>
      </c>
      <c r="M139" s="267">
        <v>45460</v>
      </c>
      <c r="N139" s="267">
        <v>45480</v>
      </c>
      <c r="O139" s="266">
        <f>U139*V139</f>
        <v>127624.73181687084</v>
      </c>
      <c r="P139" s="268" t="s">
        <v>17</v>
      </c>
      <c r="Q139" s="269">
        <v>1.4999999999999999E-2</v>
      </c>
      <c r="R139" s="266">
        <f>O139*Q139</f>
        <v>1914.3709772530626</v>
      </c>
      <c r="S139" s="268" t="s">
        <v>17</v>
      </c>
      <c r="T139" s="271" t="s">
        <v>17</v>
      </c>
      <c r="U139" s="266">
        <f>AB139*AC139</f>
        <v>150146.74331396571</v>
      </c>
      <c r="V139" s="266">
        <v>0.85</v>
      </c>
      <c r="W139" s="266"/>
      <c r="X139" s="272">
        <v>105</v>
      </c>
      <c r="Y139" s="273">
        <f t="shared" si="197"/>
        <v>13400.596840771439</v>
      </c>
      <c r="Z139" s="273">
        <f t="shared" si="153"/>
        <v>105</v>
      </c>
      <c r="AA139" s="273">
        <f t="shared" si="203"/>
        <v>7</v>
      </c>
      <c r="AB139" s="274">
        <f>AB137*95%</f>
        <v>559398.04749999987</v>
      </c>
      <c r="AC139" s="275">
        <v>0.26840769999999997</v>
      </c>
      <c r="AE139" s="260"/>
      <c r="AF139" s="261">
        <v>0.22</v>
      </c>
      <c r="AG139" s="260"/>
      <c r="AJ139" s="346">
        <f t="shared" si="199"/>
        <v>42541.577272290284</v>
      </c>
      <c r="AK139" s="346">
        <f t="shared" si="199"/>
        <v>42541.577272290284</v>
      </c>
      <c r="AL139" s="346">
        <f t="shared" si="199"/>
        <v>42541.577272290284</v>
      </c>
      <c r="AN139" s="346">
        <f t="shared" si="200"/>
        <v>638.12365908435413</v>
      </c>
      <c r="AO139" s="346">
        <f t="shared" si="198"/>
        <v>638.12365908435413</v>
      </c>
      <c r="AP139" s="346">
        <f t="shared" si="198"/>
        <v>638.12365908435413</v>
      </c>
    </row>
    <row r="140" spans="2:42" ht="18.649999999999999" customHeight="1" x14ac:dyDescent="0.35">
      <c r="B140" s="322" t="str">
        <f>B139</f>
        <v>Kochi</v>
      </c>
      <c r="C140" s="293" t="s">
        <v>97</v>
      </c>
      <c r="D140" s="310" t="s">
        <v>103</v>
      </c>
      <c r="E140" s="263" t="s">
        <v>46</v>
      </c>
      <c r="F140" s="310" t="s">
        <v>100</v>
      </c>
      <c r="G140" s="263" t="s">
        <v>98</v>
      </c>
      <c r="H140" s="265" t="s">
        <v>88</v>
      </c>
      <c r="I140" s="265" t="s">
        <v>104</v>
      </c>
      <c r="J140" s="553" t="s">
        <v>96</v>
      </c>
      <c r="K140" s="263" t="s">
        <v>105</v>
      </c>
      <c r="L140" s="266">
        <f t="shared" si="194"/>
        <v>21</v>
      </c>
      <c r="M140" s="267">
        <v>45460</v>
      </c>
      <c r="N140" s="267">
        <v>45480</v>
      </c>
      <c r="O140" s="266">
        <f>U140*V140</f>
        <v>190585.227900144</v>
      </c>
      <c r="P140" s="268" t="s">
        <v>17</v>
      </c>
      <c r="Q140" s="269">
        <v>1.4999999999999999E-2</v>
      </c>
      <c r="R140" s="266">
        <f>O140*Q140</f>
        <v>2858.7784185021601</v>
      </c>
      <c r="S140" s="268" t="s">
        <v>17</v>
      </c>
      <c r="T140" s="271" t="s">
        <v>17</v>
      </c>
      <c r="U140" s="266">
        <f>AB140*AC140</f>
        <v>224217.91517664</v>
      </c>
      <c r="V140" s="266">
        <v>0.85</v>
      </c>
      <c r="W140" s="266"/>
      <c r="X140" s="272">
        <v>120</v>
      </c>
      <c r="Y140" s="273">
        <f t="shared" si="197"/>
        <v>22870.227348017281</v>
      </c>
      <c r="Z140" s="273">
        <f t="shared" si="153"/>
        <v>120</v>
      </c>
      <c r="AA140" s="273">
        <f t="shared" si="203"/>
        <v>8</v>
      </c>
      <c r="AB140" s="274">
        <v>522102</v>
      </c>
      <c r="AC140" s="275">
        <v>0.42945232</v>
      </c>
      <c r="AE140" s="260"/>
      <c r="AF140" s="261">
        <v>0.35200000000000004</v>
      </c>
      <c r="AG140" s="260"/>
      <c r="AH140" s="320"/>
      <c r="AJ140" s="346">
        <f t="shared" si="199"/>
        <v>63528.409300048006</v>
      </c>
      <c r="AK140" s="346">
        <f t="shared" si="199"/>
        <v>63528.409300048006</v>
      </c>
      <c r="AL140" s="346">
        <f t="shared" si="199"/>
        <v>63528.409300048006</v>
      </c>
      <c r="AN140" s="346">
        <f t="shared" si="200"/>
        <v>952.92613950072007</v>
      </c>
      <c r="AO140" s="346">
        <f t="shared" si="198"/>
        <v>952.92613950072007</v>
      </c>
      <c r="AP140" s="346">
        <f t="shared" si="198"/>
        <v>952.92613950072007</v>
      </c>
    </row>
    <row r="141" spans="2:42" ht="18.649999999999999" customHeight="1" x14ac:dyDescent="0.35">
      <c r="B141" s="322" t="str">
        <f>B140</f>
        <v>Kochi</v>
      </c>
      <c r="C141" s="293" t="s">
        <v>97</v>
      </c>
      <c r="D141" s="310" t="s">
        <v>106</v>
      </c>
      <c r="E141" s="311" t="s">
        <v>46</v>
      </c>
      <c r="F141" s="311" t="s">
        <v>91</v>
      </c>
      <c r="G141" s="263" t="s">
        <v>98</v>
      </c>
      <c r="H141" s="310" t="s">
        <v>88</v>
      </c>
      <c r="I141" s="263" t="s">
        <v>107</v>
      </c>
      <c r="J141" s="553" t="s">
        <v>96</v>
      </c>
      <c r="K141" s="263" t="s">
        <v>89</v>
      </c>
      <c r="L141" s="266">
        <f t="shared" si="194"/>
        <v>21</v>
      </c>
      <c r="M141" s="267">
        <v>45460</v>
      </c>
      <c r="N141" s="267">
        <v>45480</v>
      </c>
      <c r="O141" s="266">
        <f>U141*V141</f>
        <v>152499.58441056899</v>
      </c>
      <c r="P141" s="268" t="s">
        <v>17</v>
      </c>
      <c r="Q141" s="312">
        <v>0.01</v>
      </c>
      <c r="R141" s="266">
        <f t="shared" ref="R141" si="204">O141*Q141</f>
        <v>1524.9958441056899</v>
      </c>
      <c r="S141" s="268" t="s">
        <v>17</v>
      </c>
      <c r="T141" s="271" t="s">
        <v>17</v>
      </c>
      <c r="U141" s="266">
        <f t="shared" ref="U141" si="205">AB141*AC141</f>
        <v>179411.27577713999</v>
      </c>
      <c r="V141" s="266">
        <v>0.85</v>
      </c>
      <c r="W141" s="266"/>
      <c r="X141" s="272">
        <v>200</v>
      </c>
      <c r="Y141" s="273">
        <f>O141*X141/1000</f>
        <v>30499.916882113801</v>
      </c>
      <c r="Z141" s="273">
        <f t="shared" si="153"/>
        <v>200</v>
      </c>
      <c r="AA141" s="273">
        <f t="shared" si="203"/>
        <v>20.000000000000004</v>
      </c>
      <c r="AB141" s="274">
        <v>607662</v>
      </c>
      <c r="AC141" s="275">
        <v>0.29524846999999999</v>
      </c>
      <c r="AE141" s="260"/>
      <c r="AF141" s="261">
        <v>0.22</v>
      </c>
      <c r="AG141" s="260"/>
      <c r="AH141" s="562"/>
      <c r="AJ141" s="346">
        <f t="shared" si="199"/>
        <v>50833.194803523002</v>
      </c>
      <c r="AK141" s="346">
        <f t="shared" si="199"/>
        <v>50833.194803523002</v>
      </c>
      <c r="AL141" s="346">
        <f t="shared" si="199"/>
        <v>50833.194803523002</v>
      </c>
      <c r="AN141" s="346">
        <f t="shared" si="200"/>
        <v>508.33194803522991</v>
      </c>
      <c r="AO141" s="346">
        <f t="shared" si="198"/>
        <v>508.33194803522991</v>
      </c>
      <c r="AP141" s="346">
        <f t="shared" si="198"/>
        <v>508.33194803522991</v>
      </c>
    </row>
    <row r="142" spans="2:42" ht="18.649999999999999" customHeight="1" x14ac:dyDescent="0.35">
      <c r="B142" s="277" t="str">
        <f>B139</f>
        <v>Kochi</v>
      </c>
      <c r="C142" s="278"/>
      <c r="D142" s="279" t="s">
        <v>18</v>
      </c>
      <c r="E142" s="280"/>
      <c r="F142" s="279"/>
      <c r="G142" s="280"/>
      <c r="H142" s="280"/>
      <c r="I142" s="281"/>
      <c r="J142" s="546"/>
      <c r="K142" s="283"/>
      <c r="L142" s="284"/>
      <c r="M142" s="284"/>
      <c r="N142" s="284"/>
      <c r="O142" s="284">
        <f>SUM(O135:O141)</f>
        <v>3805292.599508815</v>
      </c>
      <c r="P142" s="284"/>
      <c r="Q142" s="285">
        <f>R142/O142</f>
        <v>1.8432612376974625E-3</v>
      </c>
      <c r="R142" s="284">
        <f>SUM(R135:R141)</f>
        <v>7014.1483467716125</v>
      </c>
      <c r="S142" s="286"/>
      <c r="T142" s="284">
        <f>SUM(T135:T141)</f>
        <v>2685340.8834755416</v>
      </c>
      <c r="U142" s="284">
        <f>U138+(SUM(U135:U135,U139:U141,U136:U137)*13%)</f>
        <v>484689.63707583246</v>
      </c>
      <c r="V142" s="284">
        <f>O142/U142</f>
        <v>7.8509881549488449</v>
      </c>
      <c r="W142" s="284"/>
      <c r="X142" s="287"/>
      <c r="Y142" s="317">
        <f>SUM(Y135:Y141)</f>
        <v>423144.35946989787</v>
      </c>
      <c r="Z142" s="288">
        <f t="shared" si="153"/>
        <v>111.19890216182512</v>
      </c>
      <c r="AA142" s="288">
        <f t="shared" si="203"/>
        <v>60.327261208362899</v>
      </c>
      <c r="AB142" s="284">
        <f>AB138+(SUM(AB135:AB137,AB139:AB141)*2%)</f>
        <v>750402.26194999996</v>
      </c>
      <c r="AC142" s="289">
        <f>U142/AB142</f>
        <v>0.64590641800081328</v>
      </c>
      <c r="AD142" s="261"/>
      <c r="AE142" s="290"/>
      <c r="AF142" s="261">
        <v>0.67540584838427764</v>
      </c>
      <c r="AG142" s="290"/>
      <c r="AH142" s="460"/>
      <c r="AI142" s="459"/>
    </row>
    <row r="143" spans="2:42" ht="18.649999999999999" customHeight="1" x14ac:dyDescent="0.35">
      <c r="B143" s="322" t="s">
        <v>127</v>
      </c>
      <c r="C143" s="293" t="s">
        <v>93</v>
      </c>
      <c r="D143" s="294" t="s">
        <v>94</v>
      </c>
      <c r="E143" s="294" t="s">
        <v>45</v>
      </c>
      <c r="F143" s="295" t="s">
        <v>87</v>
      </c>
      <c r="G143" s="295" t="s">
        <v>50</v>
      </c>
      <c r="H143" s="296" t="s">
        <v>95</v>
      </c>
      <c r="I143" s="296" t="s">
        <v>608</v>
      </c>
      <c r="J143" s="551" t="s">
        <v>96</v>
      </c>
      <c r="K143" s="295" t="s">
        <v>89</v>
      </c>
      <c r="L143" s="298">
        <f t="shared" ref="L143:L149" si="206">N143-(M143-1)</f>
        <v>21</v>
      </c>
      <c r="M143" s="299">
        <v>45460</v>
      </c>
      <c r="N143" s="299">
        <v>45480</v>
      </c>
      <c r="O143" s="298">
        <f t="shared" ref="O143:O145" si="207">U143*V143</f>
        <v>1129652.6146507009</v>
      </c>
      <c r="P143" s="300" t="s">
        <v>17</v>
      </c>
      <c r="Q143" s="301"/>
      <c r="R143" s="298"/>
      <c r="S143" s="302">
        <v>0.85</v>
      </c>
      <c r="T143" s="303">
        <f t="shared" ref="T143:T144" si="208">O143*S143</f>
        <v>960204.72245309572</v>
      </c>
      <c r="U143" s="298">
        <f>AB143*AC143</f>
        <v>276875.64084576</v>
      </c>
      <c r="V143" s="298">
        <f>3*136%</f>
        <v>4.08</v>
      </c>
      <c r="W143" s="298"/>
      <c r="X143" s="304">
        <v>125</v>
      </c>
      <c r="Y143" s="305">
        <f t="shared" ref="Y143:Y148" si="209">(O143/1000)*X143</f>
        <v>141206.57683133762</v>
      </c>
      <c r="Z143" s="305">
        <f t="shared" si="153"/>
        <v>125</v>
      </c>
      <c r="AA143" s="305"/>
      <c r="AB143" s="306">
        <v>322359</v>
      </c>
      <c r="AC143" s="307">
        <v>0.85890464</v>
      </c>
      <c r="AD143" s="261"/>
      <c r="AE143" s="260"/>
      <c r="AF143" s="261">
        <v>0.70400000000000007</v>
      </c>
      <c r="AG143" s="260"/>
      <c r="AJ143" s="346">
        <f t="shared" ref="AJ143:AL159" si="210">$O143/$L143*7</f>
        <v>376550.87155023363</v>
      </c>
      <c r="AK143" s="346">
        <f t="shared" si="210"/>
        <v>376550.87155023363</v>
      </c>
      <c r="AL143" s="346">
        <f t="shared" si="210"/>
        <v>376550.87155023363</v>
      </c>
      <c r="AN143" s="346">
        <f>$R143/$L143*7</f>
        <v>0</v>
      </c>
      <c r="AO143" s="346">
        <f t="shared" ref="AO143:AP149" si="211">$R143/$L143*7</f>
        <v>0</v>
      </c>
      <c r="AP143" s="346">
        <f t="shared" si="211"/>
        <v>0</v>
      </c>
    </row>
    <row r="144" spans="2:42" ht="18.649999999999999" customHeight="1" x14ac:dyDescent="0.35">
      <c r="B144" s="322" t="s">
        <v>127</v>
      </c>
      <c r="C144" s="293" t="s">
        <v>93</v>
      </c>
      <c r="D144" s="295" t="s">
        <v>86</v>
      </c>
      <c r="E144" s="295" t="s">
        <v>45</v>
      </c>
      <c r="F144" s="295" t="s">
        <v>87</v>
      </c>
      <c r="G144" s="296" t="s">
        <v>50</v>
      </c>
      <c r="H144" s="296" t="s">
        <v>95</v>
      </c>
      <c r="I144" s="296" t="s">
        <v>610</v>
      </c>
      <c r="J144" s="551" t="s">
        <v>96</v>
      </c>
      <c r="K144" s="295" t="s">
        <v>89</v>
      </c>
      <c r="L144" s="298">
        <f t="shared" si="206"/>
        <v>21</v>
      </c>
      <c r="M144" s="299">
        <v>45460</v>
      </c>
      <c r="N144" s="299">
        <v>45480</v>
      </c>
      <c r="O144" s="298">
        <f>Y144/X144*1000</f>
        <v>1916125.6363636367</v>
      </c>
      <c r="P144" s="300" t="s">
        <v>17</v>
      </c>
      <c r="Q144" s="301"/>
      <c r="R144" s="298"/>
      <c r="S144" s="302">
        <v>0.8</v>
      </c>
      <c r="T144" s="303">
        <f t="shared" si="208"/>
        <v>1532900.5090909095</v>
      </c>
      <c r="U144" s="298">
        <f>O144/V144</f>
        <v>348386.47933884303</v>
      </c>
      <c r="V144" s="298">
        <v>5.5</v>
      </c>
      <c r="W144" s="298"/>
      <c r="X144" s="304">
        <v>110</v>
      </c>
      <c r="Y144" s="305">
        <v>210773.82000000004</v>
      </c>
      <c r="Z144" s="305">
        <f t="shared" si="153"/>
        <v>110</v>
      </c>
      <c r="AA144" s="305"/>
      <c r="AB144" s="306">
        <v>413282</v>
      </c>
      <c r="AC144" s="307">
        <f>U144/AB144</f>
        <v>0.84297520661157033</v>
      </c>
      <c r="AF144" s="261">
        <v>0.748</v>
      </c>
      <c r="AJ144" s="346">
        <f t="shared" si="210"/>
        <v>638708.54545454553</v>
      </c>
      <c r="AK144" s="346">
        <f t="shared" si="210"/>
        <v>638708.54545454553</v>
      </c>
      <c r="AL144" s="346">
        <f t="shared" si="210"/>
        <v>638708.54545454553</v>
      </c>
      <c r="AN144" s="346">
        <f t="shared" ref="AN144:AN149" si="212">$R144/$L144*7</f>
        <v>0</v>
      </c>
      <c r="AO144" s="346">
        <f t="shared" si="211"/>
        <v>0</v>
      </c>
      <c r="AP144" s="346">
        <f t="shared" si="211"/>
        <v>0</v>
      </c>
    </row>
    <row r="145" spans="2:42" ht="18.649999999999999" customHeight="1" x14ac:dyDescent="0.35">
      <c r="B145" s="322" t="s">
        <v>127</v>
      </c>
      <c r="C145" s="293" t="s">
        <v>97</v>
      </c>
      <c r="D145" s="264" t="s">
        <v>561</v>
      </c>
      <c r="E145" s="264" t="s">
        <v>45</v>
      </c>
      <c r="F145" s="263" t="s">
        <v>87</v>
      </c>
      <c r="G145" s="263" t="s">
        <v>98</v>
      </c>
      <c r="H145" s="265" t="s">
        <v>90</v>
      </c>
      <c r="I145" s="265" t="s">
        <v>609</v>
      </c>
      <c r="J145" s="552" t="s">
        <v>96</v>
      </c>
      <c r="K145" s="263" t="s">
        <v>89</v>
      </c>
      <c r="L145" s="266">
        <f t="shared" si="206"/>
        <v>21</v>
      </c>
      <c r="M145" s="267">
        <v>45460</v>
      </c>
      <c r="N145" s="267">
        <v>45480</v>
      </c>
      <c r="O145" s="266">
        <f t="shared" si="207"/>
        <v>284544.81</v>
      </c>
      <c r="P145" s="268" t="s">
        <v>17</v>
      </c>
      <c r="Q145" s="269">
        <v>1E-3</v>
      </c>
      <c r="R145" s="266">
        <f t="shared" ref="R145:R146" si="213">O145*Q145</f>
        <v>284.54480999999998</v>
      </c>
      <c r="S145" s="270">
        <v>0.7</v>
      </c>
      <c r="T145" s="271">
        <f>O145*S145</f>
        <v>199181.367</v>
      </c>
      <c r="U145" s="266">
        <f t="shared" ref="U145" si="214">AB145*AC145</f>
        <v>284544.81</v>
      </c>
      <c r="V145" s="266">
        <v>1</v>
      </c>
      <c r="W145" s="266"/>
      <c r="X145" s="272">
        <v>70</v>
      </c>
      <c r="Y145" s="273">
        <f t="shared" si="209"/>
        <v>19918.136699999999</v>
      </c>
      <c r="Z145" s="273">
        <f t="shared" si="153"/>
        <v>69.999999999999986</v>
      </c>
      <c r="AA145" s="273">
        <f t="shared" ref="AA145:AA150" si="215">Y145/R145</f>
        <v>70</v>
      </c>
      <c r="AB145" s="274">
        <f>743908*85%</f>
        <v>632321.79999999993</v>
      </c>
      <c r="AC145" s="275">
        <v>0.45</v>
      </c>
      <c r="AE145" s="260"/>
      <c r="AF145" s="261">
        <v>0.41359999999999997</v>
      </c>
      <c r="AG145" s="260"/>
      <c r="AJ145" s="346">
        <f t="shared" si="210"/>
        <v>94848.27</v>
      </c>
      <c r="AK145" s="346">
        <f t="shared" si="210"/>
        <v>94848.27</v>
      </c>
      <c r="AL145" s="346">
        <f t="shared" si="210"/>
        <v>94848.27</v>
      </c>
      <c r="AN145" s="346">
        <f t="shared" si="212"/>
        <v>94.848269999999985</v>
      </c>
      <c r="AO145" s="346">
        <f t="shared" si="211"/>
        <v>94.848269999999985</v>
      </c>
      <c r="AP145" s="346">
        <f t="shared" si="211"/>
        <v>94.848269999999985</v>
      </c>
    </row>
    <row r="146" spans="2:42" ht="18.649999999999999" customHeight="1" x14ac:dyDescent="0.35">
      <c r="B146" s="322" t="s">
        <v>127</v>
      </c>
      <c r="C146" s="293" t="s">
        <v>97</v>
      </c>
      <c r="D146" s="264" t="s">
        <v>86</v>
      </c>
      <c r="E146" s="264" t="s">
        <v>45</v>
      </c>
      <c r="F146" s="263" t="s">
        <v>87</v>
      </c>
      <c r="G146" s="263" t="s">
        <v>98</v>
      </c>
      <c r="H146" s="265" t="s">
        <v>90</v>
      </c>
      <c r="I146" s="265" t="s">
        <v>610</v>
      </c>
      <c r="J146" s="552" t="s">
        <v>96</v>
      </c>
      <c r="K146" s="263" t="s">
        <v>89</v>
      </c>
      <c r="L146" s="266">
        <f t="shared" si="206"/>
        <v>21</v>
      </c>
      <c r="M146" s="267">
        <v>45460</v>
      </c>
      <c r="N146" s="267">
        <v>45480</v>
      </c>
      <c r="O146" s="266">
        <f>Y146/X146*1000</f>
        <v>460293.07500000007</v>
      </c>
      <c r="P146" s="268" t="s">
        <v>17</v>
      </c>
      <c r="Q146" s="269">
        <v>1E-3</v>
      </c>
      <c r="R146" s="266">
        <f t="shared" si="213"/>
        <v>460.2930750000001</v>
      </c>
      <c r="S146" s="270">
        <v>0.8</v>
      </c>
      <c r="T146" s="271">
        <f>O146*S146</f>
        <v>368234.46000000008</v>
      </c>
      <c r="U146" s="266">
        <f>O146/V146</f>
        <v>328780.76785714296</v>
      </c>
      <c r="V146" s="266">
        <v>1.4</v>
      </c>
      <c r="W146" s="266"/>
      <c r="X146" s="272">
        <v>80</v>
      </c>
      <c r="Y146" s="273">
        <v>36823.446000000004</v>
      </c>
      <c r="Z146" s="273">
        <f t="shared" si="153"/>
        <v>80</v>
      </c>
      <c r="AA146" s="273">
        <f t="shared" si="215"/>
        <v>79.999999999999986</v>
      </c>
      <c r="AB146" s="274">
        <v>743908</v>
      </c>
      <c r="AC146" s="275">
        <f>U146/AB146</f>
        <v>0.44196428571428586</v>
      </c>
      <c r="AE146" s="260"/>
      <c r="AF146" s="261">
        <v>0.41359999999999997</v>
      </c>
      <c r="AG146" s="260"/>
      <c r="AJ146" s="346">
        <f t="shared" si="210"/>
        <v>153431.02500000002</v>
      </c>
      <c r="AK146" s="346">
        <f t="shared" si="210"/>
        <v>153431.02500000002</v>
      </c>
      <c r="AL146" s="346">
        <f t="shared" si="210"/>
        <v>153431.02500000002</v>
      </c>
      <c r="AN146" s="346">
        <f t="shared" si="212"/>
        <v>153.43102500000003</v>
      </c>
      <c r="AO146" s="346">
        <f t="shared" si="211"/>
        <v>153.43102500000003</v>
      </c>
      <c r="AP146" s="346">
        <f t="shared" si="211"/>
        <v>153.43102500000003</v>
      </c>
    </row>
    <row r="147" spans="2:42" ht="18.649999999999999" customHeight="1" x14ac:dyDescent="0.35">
      <c r="B147" s="322" t="s">
        <v>127</v>
      </c>
      <c r="C147" s="293" t="s">
        <v>97</v>
      </c>
      <c r="D147" s="263" t="s">
        <v>99</v>
      </c>
      <c r="E147" s="263" t="s">
        <v>46</v>
      </c>
      <c r="F147" s="263" t="s">
        <v>100</v>
      </c>
      <c r="G147" s="263" t="s">
        <v>101</v>
      </c>
      <c r="H147" s="265" t="s">
        <v>88</v>
      </c>
      <c r="I147" s="265" t="s">
        <v>102</v>
      </c>
      <c r="J147" s="553" t="s">
        <v>96</v>
      </c>
      <c r="K147" s="263" t="s">
        <v>89</v>
      </c>
      <c r="L147" s="266">
        <f t="shared" si="206"/>
        <v>21</v>
      </c>
      <c r="M147" s="267">
        <v>45460</v>
      </c>
      <c r="N147" s="267">
        <v>45480</v>
      </c>
      <c r="O147" s="266">
        <f>U147*V147</f>
        <v>137048.93229827192</v>
      </c>
      <c r="P147" s="268" t="s">
        <v>17</v>
      </c>
      <c r="Q147" s="269">
        <v>1.4999999999999999E-2</v>
      </c>
      <c r="R147" s="266">
        <f>O147*Q147</f>
        <v>2055.7339844740786</v>
      </c>
      <c r="S147" s="268" t="s">
        <v>17</v>
      </c>
      <c r="T147" s="271" t="s">
        <v>17</v>
      </c>
      <c r="U147" s="266">
        <f>AB147*AC147</f>
        <v>161234.03799796698</v>
      </c>
      <c r="V147" s="266">
        <v>0.85</v>
      </c>
      <c r="W147" s="266"/>
      <c r="X147" s="272">
        <v>105</v>
      </c>
      <c r="Y147" s="273">
        <f t="shared" si="209"/>
        <v>14390.137891318553</v>
      </c>
      <c r="Z147" s="273">
        <f t="shared" si="153"/>
        <v>105.00000000000001</v>
      </c>
      <c r="AA147" s="273">
        <f t="shared" si="215"/>
        <v>7.0000000000000009</v>
      </c>
      <c r="AB147" s="274">
        <f>AB145*95%</f>
        <v>600705.71</v>
      </c>
      <c r="AC147" s="275">
        <v>0.26840769999999997</v>
      </c>
      <c r="AE147" s="260"/>
      <c r="AF147" s="261">
        <v>0.22</v>
      </c>
      <c r="AG147" s="260"/>
      <c r="AJ147" s="346">
        <f t="shared" si="210"/>
        <v>45682.97743275731</v>
      </c>
      <c r="AK147" s="346">
        <f t="shared" si="210"/>
        <v>45682.97743275731</v>
      </c>
      <c r="AL147" s="346">
        <f t="shared" si="210"/>
        <v>45682.97743275731</v>
      </c>
      <c r="AN147" s="346">
        <f t="shared" si="212"/>
        <v>685.24466149135947</v>
      </c>
      <c r="AO147" s="346">
        <f t="shared" si="211"/>
        <v>685.24466149135947</v>
      </c>
      <c r="AP147" s="346">
        <f t="shared" si="211"/>
        <v>685.24466149135947</v>
      </c>
    </row>
    <row r="148" spans="2:42" ht="18.649999999999999" customHeight="1" x14ac:dyDescent="0.35">
      <c r="B148" s="322" t="str">
        <f>B147</f>
        <v>Lucknow</v>
      </c>
      <c r="C148" s="293" t="s">
        <v>97</v>
      </c>
      <c r="D148" s="310" t="s">
        <v>103</v>
      </c>
      <c r="E148" s="263" t="s">
        <v>46</v>
      </c>
      <c r="F148" s="310" t="s">
        <v>100</v>
      </c>
      <c r="G148" s="263" t="s">
        <v>98</v>
      </c>
      <c r="H148" s="265" t="s">
        <v>88</v>
      </c>
      <c r="I148" s="265" t="s">
        <v>104</v>
      </c>
      <c r="J148" s="553" t="s">
        <v>96</v>
      </c>
      <c r="K148" s="263" t="s">
        <v>105</v>
      </c>
      <c r="L148" s="266">
        <f t="shared" si="206"/>
        <v>21</v>
      </c>
      <c r="M148" s="267">
        <v>45460</v>
      </c>
      <c r="N148" s="267">
        <v>45480</v>
      </c>
      <c r="O148" s="266">
        <f>U148*V148</f>
        <v>162550.94</v>
      </c>
      <c r="P148" s="268" t="s">
        <v>17</v>
      </c>
      <c r="Q148" s="269">
        <v>1.4999999999999999E-2</v>
      </c>
      <c r="R148" s="266">
        <f>O148*Q148</f>
        <v>2438.2640999999999</v>
      </c>
      <c r="S148" s="268" t="s">
        <v>17</v>
      </c>
      <c r="T148" s="271" t="s">
        <v>17</v>
      </c>
      <c r="U148" s="266">
        <f>AB148*AC148</f>
        <v>191236.40000000002</v>
      </c>
      <c r="V148" s="266">
        <v>0.85</v>
      </c>
      <c r="W148" s="266"/>
      <c r="X148" s="272">
        <v>120</v>
      </c>
      <c r="Y148" s="273">
        <f t="shared" si="209"/>
        <v>19506.112799999999</v>
      </c>
      <c r="Z148" s="273">
        <f t="shared" si="153"/>
        <v>120</v>
      </c>
      <c r="AA148" s="273">
        <f t="shared" si="215"/>
        <v>8</v>
      </c>
      <c r="AB148" s="274">
        <v>478091</v>
      </c>
      <c r="AC148" s="275">
        <v>0.4</v>
      </c>
      <c r="AE148" s="260"/>
      <c r="AF148" s="261">
        <v>0.35200000000000004</v>
      </c>
      <c r="AG148" s="260"/>
      <c r="AH148" s="320"/>
      <c r="AJ148" s="346">
        <f t="shared" si="210"/>
        <v>54183.646666666667</v>
      </c>
      <c r="AK148" s="346">
        <f t="shared" si="210"/>
        <v>54183.646666666667</v>
      </c>
      <c r="AL148" s="346">
        <f t="shared" si="210"/>
        <v>54183.646666666667</v>
      </c>
      <c r="AN148" s="346">
        <f t="shared" si="212"/>
        <v>812.75469999999996</v>
      </c>
      <c r="AO148" s="346">
        <f t="shared" si="211"/>
        <v>812.75469999999996</v>
      </c>
      <c r="AP148" s="346">
        <f t="shared" si="211"/>
        <v>812.75469999999996</v>
      </c>
    </row>
    <row r="149" spans="2:42" ht="18.649999999999999" customHeight="1" x14ac:dyDescent="0.35">
      <c r="B149" s="322" t="str">
        <f>B148</f>
        <v>Lucknow</v>
      </c>
      <c r="C149" s="293" t="s">
        <v>97</v>
      </c>
      <c r="D149" s="310" t="s">
        <v>106</v>
      </c>
      <c r="E149" s="311" t="s">
        <v>46</v>
      </c>
      <c r="F149" s="311" t="s">
        <v>91</v>
      </c>
      <c r="G149" s="263" t="s">
        <v>98</v>
      </c>
      <c r="H149" s="310" t="s">
        <v>88</v>
      </c>
      <c r="I149" s="263" t="s">
        <v>107</v>
      </c>
      <c r="J149" s="553" t="s">
        <v>96</v>
      </c>
      <c r="K149" s="263" t="s">
        <v>89</v>
      </c>
      <c r="L149" s="266">
        <f t="shared" si="206"/>
        <v>21</v>
      </c>
      <c r="M149" s="267">
        <v>45460</v>
      </c>
      <c r="N149" s="267">
        <v>45480</v>
      </c>
      <c r="O149" s="266">
        <f>U149*V149</f>
        <v>127180.108993014</v>
      </c>
      <c r="P149" s="268" t="s">
        <v>17</v>
      </c>
      <c r="Q149" s="312">
        <v>0.01</v>
      </c>
      <c r="R149" s="266">
        <f t="shared" ref="R149" si="216">O149*Q149</f>
        <v>1271.8010899301401</v>
      </c>
      <c r="S149" s="268" t="s">
        <v>17</v>
      </c>
      <c r="T149" s="271" t="s">
        <v>17</v>
      </c>
      <c r="U149" s="266">
        <f t="shared" ref="U149" si="217">AB149*AC149</f>
        <v>149623.65763884</v>
      </c>
      <c r="V149" s="266">
        <v>0.85</v>
      </c>
      <c r="W149" s="266"/>
      <c r="X149" s="272">
        <v>200</v>
      </c>
      <c r="Y149" s="273">
        <f>O149*X149/1000</f>
        <v>25436.0217986028</v>
      </c>
      <c r="Z149" s="273">
        <f t="shared" si="153"/>
        <v>200</v>
      </c>
      <c r="AA149" s="273">
        <f t="shared" si="215"/>
        <v>20</v>
      </c>
      <c r="AB149" s="274">
        <v>506772</v>
      </c>
      <c r="AC149" s="275">
        <v>0.29524846999999999</v>
      </c>
      <c r="AE149" s="260"/>
      <c r="AF149" s="261">
        <v>0.22</v>
      </c>
      <c r="AG149" s="260"/>
      <c r="AH149" s="562"/>
      <c r="AJ149" s="346">
        <f t="shared" si="210"/>
        <v>42393.369664337995</v>
      </c>
      <c r="AK149" s="346">
        <f t="shared" si="210"/>
        <v>42393.369664337995</v>
      </c>
      <c r="AL149" s="346">
        <f t="shared" si="210"/>
        <v>42393.369664337995</v>
      </c>
      <c r="AN149" s="346">
        <f t="shared" si="212"/>
        <v>423.93369664338002</v>
      </c>
      <c r="AO149" s="346">
        <f t="shared" si="211"/>
        <v>423.93369664338002</v>
      </c>
      <c r="AP149" s="346">
        <f t="shared" si="211"/>
        <v>423.93369664338002</v>
      </c>
    </row>
    <row r="150" spans="2:42" ht="18.649999999999999" customHeight="1" x14ac:dyDescent="0.35">
      <c r="B150" s="277" t="str">
        <f>B147</f>
        <v>Lucknow</v>
      </c>
      <c r="C150" s="278"/>
      <c r="D150" s="279" t="s">
        <v>18</v>
      </c>
      <c r="E150" s="280"/>
      <c r="F150" s="279"/>
      <c r="G150" s="280"/>
      <c r="H150" s="280"/>
      <c r="I150" s="281"/>
      <c r="J150" s="546"/>
      <c r="K150" s="283"/>
      <c r="L150" s="284"/>
      <c r="M150" s="284"/>
      <c r="N150" s="284"/>
      <c r="O150" s="284">
        <f>SUM(O143:O149)</f>
        <v>4217396.1173056243</v>
      </c>
      <c r="P150" s="284"/>
      <c r="Q150" s="285">
        <f>R150/O150</f>
        <v>1.5437575409832933E-3</v>
      </c>
      <c r="R150" s="284">
        <f>SUM(R143:R149)</f>
        <v>6510.6370594042191</v>
      </c>
      <c r="S150" s="286"/>
      <c r="T150" s="284">
        <f>SUM(T143:T149)</f>
        <v>3060521.0585440053</v>
      </c>
      <c r="U150" s="284">
        <f>U144+(SUM(U143:U143,U147:U149,U145:U146)*13%)</f>
        <v>529384.87020300538</v>
      </c>
      <c r="V150" s="284">
        <f>O150/U150</f>
        <v>7.9665973749653292</v>
      </c>
      <c r="W150" s="284"/>
      <c r="X150" s="287"/>
      <c r="Y150" s="317">
        <f>SUM(Y143:Y149)</f>
        <v>468054.25202125893</v>
      </c>
      <c r="Z150" s="288">
        <f t="shared" si="153"/>
        <v>110.98180939197279</v>
      </c>
      <c r="AA150" s="288">
        <f t="shared" si="215"/>
        <v>71.890699443180154</v>
      </c>
      <c r="AB150" s="284">
        <f>AB146+(SUM(AB143:AB145,AB147:AB149)*2%)</f>
        <v>802978.63020000001</v>
      </c>
      <c r="AC150" s="289">
        <f>U150/AB150</f>
        <v>0.65927641196522269</v>
      </c>
      <c r="AD150" s="261"/>
      <c r="AE150" s="290"/>
      <c r="AF150" s="261">
        <v>0.6673497916969563</v>
      </c>
      <c r="AG150" s="290"/>
      <c r="AH150" s="460"/>
      <c r="AI150" s="459"/>
    </row>
    <row r="151" spans="2:42" ht="18.649999999999999" customHeight="1" x14ac:dyDescent="0.35">
      <c r="B151" s="322" t="s">
        <v>128</v>
      </c>
      <c r="C151" s="293" t="s">
        <v>93</v>
      </c>
      <c r="D151" s="294" t="s">
        <v>94</v>
      </c>
      <c r="E151" s="294" t="s">
        <v>45</v>
      </c>
      <c r="F151" s="295" t="s">
        <v>87</v>
      </c>
      <c r="G151" s="295" t="s">
        <v>50</v>
      </c>
      <c r="H151" s="296" t="s">
        <v>95</v>
      </c>
      <c r="I151" s="296" t="s">
        <v>608</v>
      </c>
      <c r="J151" s="551" t="s">
        <v>96</v>
      </c>
      <c r="K151" s="295" t="s">
        <v>89</v>
      </c>
      <c r="L151" s="298">
        <f t="shared" ref="L151:L157" si="218">N151-(M151-1)</f>
        <v>21</v>
      </c>
      <c r="M151" s="299">
        <v>45460</v>
      </c>
      <c r="N151" s="299">
        <v>45480</v>
      </c>
      <c r="O151" s="298">
        <f t="shared" ref="O151:O153" si="219">U151*V151</f>
        <v>1064948.648337024</v>
      </c>
      <c r="P151" s="300" t="s">
        <v>17</v>
      </c>
      <c r="Q151" s="301"/>
      <c r="R151" s="298"/>
      <c r="S151" s="302">
        <v>0.85</v>
      </c>
      <c r="T151" s="303">
        <f t="shared" ref="T151:T152" si="220">O151*S151</f>
        <v>905206.35108647041</v>
      </c>
      <c r="U151" s="298">
        <f>AB151*AC151</f>
        <v>261016.82557280001</v>
      </c>
      <c r="V151" s="298">
        <f>3*136%</f>
        <v>4.08</v>
      </c>
      <c r="W151" s="298"/>
      <c r="X151" s="304">
        <v>125</v>
      </c>
      <c r="Y151" s="305">
        <f t="shared" ref="Y151:Y156" si="221">(O151/1000)*X151</f>
        <v>133118.581042128</v>
      </c>
      <c r="Z151" s="305">
        <f t="shared" si="153"/>
        <v>125</v>
      </c>
      <c r="AA151" s="305"/>
      <c r="AB151" s="306">
        <v>303895</v>
      </c>
      <c r="AC151" s="307">
        <v>0.85890464</v>
      </c>
      <c r="AD151" s="261"/>
      <c r="AE151" s="260"/>
      <c r="AF151" s="261">
        <v>0.70400000000000007</v>
      </c>
      <c r="AG151" s="260"/>
      <c r="AJ151" s="346">
        <f t="shared" si="210"/>
        <v>354982.88277900801</v>
      </c>
      <c r="AK151" s="346">
        <f t="shared" si="210"/>
        <v>354982.88277900801</v>
      </c>
      <c r="AL151" s="346">
        <f t="shared" si="210"/>
        <v>354982.88277900801</v>
      </c>
      <c r="AN151" s="346">
        <f>$R151/$L151*7</f>
        <v>0</v>
      </c>
      <c r="AO151" s="346">
        <f t="shared" ref="AO151:AP157" si="222">$R151/$L151*7</f>
        <v>0</v>
      </c>
      <c r="AP151" s="346">
        <f t="shared" si="222"/>
        <v>0</v>
      </c>
    </row>
    <row r="152" spans="2:42" ht="18.649999999999999" customHeight="1" x14ac:dyDescent="0.35">
      <c r="B152" s="322" t="s">
        <v>128</v>
      </c>
      <c r="C152" s="293" t="s">
        <v>93</v>
      </c>
      <c r="D152" s="295" t="s">
        <v>86</v>
      </c>
      <c r="E152" s="295" t="s">
        <v>45</v>
      </c>
      <c r="F152" s="295" t="s">
        <v>87</v>
      </c>
      <c r="G152" s="296" t="s">
        <v>50</v>
      </c>
      <c r="H152" s="296" t="s">
        <v>95</v>
      </c>
      <c r="I152" s="296" t="s">
        <v>610</v>
      </c>
      <c r="J152" s="551" t="s">
        <v>96</v>
      </c>
      <c r="K152" s="295" t="s">
        <v>89</v>
      </c>
      <c r="L152" s="298">
        <f t="shared" si="218"/>
        <v>21</v>
      </c>
      <c r="M152" s="299">
        <v>45460</v>
      </c>
      <c r="N152" s="299">
        <v>45480</v>
      </c>
      <c r="O152" s="298">
        <f>Y152/X152*1000</f>
        <v>1939378.3723079998</v>
      </c>
      <c r="P152" s="300" t="s">
        <v>17</v>
      </c>
      <c r="Q152" s="301"/>
      <c r="R152" s="298"/>
      <c r="S152" s="302">
        <v>0.8</v>
      </c>
      <c r="T152" s="303">
        <f t="shared" si="220"/>
        <v>1551502.6978463999</v>
      </c>
      <c r="U152" s="298">
        <f>O152/V152</f>
        <v>349437.54455999995</v>
      </c>
      <c r="V152" s="298">
        <v>5.55</v>
      </c>
      <c r="W152" s="298"/>
      <c r="X152" s="304">
        <v>110</v>
      </c>
      <c r="Y152" s="305">
        <v>213331.62095387999</v>
      </c>
      <c r="Z152" s="305">
        <f t="shared" si="153"/>
        <v>110.00000000000001</v>
      </c>
      <c r="AA152" s="305"/>
      <c r="AB152" s="306">
        <v>389610</v>
      </c>
      <c r="AC152" s="307">
        <f>U152/AB152</f>
        <v>0.89689059459459441</v>
      </c>
      <c r="AF152" s="261">
        <v>0.748</v>
      </c>
      <c r="AJ152" s="346">
        <f t="shared" si="210"/>
        <v>646459.45743599988</v>
      </c>
      <c r="AK152" s="346">
        <f t="shared" si="210"/>
        <v>646459.45743599988</v>
      </c>
      <c r="AL152" s="346">
        <f t="shared" si="210"/>
        <v>646459.45743599988</v>
      </c>
      <c r="AN152" s="346">
        <f t="shared" ref="AN152:AN157" si="223">$R152/$L152*7</f>
        <v>0</v>
      </c>
      <c r="AO152" s="346">
        <f t="shared" si="222"/>
        <v>0</v>
      </c>
      <c r="AP152" s="346">
        <f t="shared" si="222"/>
        <v>0</v>
      </c>
    </row>
    <row r="153" spans="2:42" ht="18.649999999999999" customHeight="1" x14ac:dyDescent="0.35">
      <c r="B153" s="322" t="s">
        <v>128</v>
      </c>
      <c r="C153" s="293" t="s">
        <v>97</v>
      </c>
      <c r="D153" s="264" t="s">
        <v>561</v>
      </c>
      <c r="E153" s="264" t="s">
        <v>45</v>
      </c>
      <c r="F153" s="263" t="s">
        <v>87</v>
      </c>
      <c r="G153" s="263" t="s">
        <v>98</v>
      </c>
      <c r="H153" s="265" t="s">
        <v>90</v>
      </c>
      <c r="I153" s="265" t="s">
        <v>609</v>
      </c>
      <c r="J153" s="552" t="s">
        <v>96</v>
      </c>
      <c r="K153" s="263" t="s">
        <v>89</v>
      </c>
      <c r="L153" s="266">
        <f t="shared" si="218"/>
        <v>21</v>
      </c>
      <c r="M153" s="267">
        <v>45460</v>
      </c>
      <c r="N153" s="267">
        <v>45480</v>
      </c>
      <c r="O153" s="266">
        <f t="shared" si="219"/>
        <v>311258.25728399999</v>
      </c>
      <c r="P153" s="268" t="s">
        <v>17</v>
      </c>
      <c r="Q153" s="269">
        <v>1E-3</v>
      </c>
      <c r="R153" s="266">
        <f t="shared" ref="R153:R154" si="224">O153*Q153</f>
        <v>311.25825728400002</v>
      </c>
      <c r="S153" s="270">
        <v>0.7</v>
      </c>
      <c r="T153" s="271">
        <f>O153*S153</f>
        <v>217880.78009879999</v>
      </c>
      <c r="U153" s="266">
        <f t="shared" ref="U153" si="225">AB153*AC153</f>
        <v>311258.25728399999</v>
      </c>
      <c r="V153" s="266">
        <v>1</v>
      </c>
      <c r="W153" s="266"/>
      <c r="X153" s="272">
        <v>70</v>
      </c>
      <c r="Y153" s="273">
        <f t="shared" si="221"/>
        <v>21788.078009879999</v>
      </c>
      <c r="Z153" s="273">
        <f t="shared" si="153"/>
        <v>69.999999999999986</v>
      </c>
      <c r="AA153" s="273">
        <f t="shared" ref="AA153:AA158" si="226">Y153/R153</f>
        <v>69.999999999999986</v>
      </c>
      <c r="AB153" s="274">
        <f>750360*85%</f>
        <v>637806</v>
      </c>
      <c r="AC153" s="275">
        <v>0.488014</v>
      </c>
      <c r="AE153" s="260"/>
      <c r="AF153" s="261">
        <v>0.44</v>
      </c>
      <c r="AG153" s="260"/>
      <c r="AJ153" s="346">
        <f t="shared" si="210"/>
        <v>103752.75242799999</v>
      </c>
      <c r="AK153" s="346">
        <f t="shared" si="210"/>
        <v>103752.75242799999</v>
      </c>
      <c r="AL153" s="346">
        <f t="shared" si="210"/>
        <v>103752.75242799999</v>
      </c>
      <c r="AN153" s="346">
        <f t="shared" si="223"/>
        <v>103.75275242800001</v>
      </c>
      <c r="AO153" s="346">
        <f t="shared" si="222"/>
        <v>103.75275242800001</v>
      </c>
      <c r="AP153" s="346">
        <f t="shared" si="222"/>
        <v>103.75275242800001</v>
      </c>
    </row>
    <row r="154" spans="2:42" ht="18.649999999999999" customHeight="1" x14ac:dyDescent="0.35">
      <c r="B154" s="322" t="s">
        <v>128</v>
      </c>
      <c r="C154" s="293" t="s">
        <v>97</v>
      </c>
      <c r="D154" s="264" t="s">
        <v>86</v>
      </c>
      <c r="E154" s="264" t="s">
        <v>45</v>
      </c>
      <c r="F154" s="263" t="s">
        <v>87</v>
      </c>
      <c r="G154" s="263" t="s">
        <v>98</v>
      </c>
      <c r="H154" s="265" t="s">
        <v>90</v>
      </c>
      <c r="I154" s="265" t="s">
        <v>610</v>
      </c>
      <c r="J154" s="552" t="s">
        <v>96</v>
      </c>
      <c r="K154" s="263" t="s">
        <v>89</v>
      </c>
      <c r="L154" s="266">
        <f t="shared" si="218"/>
        <v>21</v>
      </c>
      <c r="M154" s="267">
        <v>45460</v>
      </c>
      <c r="N154" s="267">
        <v>45480</v>
      </c>
      <c r="O154" s="266">
        <f>Y154/X154*1000</f>
        <v>464285.25</v>
      </c>
      <c r="P154" s="268" t="s">
        <v>17</v>
      </c>
      <c r="Q154" s="269">
        <v>1E-3</v>
      </c>
      <c r="R154" s="266">
        <f t="shared" si="224"/>
        <v>464.28525000000002</v>
      </c>
      <c r="S154" s="270">
        <v>0.8</v>
      </c>
      <c r="T154" s="271">
        <f>O154*S154</f>
        <v>371428.2</v>
      </c>
      <c r="U154" s="266">
        <f>O154/V154</f>
        <v>331632.32142857148</v>
      </c>
      <c r="V154" s="266">
        <v>1.4</v>
      </c>
      <c r="W154" s="266"/>
      <c r="X154" s="272">
        <v>80</v>
      </c>
      <c r="Y154" s="273">
        <v>37142.82</v>
      </c>
      <c r="Z154" s="273">
        <f t="shared" si="153"/>
        <v>80</v>
      </c>
      <c r="AA154" s="273">
        <f t="shared" si="226"/>
        <v>80</v>
      </c>
      <c r="AB154" s="274">
        <v>750360</v>
      </c>
      <c r="AC154" s="275">
        <f>U154/AB154</f>
        <v>0.44196428571428575</v>
      </c>
      <c r="AE154" s="260"/>
      <c r="AF154" s="261">
        <v>0.44</v>
      </c>
      <c r="AG154" s="260"/>
      <c r="AJ154" s="346">
        <f t="shared" si="210"/>
        <v>154761.75</v>
      </c>
      <c r="AK154" s="346">
        <f t="shared" si="210"/>
        <v>154761.75</v>
      </c>
      <c r="AL154" s="346">
        <f t="shared" si="210"/>
        <v>154761.75</v>
      </c>
      <c r="AN154" s="346">
        <f t="shared" si="223"/>
        <v>154.76175000000001</v>
      </c>
      <c r="AO154" s="346">
        <f t="shared" si="222"/>
        <v>154.76175000000001</v>
      </c>
      <c r="AP154" s="346">
        <f t="shared" si="222"/>
        <v>154.76175000000001</v>
      </c>
    </row>
    <row r="155" spans="2:42" ht="18.649999999999999" customHeight="1" x14ac:dyDescent="0.35">
      <c r="B155" s="322" t="s">
        <v>128</v>
      </c>
      <c r="C155" s="293" t="s">
        <v>97</v>
      </c>
      <c r="D155" s="263" t="s">
        <v>99</v>
      </c>
      <c r="E155" s="263" t="s">
        <v>46</v>
      </c>
      <c r="F155" s="263" t="s">
        <v>100</v>
      </c>
      <c r="G155" s="263" t="s">
        <v>101</v>
      </c>
      <c r="H155" s="265" t="s">
        <v>88</v>
      </c>
      <c r="I155" s="265" t="s">
        <v>102</v>
      </c>
      <c r="J155" s="553" t="s">
        <v>96</v>
      </c>
      <c r="K155" s="263" t="s">
        <v>89</v>
      </c>
      <c r="L155" s="266">
        <f t="shared" si="218"/>
        <v>21</v>
      </c>
      <c r="M155" s="267">
        <v>45460</v>
      </c>
      <c r="N155" s="267">
        <v>45480</v>
      </c>
      <c r="O155" s="266">
        <f>U155*V155</f>
        <v>138237.57351625647</v>
      </c>
      <c r="P155" s="268" t="s">
        <v>17</v>
      </c>
      <c r="Q155" s="269">
        <v>1.4999999999999999E-2</v>
      </c>
      <c r="R155" s="266">
        <f>O155*Q155</f>
        <v>2073.5636027438468</v>
      </c>
      <c r="S155" s="268" t="s">
        <v>17</v>
      </c>
      <c r="T155" s="271" t="s">
        <v>17</v>
      </c>
      <c r="U155" s="266">
        <f>AB155*AC155</f>
        <v>162632.43943088996</v>
      </c>
      <c r="V155" s="266">
        <v>0.85</v>
      </c>
      <c r="W155" s="266"/>
      <c r="X155" s="272">
        <v>105</v>
      </c>
      <c r="Y155" s="273">
        <f t="shared" si="221"/>
        <v>14514.945219206929</v>
      </c>
      <c r="Z155" s="273">
        <f t="shared" si="153"/>
        <v>105</v>
      </c>
      <c r="AA155" s="273">
        <f t="shared" si="226"/>
        <v>7.0000000000000009</v>
      </c>
      <c r="AB155" s="274">
        <f>AB153*95%</f>
        <v>605915.69999999995</v>
      </c>
      <c r="AC155" s="275">
        <v>0.26840769999999997</v>
      </c>
      <c r="AE155" s="260"/>
      <c r="AF155" s="261">
        <v>0.22</v>
      </c>
      <c r="AG155" s="260"/>
      <c r="AJ155" s="346">
        <f t="shared" si="210"/>
        <v>46079.191172085484</v>
      </c>
      <c r="AK155" s="346">
        <f t="shared" si="210"/>
        <v>46079.191172085484</v>
      </c>
      <c r="AL155" s="346">
        <f t="shared" si="210"/>
        <v>46079.191172085484</v>
      </c>
      <c r="AN155" s="346">
        <f t="shared" si="223"/>
        <v>691.18786758128226</v>
      </c>
      <c r="AO155" s="346">
        <f t="shared" si="222"/>
        <v>691.18786758128226</v>
      </c>
      <c r="AP155" s="346">
        <f t="shared" si="222"/>
        <v>691.18786758128226</v>
      </c>
    </row>
    <row r="156" spans="2:42" ht="18.649999999999999" customHeight="1" x14ac:dyDescent="0.35">
      <c r="B156" s="322" t="str">
        <f>B155</f>
        <v>Patna</v>
      </c>
      <c r="C156" s="293" t="s">
        <v>97</v>
      </c>
      <c r="D156" s="310" t="s">
        <v>103</v>
      </c>
      <c r="E156" s="263" t="s">
        <v>46</v>
      </c>
      <c r="F156" s="310" t="s">
        <v>100</v>
      </c>
      <c r="G156" s="263" t="s">
        <v>98</v>
      </c>
      <c r="H156" s="265" t="s">
        <v>88</v>
      </c>
      <c r="I156" s="265" t="s">
        <v>104</v>
      </c>
      <c r="J156" s="553" t="s">
        <v>96</v>
      </c>
      <c r="K156" s="263" t="s">
        <v>105</v>
      </c>
      <c r="L156" s="266">
        <f t="shared" si="218"/>
        <v>21</v>
      </c>
      <c r="M156" s="267">
        <v>45460</v>
      </c>
      <c r="N156" s="267">
        <v>45480</v>
      </c>
      <c r="O156" s="266">
        <f>U156*V156</f>
        <v>252312.92214981597</v>
      </c>
      <c r="P156" s="268" t="s">
        <v>17</v>
      </c>
      <c r="Q156" s="269">
        <v>1.4999999999999999E-2</v>
      </c>
      <c r="R156" s="266">
        <f>O156*Q156</f>
        <v>3784.6938322472397</v>
      </c>
      <c r="S156" s="268" t="s">
        <v>17</v>
      </c>
      <c r="T156" s="271" t="s">
        <v>17</v>
      </c>
      <c r="U156" s="266">
        <f>AB156*AC156</f>
        <v>296838.73194095999</v>
      </c>
      <c r="V156" s="266">
        <v>0.85</v>
      </c>
      <c r="W156" s="266"/>
      <c r="X156" s="272">
        <v>120</v>
      </c>
      <c r="Y156" s="273">
        <f t="shared" si="221"/>
        <v>30277.550657977914</v>
      </c>
      <c r="Z156" s="273">
        <f t="shared" si="153"/>
        <v>119.99999999999999</v>
      </c>
      <c r="AA156" s="273">
        <f t="shared" si="226"/>
        <v>7.9999999999999991</v>
      </c>
      <c r="AB156" s="274">
        <v>691203</v>
      </c>
      <c r="AC156" s="275">
        <v>0.42945232</v>
      </c>
      <c r="AE156" s="260"/>
      <c r="AF156" s="261">
        <v>0.35200000000000004</v>
      </c>
      <c r="AG156" s="260"/>
      <c r="AH156" s="320"/>
      <c r="AJ156" s="346">
        <f t="shared" si="210"/>
        <v>84104.307383271997</v>
      </c>
      <c r="AK156" s="346">
        <f t="shared" si="210"/>
        <v>84104.307383271997</v>
      </c>
      <c r="AL156" s="346">
        <f t="shared" si="210"/>
        <v>84104.307383271997</v>
      </c>
      <c r="AN156" s="346">
        <f t="shared" si="223"/>
        <v>1261.56461074908</v>
      </c>
      <c r="AO156" s="346">
        <f t="shared" si="222"/>
        <v>1261.56461074908</v>
      </c>
      <c r="AP156" s="346">
        <f t="shared" si="222"/>
        <v>1261.56461074908</v>
      </c>
    </row>
    <row r="157" spans="2:42" ht="18.649999999999999" customHeight="1" x14ac:dyDescent="0.35">
      <c r="B157" s="322" t="str">
        <f>B156</f>
        <v>Patna</v>
      </c>
      <c r="C157" s="293" t="s">
        <v>97</v>
      </c>
      <c r="D157" s="310" t="s">
        <v>106</v>
      </c>
      <c r="E157" s="311" t="s">
        <v>46</v>
      </c>
      <c r="F157" s="311" t="s">
        <v>91</v>
      </c>
      <c r="G157" s="263" t="s">
        <v>98</v>
      </c>
      <c r="H157" s="310" t="s">
        <v>88</v>
      </c>
      <c r="I157" s="263" t="s">
        <v>107</v>
      </c>
      <c r="J157" s="553" t="s">
        <v>96</v>
      </c>
      <c r="K157" s="263" t="s">
        <v>89</v>
      </c>
      <c r="L157" s="266">
        <f t="shared" si="218"/>
        <v>21</v>
      </c>
      <c r="M157" s="267">
        <v>45460</v>
      </c>
      <c r="N157" s="267">
        <v>45480</v>
      </c>
      <c r="O157" s="266">
        <f>U157*V157</f>
        <v>47374.447552013997</v>
      </c>
      <c r="P157" s="268" t="s">
        <v>17</v>
      </c>
      <c r="Q157" s="312">
        <v>0.01</v>
      </c>
      <c r="R157" s="266">
        <f t="shared" ref="R157" si="227">O157*Q157</f>
        <v>473.74447552013999</v>
      </c>
      <c r="S157" s="268" t="s">
        <v>17</v>
      </c>
      <c r="T157" s="271" t="s">
        <v>17</v>
      </c>
      <c r="U157" s="266">
        <f t="shared" ref="U157" si="228">AB157*AC157</f>
        <v>55734.644178839997</v>
      </c>
      <c r="V157" s="266">
        <v>0.85</v>
      </c>
      <c r="W157" s="266"/>
      <c r="X157" s="272">
        <v>200</v>
      </c>
      <c r="Y157" s="273">
        <f>O157*X157/1000</f>
        <v>9474.8895104027979</v>
      </c>
      <c r="Z157" s="273">
        <f t="shared" si="153"/>
        <v>199.99999999999994</v>
      </c>
      <c r="AA157" s="273">
        <f t="shared" si="226"/>
        <v>19.999999999999996</v>
      </c>
      <c r="AB157" s="274">
        <v>188772</v>
      </c>
      <c r="AC157" s="275">
        <v>0.29524846999999999</v>
      </c>
      <c r="AE157" s="260"/>
      <c r="AF157" s="261">
        <v>0.22</v>
      </c>
      <c r="AG157" s="260"/>
      <c r="AH157" s="562"/>
      <c r="AJ157" s="346">
        <f t="shared" si="210"/>
        <v>15791.482517338</v>
      </c>
      <c r="AK157" s="346">
        <f t="shared" si="210"/>
        <v>15791.482517338</v>
      </c>
      <c r="AL157" s="346">
        <f t="shared" si="210"/>
        <v>15791.482517338</v>
      </c>
      <c r="AN157" s="346">
        <f t="shared" si="223"/>
        <v>157.91482517338</v>
      </c>
      <c r="AO157" s="346">
        <f t="shared" si="222"/>
        <v>157.91482517338</v>
      </c>
      <c r="AP157" s="346">
        <f t="shared" si="222"/>
        <v>157.91482517338</v>
      </c>
    </row>
    <row r="158" spans="2:42" ht="18.649999999999999" customHeight="1" x14ac:dyDescent="0.35">
      <c r="B158" s="277" t="str">
        <f>B155</f>
        <v>Patna</v>
      </c>
      <c r="C158" s="278"/>
      <c r="D158" s="279" t="s">
        <v>18</v>
      </c>
      <c r="E158" s="280"/>
      <c r="F158" s="279"/>
      <c r="G158" s="280"/>
      <c r="H158" s="280"/>
      <c r="I158" s="281"/>
      <c r="J158" s="546"/>
      <c r="K158" s="283"/>
      <c r="L158" s="284"/>
      <c r="M158" s="284"/>
      <c r="N158" s="284"/>
      <c r="O158" s="284">
        <f>SUM(O151:O157)</f>
        <v>4217795.4711471107</v>
      </c>
      <c r="P158" s="284"/>
      <c r="Q158" s="285">
        <f>R158/O158</f>
        <v>1.6851327823779452E-3</v>
      </c>
      <c r="R158" s="284">
        <f>SUM(R151:R157)</f>
        <v>7107.545417795227</v>
      </c>
      <c r="S158" s="286"/>
      <c r="T158" s="284">
        <f>SUM(T151:T157)</f>
        <v>3046018.0290316707</v>
      </c>
      <c r="U158" s="284">
        <f>U154+(SUM(U151:U151,U155:U157,U152:U153)*13%)</f>
        <v>518431.7190143452</v>
      </c>
      <c r="V158" s="284">
        <f>O158/U158</f>
        <v>8.135681742556347</v>
      </c>
      <c r="W158" s="284"/>
      <c r="X158" s="287"/>
      <c r="Y158" s="317">
        <f>SUM(Y151:Y157)</f>
        <v>459648.48539347562</v>
      </c>
      <c r="Z158" s="288">
        <f t="shared" si="153"/>
        <v>108.97837236011479</v>
      </c>
      <c r="AA158" s="288">
        <f t="shared" si="226"/>
        <v>64.670495702025264</v>
      </c>
      <c r="AB158" s="284">
        <f>AB154+(SUM(AB151:AB153,AB155:AB157)*2%)</f>
        <v>806704.03399999999</v>
      </c>
      <c r="AC158" s="289">
        <f>U158/AB158</f>
        <v>0.64265417943149294</v>
      </c>
      <c r="AD158" s="261"/>
      <c r="AE158" s="290"/>
      <c r="AF158" s="261">
        <v>0.62867921353871203</v>
      </c>
      <c r="AG158" s="290"/>
      <c r="AH158" s="460"/>
      <c r="AI158" s="459"/>
    </row>
    <row r="159" spans="2:42" ht="18.649999999999999" customHeight="1" x14ac:dyDescent="0.35">
      <c r="B159" s="322" t="s">
        <v>129</v>
      </c>
      <c r="C159" s="293" t="s">
        <v>93</v>
      </c>
      <c r="D159" s="294" t="s">
        <v>94</v>
      </c>
      <c r="E159" s="294" t="s">
        <v>45</v>
      </c>
      <c r="F159" s="295" t="s">
        <v>87</v>
      </c>
      <c r="G159" s="295" t="s">
        <v>50</v>
      </c>
      <c r="H159" s="296" t="s">
        <v>95</v>
      </c>
      <c r="I159" s="296" t="s">
        <v>608</v>
      </c>
      <c r="J159" s="551" t="s">
        <v>96</v>
      </c>
      <c r="K159" s="295" t="s">
        <v>89</v>
      </c>
      <c r="L159" s="298">
        <f t="shared" ref="L159:L165" si="229">N159-(M159-1)</f>
        <v>21</v>
      </c>
      <c r="M159" s="299">
        <v>45460</v>
      </c>
      <c r="N159" s="299">
        <v>45480</v>
      </c>
      <c r="O159" s="298">
        <f t="shared" ref="O159:O161" si="230">U159*V159</f>
        <v>488521.25346393604</v>
      </c>
      <c r="P159" s="300" t="s">
        <v>17</v>
      </c>
      <c r="Q159" s="301"/>
      <c r="R159" s="298"/>
      <c r="S159" s="302">
        <v>0.85</v>
      </c>
      <c r="T159" s="303">
        <f t="shared" ref="T159:T160" si="231">O159*S159</f>
        <v>415243.06544434564</v>
      </c>
      <c r="U159" s="298">
        <f>AB159*AC159</f>
        <v>119735.6013392</v>
      </c>
      <c r="V159" s="298">
        <f>3*136%</f>
        <v>4.08</v>
      </c>
      <c r="W159" s="298"/>
      <c r="X159" s="304">
        <v>125</v>
      </c>
      <c r="Y159" s="305">
        <f t="shared" ref="Y159:Y164" si="232">(O159/1000)*X159</f>
        <v>61065.156682992005</v>
      </c>
      <c r="Z159" s="305">
        <f t="shared" si="153"/>
        <v>125</v>
      </c>
      <c r="AA159" s="305"/>
      <c r="AB159" s="306">
        <v>139405</v>
      </c>
      <c r="AC159" s="307">
        <v>0.85890464</v>
      </c>
      <c r="AD159" s="261"/>
      <c r="AE159" s="260"/>
      <c r="AF159" s="261">
        <v>0.70400000000000007</v>
      </c>
      <c r="AG159" s="260"/>
      <c r="AJ159" s="346">
        <f t="shared" si="210"/>
        <v>162840.41782131203</v>
      </c>
      <c r="AK159" s="346">
        <f t="shared" si="210"/>
        <v>162840.41782131203</v>
      </c>
      <c r="AL159" s="346">
        <f t="shared" si="210"/>
        <v>162840.41782131203</v>
      </c>
      <c r="AN159" s="346">
        <f>$R159/$L159*7</f>
        <v>0</v>
      </c>
      <c r="AO159" s="346">
        <f t="shared" ref="AO159:AP165" si="233">$R159/$L159*7</f>
        <v>0</v>
      </c>
      <c r="AP159" s="346">
        <f t="shared" si="233"/>
        <v>0</v>
      </c>
    </row>
    <row r="160" spans="2:42" ht="18.649999999999999" customHeight="1" x14ac:dyDescent="0.35">
      <c r="B160" s="322" t="s">
        <v>129</v>
      </c>
      <c r="C160" s="293" t="s">
        <v>93</v>
      </c>
      <c r="D160" s="295" t="s">
        <v>86</v>
      </c>
      <c r="E160" s="295" t="s">
        <v>45</v>
      </c>
      <c r="F160" s="295" t="s">
        <v>87</v>
      </c>
      <c r="G160" s="296" t="s">
        <v>50</v>
      </c>
      <c r="H160" s="296" t="s">
        <v>95</v>
      </c>
      <c r="I160" s="296" t="s">
        <v>610</v>
      </c>
      <c r="J160" s="551" t="s">
        <v>96</v>
      </c>
      <c r="K160" s="295" t="s">
        <v>89</v>
      </c>
      <c r="L160" s="298">
        <f t="shared" si="229"/>
        <v>21</v>
      </c>
      <c r="M160" s="299">
        <v>45460</v>
      </c>
      <c r="N160" s="299">
        <v>45480</v>
      </c>
      <c r="O160" s="298">
        <f>Y160/X160*1000</f>
        <v>5072220.3583440008</v>
      </c>
      <c r="P160" s="300" t="s">
        <v>17</v>
      </c>
      <c r="Q160" s="301"/>
      <c r="R160" s="298"/>
      <c r="S160" s="302">
        <v>0.8</v>
      </c>
      <c r="T160" s="303">
        <f t="shared" si="231"/>
        <v>4057776.2866752008</v>
      </c>
      <c r="U160" s="298">
        <f>O160/V160</f>
        <v>913913.57808000012</v>
      </c>
      <c r="V160" s="298">
        <v>5.55</v>
      </c>
      <c r="W160" s="298"/>
      <c r="X160" s="304">
        <v>110</v>
      </c>
      <c r="Y160" s="305">
        <v>557944.23941784003</v>
      </c>
      <c r="Z160" s="305">
        <f t="shared" si="153"/>
        <v>109.99999999999999</v>
      </c>
      <c r="AA160" s="305"/>
      <c r="AB160" s="306">
        <v>1018980</v>
      </c>
      <c r="AC160" s="307">
        <f>U160/AB160</f>
        <v>0.89689059459459475</v>
      </c>
      <c r="AF160" s="261">
        <v>0.748</v>
      </c>
      <c r="AJ160" s="346">
        <f t="shared" ref="AJ160:AL165" si="234">$O160/$L160*7</f>
        <v>1690740.1194480003</v>
      </c>
      <c r="AK160" s="346">
        <f t="shared" si="234"/>
        <v>1690740.1194480003</v>
      </c>
      <c r="AL160" s="346">
        <f t="shared" si="234"/>
        <v>1690740.1194480003</v>
      </c>
      <c r="AN160" s="346">
        <f t="shared" ref="AN160:AN165" si="235">$R160/$L160*7</f>
        <v>0</v>
      </c>
      <c r="AO160" s="346">
        <f t="shared" si="233"/>
        <v>0</v>
      </c>
      <c r="AP160" s="346">
        <f t="shared" si="233"/>
        <v>0</v>
      </c>
    </row>
    <row r="161" spans="2:42" ht="18.649999999999999" customHeight="1" x14ac:dyDescent="0.35">
      <c r="B161" s="322" t="s">
        <v>129</v>
      </c>
      <c r="C161" s="293" t="s">
        <v>97</v>
      </c>
      <c r="D161" s="264" t="s">
        <v>561</v>
      </c>
      <c r="E161" s="264" t="s">
        <v>45</v>
      </c>
      <c r="F161" s="263" t="s">
        <v>87</v>
      </c>
      <c r="G161" s="263" t="s">
        <v>98</v>
      </c>
      <c r="H161" s="265" t="s">
        <v>90</v>
      </c>
      <c r="I161" s="265" t="s">
        <v>609</v>
      </c>
      <c r="J161" s="552" t="s">
        <v>96</v>
      </c>
      <c r="K161" s="263" t="s">
        <v>89</v>
      </c>
      <c r="L161" s="266">
        <f t="shared" si="229"/>
        <v>21</v>
      </c>
      <c r="M161" s="267">
        <v>45460</v>
      </c>
      <c r="N161" s="267">
        <v>45480</v>
      </c>
      <c r="O161" s="266">
        <f t="shared" si="230"/>
        <v>779519.70000000007</v>
      </c>
      <c r="P161" s="268" t="s">
        <v>17</v>
      </c>
      <c r="Q161" s="269">
        <v>1E-3</v>
      </c>
      <c r="R161" s="266">
        <f t="shared" ref="R161:R162" si="236">O161*Q161</f>
        <v>779.51970000000006</v>
      </c>
      <c r="S161" s="270">
        <v>0.7</v>
      </c>
      <c r="T161" s="271">
        <f>O161*S161</f>
        <v>545663.79</v>
      </c>
      <c r="U161" s="266">
        <f t="shared" ref="U161" si="237">AB161*AC161</f>
        <v>779519.70000000007</v>
      </c>
      <c r="V161" s="266">
        <v>1</v>
      </c>
      <c r="W161" s="266"/>
      <c r="X161" s="272">
        <v>70</v>
      </c>
      <c r="Y161" s="273">
        <f t="shared" si="232"/>
        <v>54566.379000000001</v>
      </c>
      <c r="Z161" s="273">
        <f t="shared" si="153"/>
        <v>69.999999999999986</v>
      </c>
      <c r="AA161" s="273">
        <f t="shared" ref="AA161:AA166" si="238">Y161/R161</f>
        <v>70</v>
      </c>
      <c r="AB161" s="274">
        <f>2037960*85%</f>
        <v>1732266</v>
      </c>
      <c r="AC161" s="275">
        <v>0.45</v>
      </c>
      <c r="AE161" s="260"/>
      <c r="AF161" s="261">
        <v>0.39600000000000002</v>
      </c>
      <c r="AG161" s="260"/>
      <c r="AJ161" s="346">
        <f t="shared" si="234"/>
        <v>259839.9</v>
      </c>
      <c r="AK161" s="346">
        <f t="shared" si="234"/>
        <v>259839.9</v>
      </c>
      <c r="AL161" s="346">
        <f t="shared" si="234"/>
        <v>259839.9</v>
      </c>
      <c r="AN161" s="346">
        <f t="shared" si="235"/>
        <v>259.83990000000006</v>
      </c>
      <c r="AO161" s="346">
        <f t="shared" si="233"/>
        <v>259.83990000000006</v>
      </c>
      <c r="AP161" s="346">
        <f t="shared" si="233"/>
        <v>259.83990000000006</v>
      </c>
    </row>
    <row r="162" spans="2:42" ht="18.649999999999999" customHeight="1" x14ac:dyDescent="0.35">
      <c r="B162" s="322" t="s">
        <v>129</v>
      </c>
      <c r="C162" s="293" t="s">
        <v>97</v>
      </c>
      <c r="D162" s="264" t="s">
        <v>86</v>
      </c>
      <c r="E162" s="264" t="s">
        <v>45</v>
      </c>
      <c r="F162" s="263" t="s">
        <v>87</v>
      </c>
      <c r="G162" s="263" t="s">
        <v>98</v>
      </c>
      <c r="H162" s="265" t="s">
        <v>90</v>
      </c>
      <c r="I162" s="265" t="s">
        <v>610</v>
      </c>
      <c r="J162" s="552" t="s">
        <v>96</v>
      </c>
      <c r="K162" s="263" t="s">
        <v>89</v>
      </c>
      <c r="L162" s="266">
        <f t="shared" si="229"/>
        <v>21</v>
      </c>
      <c r="M162" s="267">
        <v>45460</v>
      </c>
      <c r="N162" s="267">
        <v>45480</v>
      </c>
      <c r="O162" s="266">
        <f>Y162/X162*1000</f>
        <v>1120878</v>
      </c>
      <c r="P162" s="268" t="s">
        <v>17</v>
      </c>
      <c r="Q162" s="269">
        <v>1E-3</v>
      </c>
      <c r="R162" s="266">
        <f t="shared" si="236"/>
        <v>1120.8779999999999</v>
      </c>
      <c r="S162" s="270">
        <v>0.8</v>
      </c>
      <c r="T162" s="271">
        <f>O162*S162</f>
        <v>896702.4</v>
      </c>
      <c r="U162" s="266">
        <f>O162/V162</f>
        <v>800627.14285714296</v>
      </c>
      <c r="V162" s="266">
        <v>1.4</v>
      </c>
      <c r="W162" s="266"/>
      <c r="X162" s="272">
        <v>80</v>
      </c>
      <c r="Y162" s="273">
        <v>89670.239999999991</v>
      </c>
      <c r="Z162" s="273">
        <f t="shared" si="153"/>
        <v>79.999999999999986</v>
      </c>
      <c r="AA162" s="273">
        <f t="shared" si="238"/>
        <v>80</v>
      </c>
      <c r="AB162" s="274">
        <v>2037960</v>
      </c>
      <c r="AC162" s="275">
        <f>U162/AB162</f>
        <v>0.3928571428571429</v>
      </c>
      <c r="AE162" s="260"/>
      <c r="AF162" s="261">
        <v>0.39600000000000002</v>
      </c>
      <c r="AG162" s="260"/>
      <c r="AJ162" s="346">
        <f t="shared" si="234"/>
        <v>373626</v>
      </c>
      <c r="AK162" s="346">
        <f t="shared" si="234"/>
        <v>373626</v>
      </c>
      <c r="AL162" s="346">
        <f t="shared" si="234"/>
        <v>373626</v>
      </c>
      <c r="AN162" s="346">
        <f t="shared" si="235"/>
        <v>373.62599999999998</v>
      </c>
      <c r="AO162" s="346">
        <f t="shared" si="233"/>
        <v>373.62599999999998</v>
      </c>
      <c r="AP162" s="346">
        <f t="shared" si="233"/>
        <v>373.62599999999998</v>
      </c>
    </row>
    <row r="163" spans="2:42" ht="18.649999999999999" customHeight="1" x14ac:dyDescent="0.35">
      <c r="B163" s="322" t="s">
        <v>129</v>
      </c>
      <c r="C163" s="293" t="s">
        <v>97</v>
      </c>
      <c r="D163" s="263" t="s">
        <v>99</v>
      </c>
      <c r="E163" s="263" t="s">
        <v>46</v>
      </c>
      <c r="F163" s="263" t="s">
        <v>100</v>
      </c>
      <c r="G163" s="263" t="s">
        <v>101</v>
      </c>
      <c r="H163" s="265" t="s">
        <v>88</v>
      </c>
      <c r="I163" s="265" t="s">
        <v>102</v>
      </c>
      <c r="J163" s="553" t="s">
        <v>96</v>
      </c>
      <c r="K163" s="263" t="s">
        <v>89</v>
      </c>
      <c r="L163" s="266">
        <f t="shared" si="229"/>
        <v>21</v>
      </c>
      <c r="M163" s="267">
        <v>45460</v>
      </c>
      <c r="N163" s="267">
        <v>45480</v>
      </c>
      <c r="O163" s="266">
        <f>U163*V163</f>
        <v>375449.97777492146</v>
      </c>
      <c r="P163" s="268" t="s">
        <v>17</v>
      </c>
      <c r="Q163" s="269">
        <v>1.4999999999999999E-2</v>
      </c>
      <c r="R163" s="266">
        <f>O163*Q163</f>
        <v>5631.7496666238212</v>
      </c>
      <c r="S163" s="268" t="s">
        <v>17</v>
      </c>
      <c r="T163" s="271" t="s">
        <v>17</v>
      </c>
      <c r="U163" s="266">
        <f>AB163*AC163</f>
        <v>441705.85620578995</v>
      </c>
      <c r="V163" s="266">
        <v>0.85</v>
      </c>
      <c r="W163" s="266"/>
      <c r="X163" s="272">
        <v>105</v>
      </c>
      <c r="Y163" s="273">
        <f t="shared" si="232"/>
        <v>39422.247666366755</v>
      </c>
      <c r="Z163" s="273">
        <f t="shared" si="153"/>
        <v>105.00000000000001</v>
      </c>
      <c r="AA163" s="273">
        <f t="shared" si="238"/>
        <v>7.0000000000000009</v>
      </c>
      <c r="AB163" s="274">
        <f>AB161*95%</f>
        <v>1645652.7</v>
      </c>
      <c r="AC163" s="275">
        <v>0.26840769999999997</v>
      </c>
      <c r="AE163" s="260"/>
      <c r="AF163" s="261">
        <v>0.22</v>
      </c>
      <c r="AG163" s="260"/>
      <c r="AJ163" s="346">
        <f t="shared" si="234"/>
        <v>125149.99259164049</v>
      </c>
      <c r="AK163" s="346">
        <f t="shared" si="234"/>
        <v>125149.99259164049</v>
      </c>
      <c r="AL163" s="346">
        <f t="shared" si="234"/>
        <v>125149.99259164049</v>
      </c>
      <c r="AN163" s="346">
        <f t="shared" si="235"/>
        <v>1877.2498888746072</v>
      </c>
      <c r="AO163" s="346">
        <f t="shared" si="233"/>
        <v>1877.2498888746072</v>
      </c>
      <c r="AP163" s="346">
        <f t="shared" si="233"/>
        <v>1877.2498888746072</v>
      </c>
    </row>
    <row r="164" spans="2:42" ht="18.649999999999999" customHeight="1" x14ac:dyDescent="0.35">
      <c r="B164" s="322" t="str">
        <f>B163</f>
        <v>Surat</v>
      </c>
      <c r="C164" s="293" t="s">
        <v>97</v>
      </c>
      <c r="D164" s="310" t="s">
        <v>103</v>
      </c>
      <c r="E164" s="263" t="s">
        <v>46</v>
      </c>
      <c r="F164" s="310" t="s">
        <v>100</v>
      </c>
      <c r="G164" s="263" t="s">
        <v>98</v>
      </c>
      <c r="H164" s="265" t="s">
        <v>88</v>
      </c>
      <c r="I164" s="265" t="s">
        <v>104</v>
      </c>
      <c r="J164" s="553" t="s">
        <v>96</v>
      </c>
      <c r="K164" s="263" t="s">
        <v>105</v>
      </c>
      <c r="L164" s="266">
        <f t="shared" si="229"/>
        <v>21</v>
      </c>
      <c r="M164" s="267">
        <v>45460</v>
      </c>
      <c r="N164" s="267">
        <v>45480</v>
      </c>
      <c r="O164" s="266">
        <f>U164*V164</f>
        <v>329907.93482838396</v>
      </c>
      <c r="P164" s="268" t="s">
        <v>17</v>
      </c>
      <c r="Q164" s="269">
        <v>1.4999999999999999E-2</v>
      </c>
      <c r="R164" s="266">
        <f>O164*Q164</f>
        <v>4948.6190224257589</v>
      </c>
      <c r="S164" s="268" t="s">
        <v>17</v>
      </c>
      <c r="T164" s="271" t="s">
        <v>17</v>
      </c>
      <c r="U164" s="266">
        <f>AB164*AC164</f>
        <v>388126.98215103999</v>
      </c>
      <c r="V164" s="266">
        <v>0.85</v>
      </c>
      <c r="W164" s="266"/>
      <c r="X164" s="272">
        <v>120</v>
      </c>
      <c r="Y164" s="273">
        <f t="shared" si="232"/>
        <v>39588.952179406078</v>
      </c>
      <c r="Z164" s="273">
        <f t="shared" si="153"/>
        <v>120.00000000000001</v>
      </c>
      <c r="AA164" s="273">
        <f t="shared" si="238"/>
        <v>8.0000000000000018</v>
      </c>
      <c r="AB164" s="274">
        <v>903772</v>
      </c>
      <c r="AC164" s="275">
        <v>0.42945232</v>
      </c>
      <c r="AE164" s="260"/>
      <c r="AF164" s="261">
        <v>0.35200000000000004</v>
      </c>
      <c r="AG164" s="260"/>
      <c r="AH164" s="320"/>
      <c r="AJ164" s="346">
        <f t="shared" si="234"/>
        <v>109969.31160946132</v>
      </c>
      <c r="AK164" s="346">
        <f t="shared" si="234"/>
        <v>109969.31160946132</v>
      </c>
      <c r="AL164" s="346">
        <f t="shared" si="234"/>
        <v>109969.31160946132</v>
      </c>
      <c r="AN164" s="346">
        <f t="shared" si="235"/>
        <v>1649.5396741419197</v>
      </c>
      <c r="AO164" s="346">
        <f t="shared" si="233"/>
        <v>1649.5396741419197</v>
      </c>
      <c r="AP164" s="346">
        <f t="shared" si="233"/>
        <v>1649.5396741419197</v>
      </c>
    </row>
    <row r="165" spans="2:42" ht="18.649999999999999" customHeight="1" x14ac:dyDescent="0.35">
      <c r="B165" s="322" t="str">
        <f>B164</f>
        <v>Surat</v>
      </c>
      <c r="C165" s="293" t="s">
        <v>97</v>
      </c>
      <c r="D165" s="310" t="s">
        <v>106</v>
      </c>
      <c r="E165" s="311" t="s">
        <v>46</v>
      </c>
      <c r="F165" s="311" t="s">
        <v>91</v>
      </c>
      <c r="G165" s="263" t="s">
        <v>98</v>
      </c>
      <c r="H165" s="310" t="s">
        <v>88</v>
      </c>
      <c r="I165" s="263" t="s">
        <v>107</v>
      </c>
      <c r="J165" s="553" t="s">
        <v>96</v>
      </c>
      <c r="K165" s="263" t="s">
        <v>89</v>
      </c>
      <c r="L165" s="266">
        <f t="shared" si="229"/>
        <v>21</v>
      </c>
      <c r="M165" s="267">
        <v>45460</v>
      </c>
      <c r="N165" s="267">
        <v>45480</v>
      </c>
      <c r="O165" s="266">
        <f>U165*V165</f>
        <v>295448.08749056701</v>
      </c>
      <c r="P165" s="268" t="s">
        <v>17</v>
      </c>
      <c r="Q165" s="312">
        <v>0.01</v>
      </c>
      <c r="R165" s="266">
        <f t="shared" ref="R165" si="239">O165*Q165</f>
        <v>2954.4808749056701</v>
      </c>
      <c r="S165" s="268" t="s">
        <v>17</v>
      </c>
      <c r="T165" s="271" t="s">
        <v>17</v>
      </c>
      <c r="U165" s="266">
        <f t="shared" ref="U165" si="240">AB165*AC165</f>
        <v>347585.98528302001</v>
      </c>
      <c r="V165" s="266">
        <v>0.85</v>
      </c>
      <c r="W165" s="266"/>
      <c r="X165" s="272">
        <v>200</v>
      </c>
      <c r="Y165" s="273">
        <f>O165*X165/1000</f>
        <v>59089.617498113403</v>
      </c>
      <c r="Z165" s="273">
        <f t="shared" si="153"/>
        <v>200</v>
      </c>
      <c r="AA165" s="273">
        <f t="shared" si="238"/>
        <v>20</v>
      </c>
      <c r="AB165" s="274">
        <v>1177266</v>
      </c>
      <c r="AC165" s="275">
        <v>0.29524846999999999</v>
      </c>
      <c r="AE165" s="260"/>
      <c r="AF165" s="261">
        <v>0.22</v>
      </c>
      <c r="AG165" s="260"/>
      <c r="AH165" s="562"/>
      <c r="AJ165" s="346">
        <f t="shared" si="234"/>
        <v>98482.695830188997</v>
      </c>
      <c r="AK165" s="346">
        <f t="shared" si="234"/>
        <v>98482.695830188997</v>
      </c>
      <c r="AL165" s="346">
        <f t="shared" si="234"/>
        <v>98482.695830188997</v>
      </c>
      <c r="AN165" s="346">
        <f t="shared" si="235"/>
        <v>984.82695830189004</v>
      </c>
      <c r="AO165" s="346">
        <f t="shared" si="233"/>
        <v>984.82695830189004</v>
      </c>
      <c r="AP165" s="346">
        <f t="shared" si="233"/>
        <v>984.82695830189004</v>
      </c>
    </row>
    <row r="166" spans="2:42" ht="18.649999999999999" customHeight="1" x14ac:dyDescent="0.35">
      <c r="B166" s="277" t="str">
        <f>B163</f>
        <v>Surat</v>
      </c>
      <c r="C166" s="278"/>
      <c r="D166" s="279" t="s">
        <v>18</v>
      </c>
      <c r="E166" s="280"/>
      <c r="F166" s="279"/>
      <c r="G166" s="280"/>
      <c r="H166" s="280"/>
      <c r="I166" s="281"/>
      <c r="J166" s="546"/>
      <c r="K166" s="283"/>
      <c r="L166" s="284"/>
      <c r="M166" s="284"/>
      <c r="N166" s="284"/>
      <c r="O166" s="284">
        <f>SUM(O159:O165)</f>
        <v>8461945.3119018096</v>
      </c>
      <c r="P166" s="284"/>
      <c r="Q166" s="285">
        <f>R166/O166</f>
        <v>1.8240778798517432E-3</v>
      </c>
      <c r="R166" s="284">
        <f>SUM(R159:R165)</f>
        <v>15435.247263955251</v>
      </c>
      <c r="S166" s="286"/>
      <c r="T166" s="284">
        <f>SUM(T159:T165)</f>
        <v>5915385.5421195468</v>
      </c>
      <c r="U166" s="284">
        <f>U162+(SUM(U159:U161,U163:U165)*20%)</f>
        <v>1398744.6834689528</v>
      </c>
      <c r="V166" s="284">
        <f>O166/U166</f>
        <v>6.0496711171875814</v>
      </c>
      <c r="W166" s="284"/>
      <c r="X166" s="287"/>
      <c r="Y166" s="317">
        <f>SUM(Y159:Y165)</f>
        <v>901346.83244471822</v>
      </c>
      <c r="Z166" s="288">
        <f t="shared" si="153"/>
        <v>106.51768585374394</v>
      </c>
      <c r="AA166" s="288">
        <f t="shared" si="238"/>
        <v>58.395360762996283</v>
      </c>
      <c r="AB166" s="284">
        <f>AB162+(SUM(AB159:AB161,AB163:AB165)*2%)</f>
        <v>2170306.8339999998</v>
      </c>
      <c r="AC166" s="289">
        <f>U166/AB166</f>
        <v>0.64449167350728298</v>
      </c>
      <c r="AD166" s="261"/>
      <c r="AE166" s="290"/>
      <c r="AF166" s="261">
        <v>0.63957217681567957</v>
      </c>
      <c r="AG166" s="290"/>
      <c r="AH166" s="460"/>
      <c r="AI166" s="459"/>
    </row>
    <row r="167" spans="2:42" ht="18.649999999999999" customHeight="1" x14ac:dyDescent="0.35">
      <c r="B167" s="322" t="s">
        <v>130</v>
      </c>
      <c r="C167" s="293" t="s">
        <v>93</v>
      </c>
      <c r="D167" s="294" t="s">
        <v>94</v>
      </c>
      <c r="E167" s="294" t="s">
        <v>45</v>
      </c>
      <c r="F167" s="295" t="s">
        <v>87</v>
      </c>
      <c r="G167" s="295" t="s">
        <v>50</v>
      </c>
      <c r="H167" s="296" t="s">
        <v>95</v>
      </c>
      <c r="I167" s="296" t="s">
        <v>608</v>
      </c>
      <c r="J167" s="551" t="s">
        <v>96</v>
      </c>
      <c r="K167" s="295" t="s">
        <v>89</v>
      </c>
      <c r="L167" s="298">
        <f t="shared" ref="L167:L173" si="241">N167-(M167-1)</f>
        <v>21</v>
      </c>
      <c r="M167" s="299">
        <v>45460</v>
      </c>
      <c r="N167" s="299">
        <v>45480</v>
      </c>
      <c r="O167" s="298">
        <f t="shared" ref="O167:O169" si="242">U167*V167</f>
        <v>332263.13724172802</v>
      </c>
      <c r="P167" s="300" t="s">
        <v>17</v>
      </c>
      <c r="Q167" s="301"/>
      <c r="R167" s="298"/>
      <c r="S167" s="302">
        <v>0.85</v>
      </c>
      <c r="T167" s="303">
        <f t="shared" ref="T167:T168" si="243">O167*S167</f>
        <v>282423.66665546881</v>
      </c>
      <c r="U167" s="298">
        <f>AB167*AC167</f>
        <v>81437.043441600006</v>
      </c>
      <c r="V167" s="298">
        <f>3*136%</f>
        <v>4.08</v>
      </c>
      <c r="W167" s="298"/>
      <c r="X167" s="304">
        <v>125</v>
      </c>
      <c r="Y167" s="305">
        <f t="shared" ref="Y167:Y172" si="244">(O167/1000)*X167</f>
        <v>41532.892155216003</v>
      </c>
      <c r="Z167" s="305">
        <f t="shared" si="153"/>
        <v>125</v>
      </c>
      <c r="AA167" s="305"/>
      <c r="AB167" s="306">
        <v>94815</v>
      </c>
      <c r="AC167" s="307">
        <v>0.85890464</v>
      </c>
      <c r="AD167" s="261"/>
      <c r="AE167" s="260"/>
      <c r="AF167" s="261">
        <v>0.70400000000000007</v>
      </c>
      <c r="AG167" s="260"/>
      <c r="AJ167" s="346">
        <f t="shared" ref="AJ167:AL182" si="245">$O167/$L167*7</f>
        <v>110754.37908057601</v>
      </c>
      <c r="AK167" s="346">
        <f t="shared" si="245"/>
        <v>110754.37908057601</v>
      </c>
      <c r="AL167" s="346">
        <f t="shared" si="245"/>
        <v>110754.37908057601</v>
      </c>
      <c r="AN167" s="346">
        <f>$R167/$L167*7</f>
        <v>0</v>
      </c>
      <c r="AO167" s="346">
        <f t="shared" ref="AO167:AP173" si="246">$R167/$L167*7</f>
        <v>0</v>
      </c>
      <c r="AP167" s="346">
        <f t="shared" si="246"/>
        <v>0</v>
      </c>
    </row>
    <row r="168" spans="2:42" ht="18.649999999999999" customHeight="1" x14ac:dyDescent="0.35">
      <c r="B168" s="322" t="s">
        <v>130</v>
      </c>
      <c r="C168" s="293" t="s">
        <v>93</v>
      </c>
      <c r="D168" s="295" t="s">
        <v>86</v>
      </c>
      <c r="E168" s="295" t="s">
        <v>45</v>
      </c>
      <c r="F168" s="295" t="s">
        <v>87</v>
      </c>
      <c r="G168" s="296" t="s">
        <v>50</v>
      </c>
      <c r="H168" s="296" t="s">
        <v>95</v>
      </c>
      <c r="I168" s="296" t="s">
        <v>610</v>
      </c>
      <c r="J168" s="551" t="s">
        <v>96</v>
      </c>
      <c r="K168" s="295" t="s">
        <v>89</v>
      </c>
      <c r="L168" s="298">
        <f t="shared" si="241"/>
        <v>21</v>
      </c>
      <c r="M168" s="299">
        <v>45460</v>
      </c>
      <c r="N168" s="299">
        <v>45480</v>
      </c>
      <c r="O168" s="298">
        <f>Y168/X168*1000</f>
        <v>1991485.3839384001</v>
      </c>
      <c r="P168" s="300" t="s">
        <v>17</v>
      </c>
      <c r="Q168" s="301"/>
      <c r="R168" s="298"/>
      <c r="S168" s="302">
        <v>0.8</v>
      </c>
      <c r="T168" s="303">
        <f t="shared" si="243"/>
        <v>1593188.3071507202</v>
      </c>
      <c r="U168" s="298">
        <f>O168/V168</f>
        <v>358826.19530421623</v>
      </c>
      <c r="V168" s="298">
        <v>5.55</v>
      </c>
      <c r="W168" s="298"/>
      <c r="X168" s="304">
        <v>110</v>
      </c>
      <c r="Y168" s="305">
        <v>219063.392233224</v>
      </c>
      <c r="Z168" s="305">
        <f t="shared" ref="Z168:Z194" si="247">Y168/O168*1000</f>
        <v>110</v>
      </c>
      <c r="AA168" s="305"/>
      <c r="AB168" s="306">
        <v>400078</v>
      </c>
      <c r="AC168" s="307">
        <f>U168/AB168</f>
        <v>0.89689059459459464</v>
      </c>
      <c r="AF168" s="261">
        <v>0.748</v>
      </c>
      <c r="AJ168" s="346">
        <f t="shared" si="245"/>
        <v>663828.46131279995</v>
      </c>
      <c r="AK168" s="346">
        <f t="shared" si="245"/>
        <v>663828.46131279995</v>
      </c>
      <c r="AL168" s="346">
        <f t="shared" si="245"/>
        <v>663828.46131279995</v>
      </c>
      <c r="AN168" s="346">
        <f t="shared" ref="AN168:AN173" si="248">$R168/$L168*7</f>
        <v>0</v>
      </c>
      <c r="AO168" s="346">
        <f t="shared" si="246"/>
        <v>0</v>
      </c>
      <c r="AP168" s="346">
        <f t="shared" si="246"/>
        <v>0</v>
      </c>
    </row>
    <row r="169" spans="2:42" ht="18.649999999999999" customHeight="1" x14ac:dyDescent="0.35">
      <c r="B169" s="322" t="s">
        <v>130</v>
      </c>
      <c r="C169" s="293" t="s">
        <v>97</v>
      </c>
      <c r="D169" s="264" t="s">
        <v>561</v>
      </c>
      <c r="E169" s="264" t="s">
        <v>45</v>
      </c>
      <c r="F169" s="263" t="s">
        <v>87</v>
      </c>
      <c r="G169" s="263" t="s">
        <v>98</v>
      </c>
      <c r="H169" s="265" t="s">
        <v>90</v>
      </c>
      <c r="I169" s="265" t="s">
        <v>609</v>
      </c>
      <c r="J169" s="552" t="s">
        <v>96</v>
      </c>
      <c r="K169" s="263" t="s">
        <v>89</v>
      </c>
      <c r="L169" s="266">
        <f t="shared" si="241"/>
        <v>21</v>
      </c>
      <c r="M169" s="267">
        <v>45460</v>
      </c>
      <c r="N169" s="267">
        <v>45480</v>
      </c>
      <c r="O169" s="266">
        <f t="shared" si="242"/>
        <v>266905.17516801599</v>
      </c>
      <c r="P169" s="268" t="s">
        <v>17</v>
      </c>
      <c r="Q169" s="269">
        <v>1E-3</v>
      </c>
      <c r="R169" s="266">
        <f t="shared" ref="R169:R170" si="249">O169*Q169</f>
        <v>266.905175168016</v>
      </c>
      <c r="S169" s="270">
        <v>0.7</v>
      </c>
      <c r="T169" s="271">
        <f>O169*S169</f>
        <v>186833.6226176112</v>
      </c>
      <c r="U169" s="266">
        <f t="shared" ref="U169" si="250">AB169*AC169</f>
        <v>266905.17516801599</v>
      </c>
      <c r="V169" s="266">
        <v>1</v>
      </c>
      <c r="W169" s="266"/>
      <c r="X169" s="272">
        <v>70</v>
      </c>
      <c r="Y169" s="273">
        <f t="shared" si="244"/>
        <v>18683.362261761122</v>
      </c>
      <c r="Z169" s="273">
        <f t="shared" si="247"/>
        <v>70</v>
      </c>
      <c r="AA169" s="273">
        <f t="shared" ref="AA169:AA174" si="251">Y169/R169</f>
        <v>70</v>
      </c>
      <c r="AB169" s="274">
        <f>731178*85%</f>
        <v>621501.29999999993</v>
      </c>
      <c r="AC169" s="275">
        <v>0.42945232</v>
      </c>
      <c r="AE169" s="260"/>
      <c r="AF169" s="261">
        <v>0.35200000000000004</v>
      </c>
      <c r="AG169" s="260"/>
      <c r="AJ169" s="346">
        <f t="shared" si="245"/>
        <v>88968.391722671993</v>
      </c>
      <c r="AK169" s="346">
        <f t="shared" si="245"/>
        <v>88968.391722671993</v>
      </c>
      <c r="AL169" s="346">
        <f t="shared" si="245"/>
        <v>88968.391722671993</v>
      </c>
      <c r="AN169" s="346">
        <f t="shared" si="248"/>
        <v>88.968391722671996</v>
      </c>
      <c r="AO169" s="346">
        <f t="shared" si="246"/>
        <v>88.968391722671996</v>
      </c>
      <c r="AP169" s="346">
        <f t="shared" si="246"/>
        <v>88.968391722671996</v>
      </c>
    </row>
    <row r="170" spans="2:42" ht="18.649999999999999" customHeight="1" x14ac:dyDescent="0.35">
      <c r="B170" s="322" t="s">
        <v>130</v>
      </c>
      <c r="C170" s="293" t="s">
        <v>97</v>
      </c>
      <c r="D170" s="264" t="s">
        <v>86</v>
      </c>
      <c r="E170" s="264" t="s">
        <v>45</v>
      </c>
      <c r="F170" s="263" t="s">
        <v>87</v>
      </c>
      <c r="G170" s="263" t="s">
        <v>98</v>
      </c>
      <c r="H170" s="265" t="s">
        <v>90</v>
      </c>
      <c r="I170" s="265" t="s">
        <v>610</v>
      </c>
      <c r="J170" s="552" t="s">
        <v>96</v>
      </c>
      <c r="K170" s="263" t="s">
        <v>89</v>
      </c>
      <c r="L170" s="266">
        <f t="shared" si="241"/>
        <v>21</v>
      </c>
      <c r="M170" s="267">
        <v>45460</v>
      </c>
      <c r="N170" s="267">
        <v>45480</v>
      </c>
      <c r="O170" s="266">
        <f>Y170/X170*1000</f>
        <v>402147.9</v>
      </c>
      <c r="P170" s="268" t="s">
        <v>17</v>
      </c>
      <c r="Q170" s="269">
        <v>1E-3</v>
      </c>
      <c r="R170" s="266">
        <f t="shared" si="249"/>
        <v>402.14790000000005</v>
      </c>
      <c r="S170" s="270">
        <v>0.8</v>
      </c>
      <c r="T170" s="271">
        <f>O170*S170</f>
        <v>321718.32000000007</v>
      </c>
      <c r="U170" s="266">
        <f>O170/V170</f>
        <v>287248.50000000006</v>
      </c>
      <c r="V170" s="266">
        <v>1.4</v>
      </c>
      <c r="W170" s="266"/>
      <c r="X170" s="272">
        <v>80</v>
      </c>
      <c r="Y170" s="273">
        <v>32171.832000000002</v>
      </c>
      <c r="Z170" s="273">
        <f t="shared" si="247"/>
        <v>80</v>
      </c>
      <c r="AA170" s="273">
        <f t="shared" si="251"/>
        <v>80</v>
      </c>
      <c r="AB170" s="274">
        <v>731178</v>
      </c>
      <c r="AC170" s="275">
        <f>U170/AB170</f>
        <v>0.39285714285714296</v>
      </c>
      <c r="AE170" s="260"/>
      <c r="AF170" s="261">
        <v>0.35200000000000004</v>
      </c>
      <c r="AG170" s="260"/>
      <c r="AJ170" s="346">
        <f t="shared" si="245"/>
        <v>134049.30000000002</v>
      </c>
      <c r="AK170" s="346">
        <f t="shared" si="245"/>
        <v>134049.30000000002</v>
      </c>
      <c r="AL170" s="346">
        <f t="shared" si="245"/>
        <v>134049.30000000002</v>
      </c>
      <c r="AN170" s="346">
        <f t="shared" si="248"/>
        <v>134.04930000000002</v>
      </c>
      <c r="AO170" s="346">
        <f t="shared" si="246"/>
        <v>134.04930000000002</v>
      </c>
      <c r="AP170" s="346">
        <f t="shared" si="246"/>
        <v>134.04930000000002</v>
      </c>
    </row>
    <row r="171" spans="2:42" ht="18.649999999999999" customHeight="1" x14ac:dyDescent="0.35">
      <c r="B171" s="322" t="s">
        <v>130</v>
      </c>
      <c r="C171" s="293" t="s">
        <v>97</v>
      </c>
      <c r="D171" s="263" t="s">
        <v>99</v>
      </c>
      <c r="E171" s="263" t="s">
        <v>46</v>
      </c>
      <c r="F171" s="263" t="s">
        <v>100</v>
      </c>
      <c r="G171" s="263" t="s">
        <v>101</v>
      </c>
      <c r="H171" s="265" t="s">
        <v>88</v>
      </c>
      <c r="I171" s="265" t="s">
        <v>102</v>
      </c>
      <c r="J171" s="553" t="s">
        <v>96</v>
      </c>
      <c r="K171" s="263" t="s">
        <v>89</v>
      </c>
      <c r="L171" s="266">
        <f t="shared" si="241"/>
        <v>21</v>
      </c>
      <c r="M171" s="267">
        <v>45460</v>
      </c>
      <c r="N171" s="267">
        <v>45480</v>
      </c>
      <c r="O171" s="266">
        <f>U171*V171</f>
        <v>134703.70559260802</v>
      </c>
      <c r="P171" s="268" t="s">
        <v>17</v>
      </c>
      <c r="Q171" s="269">
        <v>1.4999999999999999E-2</v>
      </c>
      <c r="R171" s="266">
        <f>O171*Q171</f>
        <v>2020.5555838891203</v>
      </c>
      <c r="S171" s="268" t="s">
        <v>17</v>
      </c>
      <c r="T171" s="271" t="s">
        <v>17</v>
      </c>
      <c r="U171" s="266">
        <f>AB171*AC171</f>
        <v>158474.94775600944</v>
      </c>
      <c r="V171" s="266">
        <v>0.85</v>
      </c>
      <c r="W171" s="266"/>
      <c r="X171" s="272">
        <v>105</v>
      </c>
      <c r="Y171" s="273">
        <f t="shared" si="244"/>
        <v>14143.889087223843</v>
      </c>
      <c r="Z171" s="273">
        <f t="shared" si="247"/>
        <v>105</v>
      </c>
      <c r="AA171" s="273">
        <f t="shared" si="251"/>
        <v>7</v>
      </c>
      <c r="AB171" s="274">
        <f>AB169*95%</f>
        <v>590426.23499999987</v>
      </c>
      <c r="AC171" s="275">
        <v>0.26840769999999997</v>
      </c>
      <c r="AE171" s="260"/>
      <c r="AF171" s="261">
        <v>0.22</v>
      </c>
      <c r="AG171" s="260"/>
      <c r="AJ171" s="346">
        <f t="shared" si="245"/>
        <v>44901.235197536007</v>
      </c>
      <c r="AK171" s="346">
        <f t="shared" si="245"/>
        <v>44901.235197536007</v>
      </c>
      <c r="AL171" s="346">
        <f t="shared" si="245"/>
        <v>44901.235197536007</v>
      </c>
      <c r="AN171" s="346">
        <f t="shared" si="248"/>
        <v>673.51852796304013</v>
      </c>
      <c r="AO171" s="346">
        <f t="shared" si="246"/>
        <v>673.51852796304013</v>
      </c>
      <c r="AP171" s="346">
        <f t="shared" si="246"/>
        <v>673.51852796304013</v>
      </c>
    </row>
    <row r="172" spans="2:42" ht="18.649999999999999" customHeight="1" x14ac:dyDescent="0.35">
      <c r="B172" s="322" t="str">
        <f>B171</f>
        <v>Visakhapatnam</v>
      </c>
      <c r="C172" s="293" t="s">
        <v>97</v>
      </c>
      <c r="D172" s="310" t="s">
        <v>103</v>
      </c>
      <c r="E172" s="263" t="s">
        <v>46</v>
      </c>
      <c r="F172" s="310" t="s">
        <v>100</v>
      </c>
      <c r="G172" s="263" t="s">
        <v>98</v>
      </c>
      <c r="H172" s="265" t="s">
        <v>88</v>
      </c>
      <c r="I172" s="265" t="s">
        <v>104</v>
      </c>
      <c r="J172" s="553" t="s">
        <v>96</v>
      </c>
      <c r="K172" s="263" t="s">
        <v>105</v>
      </c>
      <c r="L172" s="266">
        <f t="shared" si="241"/>
        <v>21</v>
      </c>
      <c r="M172" s="267">
        <v>45460</v>
      </c>
      <c r="N172" s="267">
        <v>45480</v>
      </c>
      <c r="O172" s="266">
        <f>U172*V172</f>
        <v>117411.51274643998</v>
      </c>
      <c r="P172" s="268" t="s">
        <v>17</v>
      </c>
      <c r="Q172" s="269">
        <v>1.4999999999999999E-2</v>
      </c>
      <c r="R172" s="266">
        <f>O172*Q172</f>
        <v>1761.1726911965998</v>
      </c>
      <c r="S172" s="268" t="s">
        <v>17</v>
      </c>
      <c r="T172" s="271" t="s">
        <v>17</v>
      </c>
      <c r="U172" s="266">
        <f>AB172*AC172</f>
        <v>138131.19146639999</v>
      </c>
      <c r="V172" s="266">
        <v>0.85</v>
      </c>
      <c r="W172" s="266"/>
      <c r="X172" s="272">
        <v>120</v>
      </c>
      <c r="Y172" s="273">
        <f t="shared" si="244"/>
        <v>14089.381529572798</v>
      </c>
      <c r="Z172" s="273">
        <f t="shared" si="247"/>
        <v>120</v>
      </c>
      <c r="AA172" s="273">
        <f t="shared" si="251"/>
        <v>8</v>
      </c>
      <c r="AB172" s="274">
        <v>321645</v>
      </c>
      <c r="AC172" s="275">
        <v>0.42945232</v>
      </c>
      <c r="AE172" s="260"/>
      <c r="AF172" s="261">
        <v>0.35200000000000004</v>
      </c>
      <c r="AG172" s="260"/>
      <c r="AH172" s="320"/>
      <c r="AJ172" s="346">
        <f t="shared" si="245"/>
        <v>39137.17091547999</v>
      </c>
      <c r="AK172" s="346">
        <f t="shared" si="245"/>
        <v>39137.17091547999</v>
      </c>
      <c r="AL172" s="346">
        <f t="shared" si="245"/>
        <v>39137.17091547999</v>
      </c>
      <c r="AN172" s="346">
        <f t="shared" si="248"/>
        <v>587.05756373219992</v>
      </c>
      <c r="AO172" s="346">
        <f t="shared" si="246"/>
        <v>587.05756373219992</v>
      </c>
      <c r="AP172" s="346">
        <f t="shared" si="246"/>
        <v>587.05756373219992</v>
      </c>
    </row>
    <row r="173" spans="2:42" ht="18.649999999999999" customHeight="1" x14ac:dyDescent="0.35">
      <c r="B173" s="322" t="str">
        <f>B172</f>
        <v>Visakhapatnam</v>
      </c>
      <c r="C173" s="293" t="s">
        <v>97</v>
      </c>
      <c r="D173" s="310" t="s">
        <v>106</v>
      </c>
      <c r="E173" s="311" t="s">
        <v>46</v>
      </c>
      <c r="F173" s="311" t="s">
        <v>91</v>
      </c>
      <c r="G173" s="263" t="s">
        <v>98</v>
      </c>
      <c r="H173" s="310" t="s">
        <v>88</v>
      </c>
      <c r="I173" s="263" t="s">
        <v>107</v>
      </c>
      <c r="J173" s="553" t="s">
        <v>96</v>
      </c>
      <c r="K173" s="263" t="s">
        <v>89</v>
      </c>
      <c r="L173" s="266">
        <f t="shared" si="241"/>
        <v>21</v>
      </c>
      <c r="M173" s="267">
        <v>45460</v>
      </c>
      <c r="N173" s="267">
        <v>45480</v>
      </c>
      <c r="O173" s="266">
        <f>U173*V173</f>
        <v>32039.212495366999</v>
      </c>
      <c r="P173" s="268" t="s">
        <v>17</v>
      </c>
      <c r="Q173" s="312">
        <v>0.01</v>
      </c>
      <c r="R173" s="266">
        <f t="shared" ref="R173" si="252">O173*Q173</f>
        <v>320.39212495367002</v>
      </c>
      <c r="S173" s="268" t="s">
        <v>17</v>
      </c>
      <c r="T173" s="271" t="s">
        <v>17</v>
      </c>
      <c r="U173" s="266">
        <f t="shared" ref="U173" si="253">AB173*AC173</f>
        <v>37693.19117102</v>
      </c>
      <c r="V173" s="266">
        <v>0.85</v>
      </c>
      <c r="W173" s="266"/>
      <c r="X173" s="272">
        <v>200</v>
      </c>
      <c r="Y173" s="273">
        <f>O173*X173/1000</f>
        <v>6407.8424990734002</v>
      </c>
      <c r="Z173" s="273">
        <f t="shared" si="247"/>
        <v>200</v>
      </c>
      <c r="AA173" s="273">
        <f t="shared" si="251"/>
        <v>20</v>
      </c>
      <c r="AB173" s="274">
        <v>127666</v>
      </c>
      <c r="AC173" s="275">
        <v>0.29524846999999999</v>
      </c>
      <c r="AE173" s="260"/>
      <c r="AF173" s="261">
        <v>0.22</v>
      </c>
      <c r="AG173" s="260"/>
      <c r="AH173" s="562"/>
      <c r="AJ173" s="346">
        <f t="shared" si="245"/>
        <v>10679.737498455666</v>
      </c>
      <c r="AK173" s="346">
        <f t="shared" si="245"/>
        <v>10679.737498455666</v>
      </c>
      <c r="AL173" s="346">
        <f t="shared" si="245"/>
        <v>10679.737498455666</v>
      </c>
      <c r="AN173" s="346">
        <f t="shared" si="248"/>
        <v>106.79737498455667</v>
      </c>
      <c r="AO173" s="346">
        <f t="shared" si="246"/>
        <v>106.79737498455667</v>
      </c>
      <c r="AP173" s="346">
        <f t="shared" si="246"/>
        <v>106.79737498455667</v>
      </c>
    </row>
    <row r="174" spans="2:42" ht="18.649999999999999" customHeight="1" x14ac:dyDescent="0.35">
      <c r="B174" s="277" t="str">
        <f>B171</f>
        <v>Visakhapatnam</v>
      </c>
      <c r="C174" s="278"/>
      <c r="D174" s="279" t="s">
        <v>18</v>
      </c>
      <c r="E174" s="280"/>
      <c r="F174" s="279"/>
      <c r="G174" s="280"/>
      <c r="H174" s="280"/>
      <c r="I174" s="281"/>
      <c r="J174" s="546"/>
      <c r="K174" s="283"/>
      <c r="L174" s="284"/>
      <c r="M174" s="284"/>
      <c r="N174" s="284"/>
      <c r="O174" s="284">
        <f>SUM(O167:O173)</f>
        <v>3276956.027182559</v>
      </c>
      <c r="P174" s="284"/>
      <c r="Q174" s="285">
        <f>R174/O174</f>
        <v>1.455977265373785E-3</v>
      </c>
      <c r="R174" s="284">
        <f>SUM(R167:R173)</f>
        <v>4771.1734752074053</v>
      </c>
      <c r="S174" s="286"/>
      <c r="T174" s="284">
        <f>SUM(T167:T173)</f>
        <v>2384163.9164238004</v>
      </c>
      <c r="U174" s="284">
        <f>U170+(SUM(U167:U169,U171:U173)*20%)</f>
        <v>495542.04886145238</v>
      </c>
      <c r="V174" s="284">
        <f>O174/U174</f>
        <v>6.6128717728629258</v>
      </c>
      <c r="W174" s="284"/>
      <c r="X174" s="287"/>
      <c r="Y174" s="317">
        <f>SUM(Y167:Y173)</f>
        <v>346092.59176607121</v>
      </c>
      <c r="Z174" s="288">
        <f t="shared" si="247"/>
        <v>105.61404818838311</v>
      </c>
      <c r="AA174" s="288">
        <f t="shared" si="251"/>
        <v>72.538253652792704</v>
      </c>
      <c r="AB174" s="284">
        <f>AB170+(SUM(AB167:AB169,AB171:AB173)*2%)</f>
        <v>774300.63069999998</v>
      </c>
      <c r="AC174" s="289">
        <f>U174/AB174</f>
        <v>0.63998662691706931</v>
      </c>
      <c r="AD174" s="261"/>
      <c r="AE174" s="290"/>
      <c r="AF174" s="261">
        <v>0.62146860147669347</v>
      </c>
      <c r="AG174" s="290"/>
      <c r="AH174" s="460"/>
      <c r="AI174" s="459"/>
    </row>
    <row r="175" spans="2:42" ht="18.649999999999999" customHeight="1" x14ac:dyDescent="0.35">
      <c r="B175" s="323" t="s">
        <v>131</v>
      </c>
      <c r="C175" s="293" t="s">
        <v>93</v>
      </c>
      <c r="D175" s="294" t="s">
        <v>94</v>
      </c>
      <c r="E175" s="294" t="s">
        <v>45</v>
      </c>
      <c r="F175" s="295" t="s">
        <v>87</v>
      </c>
      <c r="G175" s="295" t="s">
        <v>50</v>
      </c>
      <c r="H175" s="296" t="s">
        <v>95</v>
      </c>
      <c r="I175" s="296" t="s">
        <v>608</v>
      </c>
      <c r="J175" s="551" t="s">
        <v>96</v>
      </c>
      <c r="K175" s="295" t="s">
        <v>89</v>
      </c>
      <c r="L175" s="298">
        <f t="shared" ref="L175:L191" si="254">N175-(M175-1)</f>
        <v>21</v>
      </c>
      <c r="M175" s="299">
        <v>45460</v>
      </c>
      <c r="N175" s="299">
        <v>45480</v>
      </c>
      <c r="O175" s="298">
        <f t="shared" ref="O175:O189" si="255">U175*V175</f>
        <v>3826056.3119999999</v>
      </c>
      <c r="P175" s="300" t="s">
        <v>17</v>
      </c>
      <c r="Q175" s="301"/>
      <c r="R175" s="298"/>
      <c r="S175" s="302">
        <v>0.85</v>
      </c>
      <c r="T175" s="303">
        <f t="shared" ref="T175:T176" si="256">O175*S175</f>
        <v>3252147.8651999999</v>
      </c>
      <c r="U175" s="298">
        <f>AB175*AC175</f>
        <v>937758.89999999991</v>
      </c>
      <c r="V175" s="298">
        <f>3*136%</f>
        <v>4.08</v>
      </c>
      <c r="W175" s="298"/>
      <c r="X175" s="304">
        <v>125</v>
      </c>
      <c r="Y175" s="305">
        <f t="shared" ref="Y175:Y191" si="257">(O175/1000)*X175</f>
        <v>478257.03899999999</v>
      </c>
      <c r="Z175" s="305">
        <f t="shared" si="247"/>
        <v>125</v>
      </c>
      <c r="AA175" s="305"/>
      <c r="AB175" s="306">
        <v>1129830</v>
      </c>
      <c r="AC175" s="307">
        <v>0.83</v>
      </c>
      <c r="AD175" s="261"/>
      <c r="AE175" s="260"/>
      <c r="AF175" s="261">
        <v>0.70400000000000007</v>
      </c>
      <c r="AG175" s="260"/>
      <c r="AJ175" s="346">
        <f t="shared" si="245"/>
        <v>1275352.1040000001</v>
      </c>
      <c r="AK175" s="346">
        <f t="shared" si="245"/>
        <v>1275352.1040000001</v>
      </c>
      <c r="AL175" s="346">
        <f t="shared" si="245"/>
        <v>1275352.1040000001</v>
      </c>
      <c r="AN175" s="346">
        <f>$R175/$L175*7</f>
        <v>0</v>
      </c>
      <c r="AO175" s="346">
        <f t="shared" ref="AO175:AP190" si="258">$R175/$L175*7</f>
        <v>0</v>
      </c>
      <c r="AP175" s="346">
        <f t="shared" si="258"/>
        <v>0</v>
      </c>
    </row>
    <row r="176" spans="2:42" ht="18.649999999999999" customHeight="1" x14ac:dyDescent="0.35">
      <c r="B176" s="323" t="s">
        <v>131</v>
      </c>
      <c r="C176" s="293" t="s">
        <v>93</v>
      </c>
      <c r="D176" s="295" t="s">
        <v>86</v>
      </c>
      <c r="E176" s="295" t="s">
        <v>45</v>
      </c>
      <c r="F176" s="295" t="s">
        <v>87</v>
      </c>
      <c r="G176" s="296" t="s">
        <v>50</v>
      </c>
      <c r="H176" s="296" t="s">
        <v>95</v>
      </c>
      <c r="I176" s="296" t="s">
        <v>610</v>
      </c>
      <c r="J176" s="551" t="s">
        <v>96</v>
      </c>
      <c r="K176" s="295" t="s">
        <v>89</v>
      </c>
      <c r="L176" s="298">
        <f t="shared" si="254"/>
        <v>21</v>
      </c>
      <c r="M176" s="299">
        <v>45460</v>
      </c>
      <c r="N176" s="299">
        <v>45480</v>
      </c>
      <c r="O176" s="298">
        <f>Y176/X176*1000</f>
        <v>35338673.07272727</v>
      </c>
      <c r="P176" s="300" t="s">
        <v>17</v>
      </c>
      <c r="Q176" s="301"/>
      <c r="R176" s="298"/>
      <c r="S176" s="302">
        <v>0.8</v>
      </c>
      <c r="T176" s="303">
        <f t="shared" si="256"/>
        <v>28270938.458181817</v>
      </c>
      <c r="U176" s="298">
        <f>O176/V176</f>
        <v>6544198.7171717165</v>
      </c>
      <c r="V176" s="298">
        <v>5.4</v>
      </c>
      <c r="W176" s="298"/>
      <c r="X176" s="304">
        <v>110</v>
      </c>
      <c r="Y176" s="305">
        <v>3887254.0379999997</v>
      </c>
      <c r="Z176" s="305">
        <f t="shared" si="247"/>
        <v>110</v>
      </c>
      <c r="AA176" s="305"/>
      <c r="AB176" s="306">
        <v>7805731</v>
      </c>
      <c r="AC176" s="307">
        <f>U176/AB176</f>
        <v>0.83838383838383834</v>
      </c>
      <c r="AF176" s="261">
        <v>0.748</v>
      </c>
      <c r="AJ176" s="346">
        <f t="shared" si="245"/>
        <v>11779557.69090909</v>
      </c>
      <c r="AK176" s="346">
        <f t="shared" si="245"/>
        <v>11779557.69090909</v>
      </c>
      <c r="AL176" s="346">
        <f t="shared" si="245"/>
        <v>11779557.69090909</v>
      </c>
      <c r="AN176" s="346">
        <f t="shared" ref="AN176:AP191" si="259">$R176/$L176*7</f>
        <v>0</v>
      </c>
      <c r="AO176" s="346">
        <f t="shared" si="258"/>
        <v>0</v>
      </c>
      <c r="AP176" s="346">
        <f t="shared" si="258"/>
        <v>0</v>
      </c>
    </row>
    <row r="177" spans="2:42" ht="18.649999999999999" customHeight="1" x14ac:dyDescent="0.35">
      <c r="B177" s="323" t="s">
        <v>131</v>
      </c>
      <c r="C177" s="293" t="s">
        <v>97</v>
      </c>
      <c r="D177" s="264" t="s">
        <v>561</v>
      </c>
      <c r="E177" s="264" t="s">
        <v>45</v>
      </c>
      <c r="F177" s="263" t="s">
        <v>87</v>
      </c>
      <c r="G177" s="263" t="s">
        <v>98</v>
      </c>
      <c r="H177" s="265" t="s">
        <v>90</v>
      </c>
      <c r="I177" s="265" t="s">
        <v>609</v>
      </c>
      <c r="J177" s="552" t="s">
        <v>96</v>
      </c>
      <c r="K177" s="263" t="s">
        <v>89</v>
      </c>
      <c r="L177" s="266">
        <f t="shared" si="254"/>
        <v>21</v>
      </c>
      <c r="M177" s="267">
        <v>45460</v>
      </c>
      <c r="N177" s="267">
        <v>45480</v>
      </c>
      <c r="O177" s="266">
        <f t="shared" si="255"/>
        <v>7566077.4600000009</v>
      </c>
      <c r="P177" s="268" t="s">
        <v>17</v>
      </c>
      <c r="Q177" s="269">
        <v>1E-3</v>
      </c>
      <c r="R177" s="266">
        <f t="shared" ref="R177:R178" si="260">O177*Q177</f>
        <v>7566.0774600000013</v>
      </c>
      <c r="S177" s="270">
        <v>0.7</v>
      </c>
      <c r="T177" s="271">
        <f>O177*S177</f>
        <v>5296254.2220000001</v>
      </c>
      <c r="U177" s="266">
        <f t="shared" ref="U177" si="261">AB177*AC177</f>
        <v>5044051.6400000006</v>
      </c>
      <c r="V177" s="266">
        <v>1.5</v>
      </c>
      <c r="W177" s="266"/>
      <c r="X177" s="272">
        <v>70</v>
      </c>
      <c r="Y177" s="273">
        <f t="shared" si="257"/>
        <v>529625.42220000015</v>
      </c>
      <c r="Z177" s="273">
        <f t="shared" si="247"/>
        <v>70</v>
      </c>
      <c r="AA177" s="273">
        <f>Y177/R177</f>
        <v>70</v>
      </c>
      <c r="AB177" s="274">
        <f>14835446*85%</f>
        <v>12610129.1</v>
      </c>
      <c r="AC177" s="275">
        <v>0.4</v>
      </c>
      <c r="AD177" s="260">
        <f>AB178+(SUM(AB175:AB177)*2%)</f>
        <v>15266359.801999999</v>
      </c>
      <c r="AE177" s="260">
        <f>U176+(SUM(U175:U175,U177:U178)*20%)</f>
        <v>9197613.5573145747</v>
      </c>
      <c r="AF177" s="261">
        <v>0.35200000000000004</v>
      </c>
      <c r="AG177" s="260"/>
      <c r="AJ177" s="346">
        <f t="shared" si="245"/>
        <v>2522025.8200000003</v>
      </c>
      <c r="AK177" s="346">
        <f t="shared" si="245"/>
        <v>2522025.8200000003</v>
      </c>
      <c r="AL177" s="346">
        <f t="shared" si="245"/>
        <v>2522025.8200000003</v>
      </c>
      <c r="AN177" s="346">
        <f t="shared" si="259"/>
        <v>2522.0258200000007</v>
      </c>
      <c r="AO177" s="346">
        <f t="shared" si="258"/>
        <v>2522.0258200000007</v>
      </c>
      <c r="AP177" s="346">
        <f t="shared" si="258"/>
        <v>2522.0258200000007</v>
      </c>
    </row>
    <row r="178" spans="2:42" ht="18.649999999999999" customHeight="1" x14ac:dyDescent="0.35">
      <c r="B178" s="323" t="s">
        <v>131</v>
      </c>
      <c r="C178" s="293" t="s">
        <v>97</v>
      </c>
      <c r="D178" s="264" t="s">
        <v>86</v>
      </c>
      <c r="E178" s="264" t="s">
        <v>45</v>
      </c>
      <c r="F178" s="263" t="s">
        <v>87</v>
      </c>
      <c r="G178" s="263" t="s">
        <v>98</v>
      </c>
      <c r="H178" s="265" t="s">
        <v>90</v>
      </c>
      <c r="I178" s="265" t="s">
        <v>610</v>
      </c>
      <c r="J178" s="552" t="s">
        <v>96</v>
      </c>
      <c r="K178" s="263" t="s">
        <v>89</v>
      </c>
      <c r="L178" s="266">
        <f t="shared" si="254"/>
        <v>21</v>
      </c>
      <c r="M178" s="267">
        <v>45460</v>
      </c>
      <c r="N178" s="267">
        <v>45480</v>
      </c>
      <c r="O178" s="266">
        <f>Y178/X178*1000</f>
        <v>10199369.125000002</v>
      </c>
      <c r="P178" s="268" t="s">
        <v>17</v>
      </c>
      <c r="Q178" s="269">
        <v>1E-3</v>
      </c>
      <c r="R178" s="266">
        <f t="shared" si="260"/>
        <v>10199.369125000003</v>
      </c>
      <c r="S178" s="270">
        <v>0.8</v>
      </c>
      <c r="T178" s="271">
        <f>O178*S178</f>
        <v>8159495.3000000017</v>
      </c>
      <c r="U178" s="266">
        <f>O178/V178</f>
        <v>7285263.6607142873</v>
      </c>
      <c r="V178" s="266">
        <v>1.4</v>
      </c>
      <c r="W178" s="266"/>
      <c r="X178" s="272">
        <v>80</v>
      </c>
      <c r="Y178" s="273">
        <v>815949.53</v>
      </c>
      <c r="Z178" s="273">
        <f t="shared" si="247"/>
        <v>79.999999999999986</v>
      </c>
      <c r="AA178" s="273">
        <f>Y178/R178</f>
        <v>79.999999999999986</v>
      </c>
      <c r="AB178" s="274">
        <v>14835446</v>
      </c>
      <c r="AC178" s="275">
        <f>U178/AB178</f>
        <v>0.49107142857142866</v>
      </c>
      <c r="AE178" s="260"/>
      <c r="AF178" s="261">
        <v>0.35200000000000004</v>
      </c>
      <c r="AG178" s="260"/>
      <c r="AJ178" s="346">
        <f t="shared" si="245"/>
        <v>3399789.708333334</v>
      </c>
      <c r="AK178" s="346">
        <f t="shared" si="245"/>
        <v>3399789.708333334</v>
      </c>
      <c r="AL178" s="346">
        <f t="shared" si="245"/>
        <v>3399789.708333334</v>
      </c>
      <c r="AN178" s="346">
        <f t="shared" si="259"/>
        <v>3399.7897083333341</v>
      </c>
      <c r="AO178" s="346">
        <f t="shared" si="258"/>
        <v>3399.7897083333341</v>
      </c>
      <c r="AP178" s="346">
        <f t="shared" si="258"/>
        <v>3399.7897083333341</v>
      </c>
    </row>
    <row r="179" spans="2:42" ht="18.649999999999999" customHeight="1" x14ac:dyDescent="0.35">
      <c r="B179" s="323" t="s">
        <v>132</v>
      </c>
      <c r="C179" s="293" t="s">
        <v>93</v>
      </c>
      <c r="D179" s="294" t="s">
        <v>94</v>
      </c>
      <c r="E179" s="294" t="s">
        <v>45</v>
      </c>
      <c r="F179" s="295" t="s">
        <v>87</v>
      </c>
      <c r="G179" s="295" t="s">
        <v>50</v>
      </c>
      <c r="H179" s="296" t="s">
        <v>95</v>
      </c>
      <c r="I179" s="296" t="s">
        <v>608</v>
      </c>
      <c r="J179" s="551" t="s">
        <v>96</v>
      </c>
      <c r="K179" s="295" t="s">
        <v>89</v>
      </c>
      <c r="L179" s="298">
        <f t="shared" si="254"/>
        <v>21</v>
      </c>
      <c r="M179" s="299">
        <v>45460</v>
      </c>
      <c r="N179" s="299">
        <v>45480</v>
      </c>
      <c r="O179" s="298">
        <f t="shared" si="255"/>
        <v>632105.424</v>
      </c>
      <c r="P179" s="300" t="s">
        <v>17</v>
      </c>
      <c r="Q179" s="301"/>
      <c r="R179" s="298"/>
      <c r="S179" s="302">
        <v>0.85</v>
      </c>
      <c r="T179" s="303">
        <f t="shared" ref="T179:T180" si="262">O179*S179</f>
        <v>537289.61040000001</v>
      </c>
      <c r="U179" s="298">
        <f>AB179*AC179</f>
        <v>154927.79999999999</v>
      </c>
      <c r="V179" s="298">
        <f>3*136%</f>
        <v>4.08</v>
      </c>
      <c r="W179" s="298"/>
      <c r="X179" s="304">
        <v>125</v>
      </c>
      <c r="Y179" s="305">
        <f t="shared" si="257"/>
        <v>79013.178</v>
      </c>
      <c r="Z179" s="305">
        <f t="shared" si="247"/>
        <v>125</v>
      </c>
      <c r="AA179" s="305"/>
      <c r="AB179" s="306">
        <v>186660</v>
      </c>
      <c r="AC179" s="307">
        <v>0.83</v>
      </c>
      <c r="AD179" s="261"/>
      <c r="AE179" s="260"/>
      <c r="AF179" s="261">
        <v>0.70400000000000007</v>
      </c>
      <c r="AG179" s="260"/>
      <c r="AJ179" s="346">
        <f t="shared" si="245"/>
        <v>210701.80799999999</v>
      </c>
      <c r="AK179" s="346">
        <f t="shared" si="245"/>
        <v>210701.80799999999</v>
      </c>
      <c r="AL179" s="346">
        <f t="shared" si="245"/>
        <v>210701.80799999999</v>
      </c>
      <c r="AN179" s="346">
        <f t="shared" si="259"/>
        <v>0</v>
      </c>
      <c r="AO179" s="346">
        <f t="shared" si="258"/>
        <v>0</v>
      </c>
      <c r="AP179" s="346">
        <f t="shared" si="258"/>
        <v>0</v>
      </c>
    </row>
    <row r="180" spans="2:42" ht="18.649999999999999" customHeight="1" x14ac:dyDescent="0.35">
      <c r="B180" s="323" t="s">
        <v>132</v>
      </c>
      <c r="C180" s="293" t="s">
        <v>93</v>
      </c>
      <c r="D180" s="295" t="s">
        <v>86</v>
      </c>
      <c r="E180" s="295" t="s">
        <v>45</v>
      </c>
      <c r="F180" s="295" t="s">
        <v>87</v>
      </c>
      <c r="G180" s="296" t="s">
        <v>50</v>
      </c>
      <c r="H180" s="296" t="s">
        <v>95</v>
      </c>
      <c r="I180" s="296" t="s">
        <v>610</v>
      </c>
      <c r="J180" s="551" t="s">
        <v>96</v>
      </c>
      <c r="K180" s="295" t="s">
        <v>89</v>
      </c>
      <c r="L180" s="298">
        <f t="shared" si="254"/>
        <v>21</v>
      </c>
      <c r="M180" s="299">
        <v>45460</v>
      </c>
      <c r="N180" s="299">
        <v>45480</v>
      </c>
      <c r="O180" s="298">
        <f>Y180/X180*1000</f>
        <v>2615554.8545454545</v>
      </c>
      <c r="P180" s="300" t="s">
        <v>17</v>
      </c>
      <c r="Q180" s="301"/>
      <c r="R180" s="298"/>
      <c r="S180" s="302">
        <v>0.8</v>
      </c>
      <c r="T180" s="303">
        <f t="shared" si="262"/>
        <v>2092443.8836363638</v>
      </c>
      <c r="U180" s="298">
        <f>O180/V180</f>
        <v>484362.01010101003</v>
      </c>
      <c r="V180" s="298">
        <v>5.4</v>
      </c>
      <c r="W180" s="298"/>
      <c r="X180" s="304">
        <v>110</v>
      </c>
      <c r="Y180" s="305">
        <v>287711.03399999999</v>
      </c>
      <c r="Z180" s="305">
        <f t="shared" si="247"/>
        <v>110</v>
      </c>
      <c r="AA180" s="305"/>
      <c r="AB180" s="306">
        <v>577733</v>
      </c>
      <c r="AC180" s="307">
        <f>U180/AB180</f>
        <v>0.83838383838383823</v>
      </c>
      <c r="AF180" s="261">
        <v>0.748</v>
      </c>
      <c r="AJ180" s="346">
        <f t="shared" si="245"/>
        <v>871851.61818181816</v>
      </c>
      <c r="AK180" s="346">
        <f t="shared" si="245"/>
        <v>871851.61818181816</v>
      </c>
      <c r="AL180" s="346">
        <f t="shared" si="245"/>
        <v>871851.61818181816</v>
      </c>
      <c r="AN180" s="346">
        <f t="shared" si="259"/>
        <v>0</v>
      </c>
      <c r="AO180" s="346">
        <f t="shared" si="258"/>
        <v>0</v>
      </c>
      <c r="AP180" s="346">
        <f t="shared" si="258"/>
        <v>0</v>
      </c>
    </row>
    <row r="181" spans="2:42" ht="18.649999999999999" customHeight="1" x14ac:dyDescent="0.35">
      <c r="B181" s="323" t="s">
        <v>132</v>
      </c>
      <c r="C181" s="293" t="s">
        <v>97</v>
      </c>
      <c r="D181" s="264" t="s">
        <v>561</v>
      </c>
      <c r="E181" s="264" t="s">
        <v>45</v>
      </c>
      <c r="F181" s="263" t="s">
        <v>87</v>
      </c>
      <c r="G181" s="263" t="s">
        <v>98</v>
      </c>
      <c r="H181" s="265" t="s">
        <v>90</v>
      </c>
      <c r="I181" s="265" t="s">
        <v>609</v>
      </c>
      <c r="J181" s="552" t="s">
        <v>96</v>
      </c>
      <c r="K181" s="263" t="s">
        <v>89</v>
      </c>
      <c r="L181" s="266">
        <f t="shared" si="254"/>
        <v>21</v>
      </c>
      <c r="M181" s="267">
        <v>45460</v>
      </c>
      <c r="N181" s="267">
        <v>45480</v>
      </c>
      <c r="O181" s="266">
        <f t="shared" si="255"/>
        <v>561060.17999999993</v>
      </c>
      <c r="P181" s="268" t="s">
        <v>17</v>
      </c>
      <c r="Q181" s="269">
        <v>1E-3</v>
      </c>
      <c r="R181" s="266">
        <f t="shared" ref="R181:R182" si="263">O181*Q181</f>
        <v>561.06017999999995</v>
      </c>
      <c r="S181" s="270">
        <v>0.7</v>
      </c>
      <c r="T181" s="271">
        <f>O181*S181</f>
        <v>392742.12599999993</v>
      </c>
      <c r="U181" s="266">
        <f t="shared" ref="U181" si="264">AB181*AC181</f>
        <v>374040.12</v>
      </c>
      <c r="V181" s="266">
        <v>1.5</v>
      </c>
      <c r="W181" s="266"/>
      <c r="X181" s="272">
        <v>70</v>
      </c>
      <c r="Y181" s="273">
        <f t="shared" si="257"/>
        <v>39274.212599999999</v>
      </c>
      <c r="Z181" s="273">
        <f t="shared" si="247"/>
        <v>70</v>
      </c>
      <c r="AA181" s="273">
        <f>Y181/R181</f>
        <v>70</v>
      </c>
      <c r="AB181" s="274">
        <f>1100118*85%</f>
        <v>935100.29999999993</v>
      </c>
      <c r="AC181" s="275">
        <v>0.4</v>
      </c>
      <c r="AD181" s="260">
        <f>AB182+(SUM(AB179:AB181)*2%)</f>
        <v>1134107.8659999999</v>
      </c>
      <c r="AE181" s="260">
        <f>U180+(SUM(U179:U179,U181:U182)*20%)</f>
        <v>698202.89767243853</v>
      </c>
      <c r="AF181" s="261">
        <v>0.35200000000000004</v>
      </c>
      <c r="AG181" s="260"/>
      <c r="AJ181" s="346">
        <f t="shared" si="245"/>
        <v>187020.05999999997</v>
      </c>
      <c r="AK181" s="346">
        <f t="shared" si="245"/>
        <v>187020.05999999997</v>
      </c>
      <c r="AL181" s="346">
        <f t="shared" si="245"/>
        <v>187020.05999999997</v>
      </c>
      <c r="AN181" s="346">
        <f t="shared" si="259"/>
        <v>187.02006</v>
      </c>
      <c r="AO181" s="346">
        <f t="shared" si="258"/>
        <v>187.02006</v>
      </c>
      <c r="AP181" s="346">
        <f t="shared" si="258"/>
        <v>187.02006</v>
      </c>
    </row>
    <row r="182" spans="2:42" ht="18.649999999999999" customHeight="1" x14ac:dyDescent="0.35">
      <c r="B182" s="323" t="s">
        <v>132</v>
      </c>
      <c r="C182" s="293" t="s">
        <v>97</v>
      </c>
      <c r="D182" s="264" t="s">
        <v>86</v>
      </c>
      <c r="E182" s="264" t="s">
        <v>45</v>
      </c>
      <c r="F182" s="263" t="s">
        <v>87</v>
      </c>
      <c r="G182" s="263" t="s">
        <v>98</v>
      </c>
      <c r="H182" s="265" t="s">
        <v>90</v>
      </c>
      <c r="I182" s="265" t="s">
        <v>610</v>
      </c>
      <c r="J182" s="552" t="s">
        <v>96</v>
      </c>
      <c r="K182" s="263" t="s">
        <v>89</v>
      </c>
      <c r="L182" s="266">
        <f t="shared" si="254"/>
        <v>21</v>
      </c>
      <c r="M182" s="267">
        <v>45460</v>
      </c>
      <c r="N182" s="267">
        <v>45480</v>
      </c>
      <c r="O182" s="266">
        <f>Y182/X182*1000</f>
        <v>756331.12499999988</v>
      </c>
      <c r="P182" s="268" t="s">
        <v>17</v>
      </c>
      <c r="Q182" s="269">
        <v>1E-3</v>
      </c>
      <c r="R182" s="266">
        <f t="shared" si="263"/>
        <v>756.33112499999993</v>
      </c>
      <c r="S182" s="270">
        <v>0.8</v>
      </c>
      <c r="T182" s="271">
        <f>O182*S182</f>
        <v>605064.89999999991</v>
      </c>
      <c r="U182" s="266">
        <f>O182/V182</f>
        <v>540236.51785714284</v>
      </c>
      <c r="V182" s="266">
        <v>1.4</v>
      </c>
      <c r="W182" s="266"/>
      <c r="X182" s="272">
        <v>80</v>
      </c>
      <c r="Y182" s="273">
        <v>60506.49</v>
      </c>
      <c r="Z182" s="273">
        <f t="shared" si="247"/>
        <v>80.000000000000014</v>
      </c>
      <c r="AA182" s="273">
        <f>Y182/R182</f>
        <v>80</v>
      </c>
      <c r="AB182" s="274">
        <v>1100118</v>
      </c>
      <c r="AC182" s="275">
        <f>U182/AB182</f>
        <v>0.49107142857142855</v>
      </c>
      <c r="AE182" s="260"/>
      <c r="AF182" s="261">
        <v>0.35200000000000004</v>
      </c>
      <c r="AG182" s="260"/>
      <c r="AJ182" s="346">
        <f t="shared" si="245"/>
        <v>252110.375</v>
      </c>
      <c r="AK182" s="346">
        <f t="shared" si="245"/>
        <v>252110.375</v>
      </c>
      <c r="AL182" s="346">
        <f t="shared" si="245"/>
        <v>252110.375</v>
      </c>
      <c r="AN182" s="346">
        <f t="shared" si="259"/>
        <v>252.11037499999998</v>
      </c>
      <c r="AO182" s="346">
        <f t="shared" si="258"/>
        <v>252.11037499999998</v>
      </c>
      <c r="AP182" s="346">
        <f t="shared" si="258"/>
        <v>252.11037499999998</v>
      </c>
    </row>
    <row r="183" spans="2:42" ht="18.649999999999999" customHeight="1" x14ac:dyDescent="0.35">
      <c r="B183" s="323" t="s">
        <v>133</v>
      </c>
      <c r="C183" s="293" t="s">
        <v>93</v>
      </c>
      <c r="D183" s="294" t="s">
        <v>94</v>
      </c>
      <c r="E183" s="294" t="s">
        <v>45</v>
      </c>
      <c r="F183" s="295" t="s">
        <v>87</v>
      </c>
      <c r="G183" s="295" t="s">
        <v>50</v>
      </c>
      <c r="H183" s="296" t="s">
        <v>95</v>
      </c>
      <c r="I183" s="296" t="s">
        <v>608</v>
      </c>
      <c r="J183" s="551" t="s">
        <v>96</v>
      </c>
      <c r="K183" s="295" t="s">
        <v>89</v>
      </c>
      <c r="L183" s="298">
        <f t="shared" si="254"/>
        <v>21</v>
      </c>
      <c r="M183" s="299">
        <v>45460</v>
      </c>
      <c r="N183" s="299">
        <v>45480</v>
      </c>
      <c r="O183" s="298">
        <f t="shared" si="255"/>
        <v>394210.82399999996</v>
      </c>
      <c r="P183" s="300" t="s">
        <v>17</v>
      </c>
      <c r="Q183" s="301"/>
      <c r="R183" s="298"/>
      <c r="S183" s="302">
        <v>0.85</v>
      </c>
      <c r="T183" s="303">
        <f t="shared" ref="T183:T184" si="265">O183*S183</f>
        <v>335079.20039999997</v>
      </c>
      <c r="U183" s="298">
        <f>AB183*AC183</f>
        <v>96620.299999999988</v>
      </c>
      <c r="V183" s="298">
        <f>3*136%</f>
        <v>4.08</v>
      </c>
      <c r="W183" s="298"/>
      <c r="X183" s="304">
        <v>125</v>
      </c>
      <c r="Y183" s="305">
        <f t="shared" si="257"/>
        <v>49276.352999999996</v>
      </c>
      <c r="Z183" s="305">
        <f t="shared" si="247"/>
        <v>125</v>
      </c>
      <c r="AA183" s="305"/>
      <c r="AB183" s="306">
        <v>116410</v>
      </c>
      <c r="AC183" s="307">
        <v>0.83</v>
      </c>
      <c r="AD183" s="261"/>
      <c r="AE183" s="260"/>
      <c r="AF183" s="261">
        <v>0.70400000000000007</v>
      </c>
      <c r="AG183" s="260"/>
      <c r="AJ183" s="346">
        <f t="shared" ref="AJ183:AL196" si="266">$O183/$L183*7</f>
        <v>131403.60800000001</v>
      </c>
      <c r="AK183" s="346">
        <f t="shared" si="266"/>
        <v>131403.60800000001</v>
      </c>
      <c r="AL183" s="346">
        <f t="shared" si="266"/>
        <v>131403.60800000001</v>
      </c>
      <c r="AN183" s="346">
        <f t="shared" si="259"/>
        <v>0</v>
      </c>
      <c r="AO183" s="346">
        <f t="shared" si="258"/>
        <v>0</v>
      </c>
      <c r="AP183" s="346">
        <f t="shared" si="258"/>
        <v>0</v>
      </c>
    </row>
    <row r="184" spans="2:42" ht="18.649999999999999" customHeight="1" x14ac:dyDescent="0.35">
      <c r="B184" s="323" t="s">
        <v>133</v>
      </c>
      <c r="C184" s="293" t="s">
        <v>93</v>
      </c>
      <c r="D184" s="295" t="s">
        <v>86</v>
      </c>
      <c r="E184" s="295" t="s">
        <v>45</v>
      </c>
      <c r="F184" s="295" t="s">
        <v>87</v>
      </c>
      <c r="G184" s="296" t="s">
        <v>50</v>
      </c>
      <c r="H184" s="296" t="s">
        <v>95</v>
      </c>
      <c r="I184" s="296" t="s">
        <v>610</v>
      </c>
      <c r="J184" s="551" t="s">
        <v>96</v>
      </c>
      <c r="K184" s="295" t="s">
        <v>89</v>
      </c>
      <c r="L184" s="298">
        <f t="shared" si="254"/>
        <v>21</v>
      </c>
      <c r="M184" s="299">
        <v>45460</v>
      </c>
      <c r="N184" s="299">
        <v>45480</v>
      </c>
      <c r="O184" s="298">
        <f>Y184/X184*1000</f>
        <v>960071.56363636348</v>
      </c>
      <c r="P184" s="300" t="s">
        <v>17</v>
      </c>
      <c r="Q184" s="301"/>
      <c r="R184" s="298"/>
      <c r="S184" s="302">
        <v>0.8</v>
      </c>
      <c r="T184" s="303">
        <f t="shared" si="265"/>
        <v>768057.25090909086</v>
      </c>
      <c r="U184" s="298">
        <f>O184/V184</f>
        <v>177791.03030303027</v>
      </c>
      <c r="V184" s="298">
        <v>5.4</v>
      </c>
      <c r="W184" s="298"/>
      <c r="X184" s="304">
        <v>110</v>
      </c>
      <c r="Y184" s="305">
        <v>105607.87199999999</v>
      </c>
      <c r="Z184" s="305">
        <f t="shared" si="247"/>
        <v>110</v>
      </c>
      <c r="AA184" s="305"/>
      <c r="AB184" s="306">
        <v>212064</v>
      </c>
      <c r="AC184" s="307">
        <f>U184/AB184</f>
        <v>0.83838383838383823</v>
      </c>
      <c r="AF184" s="261">
        <v>0.748</v>
      </c>
      <c r="AJ184" s="346">
        <f t="shared" si="266"/>
        <v>320023.85454545449</v>
      </c>
      <c r="AK184" s="346">
        <f t="shared" si="266"/>
        <v>320023.85454545449</v>
      </c>
      <c r="AL184" s="346">
        <f t="shared" si="266"/>
        <v>320023.85454545449</v>
      </c>
      <c r="AN184" s="346">
        <f t="shared" si="259"/>
        <v>0</v>
      </c>
      <c r="AO184" s="346">
        <f t="shared" si="258"/>
        <v>0</v>
      </c>
      <c r="AP184" s="346">
        <f t="shared" si="258"/>
        <v>0</v>
      </c>
    </row>
    <row r="185" spans="2:42" ht="18.649999999999999" customHeight="1" x14ac:dyDescent="0.35">
      <c r="B185" s="323" t="s">
        <v>133</v>
      </c>
      <c r="C185" s="293" t="s">
        <v>97</v>
      </c>
      <c r="D185" s="264" t="s">
        <v>561</v>
      </c>
      <c r="E185" s="264" t="s">
        <v>45</v>
      </c>
      <c r="F185" s="263" t="s">
        <v>87</v>
      </c>
      <c r="G185" s="263" t="s">
        <v>98</v>
      </c>
      <c r="H185" s="265" t="s">
        <v>90</v>
      </c>
      <c r="I185" s="265" t="s">
        <v>609</v>
      </c>
      <c r="J185" s="552" t="s">
        <v>96</v>
      </c>
      <c r="K185" s="263" t="s">
        <v>89</v>
      </c>
      <c r="L185" s="266">
        <f t="shared" si="254"/>
        <v>21</v>
      </c>
      <c r="M185" s="267">
        <v>45460</v>
      </c>
      <c r="N185" s="267">
        <v>45480</v>
      </c>
      <c r="O185" s="266">
        <f t="shared" si="255"/>
        <v>191834.46</v>
      </c>
      <c r="P185" s="268" t="s">
        <v>17</v>
      </c>
      <c r="Q185" s="269">
        <v>1E-3</v>
      </c>
      <c r="R185" s="266">
        <f t="shared" ref="R185:R186" si="267">O185*Q185</f>
        <v>191.83446000000001</v>
      </c>
      <c r="S185" s="270">
        <v>0.7</v>
      </c>
      <c r="T185" s="271">
        <f>O185*S185</f>
        <v>134284.12199999997</v>
      </c>
      <c r="U185" s="266">
        <f t="shared" ref="U185" si="268">AB185*AC185</f>
        <v>127889.64</v>
      </c>
      <c r="V185" s="266">
        <v>1.5</v>
      </c>
      <c r="W185" s="266"/>
      <c r="X185" s="272">
        <v>70</v>
      </c>
      <c r="Y185" s="273">
        <f t="shared" si="257"/>
        <v>13428.412199999999</v>
      </c>
      <c r="Z185" s="273">
        <f t="shared" si="247"/>
        <v>69.999999999999986</v>
      </c>
      <c r="AA185" s="273">
        <f>Y185/R185</f>
        <v>69.999999999999986</v>
      </c>
      <c r="AB185" s="274">
        <f>376146*85%</f>
        <v>319724.09999999998</v>
      </c>
      <c r="AC185" s="275">
        <v>0.4</v>
      </c>
      <c r="AD185" s="260">
        <f>AB186+(SUM(AB183:AB185)*2%)</f>
        <v>389109.962</v>
      </c>
      <c r="AE185" s="260">
        <f>U184+(SUM(U183:U183,U185:U186)*20%)</f>
        <v>259635.929017316</v>
      </c>
      <c r="AF185" s="261">
        <v>0.35200000000000004</v>
      </c>
      <c r="AG185" s="260"/>
      <c r="AJ185" s="346">
        <f t="shared" si="266"/>
        <v>63944.819999999992</v>
      </c>
      <c r="AK185" s="346">
        <f t="shared" si="266"/>
        <v>63944.819999999992</v>
      </c>
      <c r="AL185" s="346">
        <f t="shared" si="266"/>
        <v>63944.819999999992</v>
      </c>
      <c r="AN185" s="346">
        <f t="shared" si="259"/>
        <v>63.94482</v>
      </c>
      <c r="AO185" s="346">
        <f t="shared" si="258"/>
        <v>63.94482</v>
      </c>
      <c r="AP185" s="346">
        <f t="shared" si="258"/>
        <v>63.94482</v>
      </c>
    </row>
    <row r="186" spans="2:42" ht="18.649999999999999" customHeight="1" x14ac:dyDescent="0.35">
      <c r="B186" s="323" t="s">
        <v>133</v>
      </c>
      <c r="C186" s="293" t="s">
        <v>97</v>
      </c>
      <c r="D186" s="264" t="s">
        <v>86</v>
      </c>
      <c r="E186" s="264" t="s">
        <v>45</v>
      </c>
      <c r="F186" s="263" t="s">
        <v>87</v>
      </c>
      <c r="G186" s="263" t="s">
        <v>98</v>
      </c>
      <c r="H186" s="265" t="s">
        <v>90</v>
      </c>
      <c r="I186" s="265" t="s">
        <v>610</v>
      </c>
      <c r="J186" s="552" t="s">
        <v>96</v>
      </c>
      <c r="K186" s="263" t="s">
        <v>89</v>
      </c>
      <c r="L186" s="266">
        <f t="shared" si="254"/>
        <v>21</v>
      </c>
      <c r="M186" s="267">
        <v>45460</v>
      </c>
      <c r="N186" s="267">
        <v>45480</v>
      </c>
      <c r="O186" s="266">
        <f>Y186/X186*1000</f>
        <v>258600.37500000003</v>
      </c>
      <c r="P186" s="268" t="s">
        <v>17</v>
      </c>
      <c r="Q186" s="269">
        <v>1E-3</v>
      </c>
      <c r="R186" s="266">
        <f t="shared" si="267"/>
        <v>258.60037500000004</v>
      </c>
      <c r="S186" s="270">
        <v>0.8</v>
      </c>
      <c r="T186" s="271">
        <f>O186*S186</f>
        <v>206880.30000000005</v>
      </c>
      <c r="U186" s="266">
        <f>O186/V186</f>
        <v>184714.55357142861</v>
      </c>
      <c r="V186" s="266">
        <v>1.4</v>
      </c>
      <c r="W186" s="266"/>
      <c r="X186" s="272">
        <v>80</v>
      </c>
      <c r="Y186" s="273">
        <v>20688.030000000002</v>
      </c>
      <c r="Z186" s="273">
        <f t="shared" si="247"/>
        <v>80</v>
      </c>
      <c r="AA186" s="273">
        <f>Y186/R186</f>
        <v>80</v>
      </c>
      <c r="AB186" s="274">
        <v>376146</v>
      </c>
      <c r="AC186" s="275">
        <f>U186/AB186</f>
        <v>0.49107142857142866</v>
      </c>
      <c r="AE186" s="260"/>
      <c r="AF186" s="261">
        <v>0.35200000000000004</v>
      </c>
      <c r="AG186" s="260"/>
      <c r="AJ186" s="346">
        <f t="shared" si="266"/>
        <v>86200.125</v>
      </c>
      <c r="AK186" s="346">
        <f t="shared" si="266"/>
        <v>86200.125</v>
      </c>
      <c r="AL186" s="346">
        <f t="shared" si="266"/>
        <v>86200.125</v>
      </c>
      <c r="AN186" s="346">
        <f t="shared" si="259"/>
        <v>86.200125000000014</v>
      </c>
      <c r="AO186" s="346">
        <f t="shared" si="258"/>
        <v>86.200125000000014</v>
      </c>
      <c r="AP186" s="346">
        <f t="shared" si="258"/>
        <v>86.200125000000014</v>
      </c>
    </row>
    <row r="187" spans="2:42" ht="18.649999999999999" customHeight="1" x14ac:dyDescent="0.35">
      <c r="B187" s="323" t="s">
        <v>134</v>
      </c>
      <c r="C187" s="293" t="s">
        <v>93</v>
      </c>
      <c r="D187" s="294" t="s">
        <v>94</v>
      </c>
      <c r="E187" s="294" t="s">
        <v>45</v>
      </c>
      <c r="F187" s="295" t="s">
        <v>87</v>
      </c>
      <c r="G187" s="295" t="s">
        <v>50</v>
      </c>
      <c r="H187" s="296" t="s">
        <v>95</v>
      </c>
      <c r="I187" s="296" t="s">
        <v>608</v>
      </c>
      <c r="J187" s="551" t="s">
        <v>96</v>
      </c>
      <c r="K187" s="295" t="s">
        <v>89</v>
      </c>
      <c r="L187" s="298">
        <f t="shared" si="254"/>
        <v>21</v>
      </c>
      <c r="M187" s="299">
        <v>45460</v>
      </c>
      <c r="N187" s="299">
        <v>45480</v>
      </c>
      <c r="O187" s="298">
        <f t="shared" si="255"/>
        <v>183830.72399999999</v>
      </c>
      <c r="P187" s="300" t="s">
        <v>17</v>
      </c>
      <c r="Q187" s="301"/>
      <c r="R187" s="298"/>
      <c r="S187" s="302">
        <v>0.85</v>
      </c>
      <c r="T187" s="303">
        <f t="shared" ref="T187:T188" si="269">O187*S187</f>
        <v>156256.11539999998</v>
      </c>
      <c r="U187" s="298">
        <f>AB187*AC187</f>
        <v>45056.549999999996</v>
      </c>
      <c r="V187" s="298">
        <f>3*136%</f>
        <v>4.08</v>
      </c>
      <c r="W187" s="298"/>
      <c r="X187" s="304">
        <v>125</v>
      </c>
      <c r="Y187" s="305">
        <f t="shared" si="257"/>
        <v>22978.840499999998</v>
      </c>
      <c r="Z187" s="305">
        <f t="shared" si="247"/>
        <v>125</v>
      </c>
      <c r="AA187" s="305"/>
      <c r="AB187" s="306">
        <v>54285</v>
      </c>
      <c r="AC187" s="307">
        <v>0.83</v>
      </c>
      <c r="AD187" s="261"/>
      <c r="AE187" s="260"/>
      <c r="AF187" s="261">
        <v>0.70400000000000007</v>
      </c>
      <c r="AG187" s="260"/>
      <c r="AJ187" s="346">
        <f t="shared" si="266"/>
        <v>61276.907999999996</v>
      </c>
      <c r="AK187" s="346">
        <f t="shared" si="266"/>
        <v>61276.907999999996</v>
      </c>
      <c r="AL187" s="346">
        <f t="shared" si="266"/>
        <v>61276.907999999996</v>
      </c>
      <c r="AN187" s="346">
        <f t="shared" si="259"/>
        <v>0</v>
      </c>
      <c r="AO187" s="346">
        <f t="shared" si="258"/>
        <v>0</v>
      </c>
      <c r="AP187" s="346">
        <f t="shared" si="258"/>
        <v>0</v>
      </c>
    </row>
    <row r="188" spans="2:42" ht="18.649999999999999" customHeight="1" x14ac:dyDescent="0.35">
      <c r="B188" s="323" t="s">
        <v>134</v>
      </c>
      <c r="C188" s="293" t="s">
        <v>93</v>
      </c>
      <c r="D188" s="295" t="s">
        <v>86</v>
      </c>
      <c r="E188" s="295" t="s">
        <v>45</v>
      </c>
      <c r="F188" s="295" t="s">
        <v>87</v>
      </c>
      <c r="G188" s="296" t="s">
        <v>50</v>
      </c>
      <c r="H188" s="296" t="s">
        <v>95</v>
      </c>
      <c r="I188" s="296" t="s">
        <v>610</v>
      </c>
      <c r="J188" s="551" t="s">
        <v>96</v>
      </c>
      <c r="K188" s="295" t="s">
        <v>89</v>
      </c>
      <c r="L188" s="298">
        <f t="shared" si="254"/>
        <v>21</v>
      </c>
      <c r="M188" s="299">
        <v>45460</v>
      </c>
      <c r="N188" s="299">
        <v>45480</v>
      </c>
      <c r="O188" s="298">
        <f>Y188/X188*1000</f>
        <v>1147106.7818181817</v>
      </c>
      <c r="P188" s="300" t="s">
        <v>17</v>
      </c>
      <c r="Q188" s="301"/>
      <c r="R188" s="298"/>
      <c r="S188" s="302">
        <v>0.8</v>
      </c>
      <c r="T188" s="303">
        <f t="shared" si="269"/>
        <v>917685.42545454542</v>
      </c>
      <c r="U188" s="298">
        <f>O188/V188</f>
        <v>212427.18181818179</v>
      </c>
      <c r="V188" s="298">
        <v>5.4</v>
      </c>
      <c r="W188" s="298"/>
      <c r="X188" s="304">
        <v>110</v>
      </c>
      <c r="Y188" s="305">
        <v>126181.746</v>
      </c>
      <c r="Z188" s="305">
        <f t="shared" si="247"/>
        <v>110</v>
      </c>
      <c r="AA188" s="305"/>
      <c r="AB188" s="306">
        <v>253377</v>
      </c>
      <c r="AC188" s="307">
        <f>U188/AB188</f>
        <v>0.83838383838383834</v>
      </c>
      <c r="AF188" s="261">
        <v>0.748</v>
      </c>
      <c r="AJ188" s="346">
        <f t="shared" si="266"/>
        <v>382368.92727272725</v>
      </c>
      <c r="AK188" s="346">
        <f t="shared" si="266"/>
        <v>382368.92727272725</v>
      </c>
      <c r="AL188" s="346">
        <f t="shared" si="266"/>
        <v>382368.92727272725</v>
      </c>
      <c r="AN188" s="346">
        <f t="shared" si="259"/>
        <v>0</v>
      </c>
      <c r="AO188" s="346">
        <f t="shared" si="258"/>
        <v>0</v>
      </c>
      <c r="AP188" s="346">
        <f t="shared" si="258"/>
        <v>0</v>
      </c>
    </row>
    <row r="189" spans="2:42" ht="18.649999999999999" customHeight="1" x14ac:dyDescent="0.35">
      <c r="B189" s="323" t="s">
        <v>134</v>
      </c>
      <c r="C189" s="293" t="s">
        <v>97</v>
      </c>
      <c r="D189" s="264" t="s">
        <v>561</v>
      </c>
      <c r="E189" s="264" t="s">
        <v>45</v>
      </c>
      <c r="F189" s="263" t="s">
        <v>87</v>
      </c>
      <c r="G189" s="263" t="s">
        <v>98</v>
      </c>
      <c r="H189" s="265" t="s">
        <v>90</v>
      </c>
      <c r="I189" s="265" t="s">
        <v>609</v>
      </c>
      <c r="J189" s="552" t="s">
        <v>96</v>
      </c>
      <c r="K189" s="263" t="s">
        <v>89</v>
      </c>
      <c r="L189" s="266">
        <f t="shared" si="254"/>
        <v>21</v>
      </c>
      <c r="M189" s="267">
        <v>45460</v>
      </c>
      <c r="N189" s="267">
        <v>45480</v>
      </c>
      <c r="O189" s="266">
        <f t="shared" si="255"/>
        <v>243697.89</v>
      </c>
      <c r="P189" s="268" t="s">
        <v>17</v>
      </c>
      <c r="Q189" s="269">
        <v>1E-3</v>
      </c>
      <c r="R189" s="266">
        <f t="shared" ref="R189:R190" si="270">O189*Q189</f>
        <v>243.69789000000003</v>
      </c>
      <c r="S189" s="270">
        <v>0.7</v>
      </c>
      <c r="T189" s="271">
        <f>O189*S189</f>
        <v>170588.52299999999</v>
      </c>
      <c r="U189" s="266">
        <f t="shared" ref="U189" si="271">AB189*AC189</f>
        <v>162465.26</v>
      </c>
      <c r="V189" s="266">
        <v>1.5</v>
      </c>
      <c r="W189" s="266"/>
      <c r="X189" s="272">
        <v>70</v>
      </c>
      <c r="Y189" s="273">
        <f t="shared" si="257"/>
        <v>17058.852299999999</v>
      </c>
      <c r="Z189" s="273">
        <f t="shared" si="247"/>
        <v>69.999999999999986</v>
      </c>
      <c r="AA189" s="273">
        <f t="shared" ref="AA189:AA194" si="272">Y189/R189</f>
        <v>69.999999999999986</v>
      </c>
      <c r="AB189" s="274">
        <f>477839*85%</f>
        <v>406163.14999999997</v>
      </c>
      <c r="AC189" s="275">
        <v>0.4</v>
      </c>
      <c r="AD189" s="260">
        <f>AB190+(SUM(AB187:AB189)*2%)</f>
        <v>492115.50300000003</v>
      </c>
      <c r="AE189" s="260">
        <f>U188+(SUM(U187:U187,U189:U190)*20%)</f>
        <v>300862.15988961037</v>
      </c>
      <c r="AF189" s="261">
        <v>0.35200000000000004</v>
      </c>
      <c r="AG189" s="260"/>
      <c r="AJ189" s="346">
        <f t="shared" si="266"/>
        <v>81232.63</v>
      </c>
      <c r="AK189" s="346">
        <f t="shared" si="266"/>
        <v>81232.63</v>
      </c>
      <c r="AL189" s="346">
        <f t="shared" si="266"/>
        <v>81232.63</v>
      </c>
      <c r="AN189" s="346">
        <f t="shared" si="259"/>
        <v>81.23263</v>
      </c>
      <c r="AO189" s="346">
        <f t="shared" si="258"/>
        <v>81.23263</v>
      </c>
      <c r="AP189" s="346">
        <f t="shared" si="258"/>
        <v>81.23263</v>
      </c>
    </row>
    <row r="190" spans="2:42" ht="18.649999999999999" customHeight="1" x14ac:dyDescent="0.35">
      <c r="B190" s="323" t="s">
        <v>134</v>
      </c>
      <c r="C190" s="293" t="s">
        <v>97</v>
      </c>
      <c r="D190" s="264" t="s">
        <v>86</v>
      </c>
      <c r="E190" s="264" t="s">
        <v>45</v>
      </c>
      <c r="F190" s="263" t="s">
        <v>87</v>
      </c>
      <c r="G190" s="263" t="s">
        <v>98</v>
      </c>
      <c r="H190" s="265" t="s">
        <v>90</v>
      </c>
      <c r="I190" s="265" t="s">
        <v>610</v>
      </c>
      <c r="J190" s="552" t="s">
        <v>96</v>
      </c>
      <c r="K190" s="263" t="s">
        <v>89</v>
      </c>
      <c r="L190" s="266">
        <f t="shared" si="254"/>
        <v>21</v>
      </c>
      <c r="M190" s="267">
        <v>45460</v>
      </c>
      <c r="N190" s="267">
        <v>45480</v>
      </c>
      <c r="O190" s="266">
        <f>Y190/X190*1000</f>
        <v>328514.3125</v>
      </c>
      <c r="P190" s="268" t="s">
        <v>17</v>
      </c>
      <c r="Q190" s="269">
        <v>1E-3</v>
      </c>
      <c r="R190" s="266">
        <f t="shared" si="270"/>
        <v>328.51431250000002</v>
      </c>
      <c r="S190" s="270">
        <v>0.8</v>
      </c>
      <c r="T190" s="271">
        <f>O190*S190</f>
        <v>262811.45</v>
      </c>
      <c r="U190" s="266">
        <f>O190/V190</f>
        <v>234653.08035714287</v>
      </c>
      <c r="V190" s="266">
        <v>1.4</v>
      </c>
      <c r="W190" s="266"/>
      <c r="X190" s="272">
        <v>80</v>
      </c>
      <c r="Y190" s="273">
        <v>26281.145</v>
      </c>
      <c r="Z190" s="273">
        <f t="shared" si="247"/>
        <v>80</v>
      </c>
      <c r="AA190" s="273">
        <f t="shared" si="272"/>
        <v>80</v>
      </c>
      <c r="AB190" s="274">
        <v>477839</v>
      </c>
      <c r="AC190" s="275">
        <f>U190/AB190</f>
        <v>0.4910714285714286</v>
      </c>
      <c r="AE190" s="260"/>
      <c r="AF190" s="261">
        <v>0.35200000000000004</v>
      </c>
      <c r="AG190" s="260"/>
      <c r="AJ190" s="346">
        <f t="shared" si="266"/>
        <v>109504.77083333334</v>
      </c>
      <c r="AK190" s="346">
        <f t="shared" si="266"/>
        <v>109504.77083333334</v>
      </c>
      <c r="AL190" s="346">
        <f t="shared" si="266"/>
        <v>109504.77083333334</v>
      </c>
      <c r="AN190" s="346">
        <f t="shared" si="259"/>
        <v>109.50477083333334</v>
      </c>
      <c r="AO190" s="346">
        <f t="shared" si="258"/>
        <v>109.50477083333334</v>
      </c>
      <c r="AP190" s="346">
        <f t="shared" si="258"/>
        <v>109.50477083333334</v>
      </c>
    </row>
    <row r="191" spans="2:42" ht="18.649999999999999" customHeight="1" x14ac:dyDescent="0.35">
      <c r="B191" s="323" t="s">
        <v>135</v>
      </c>
      <c r="C191" s="293" t="s">
        <v>97</v>
      </c>
      <c r="D191" s="263" t="s">
        <v>99</v>
      </c>
      <c r="E191" s="263" t="s">
        <v>46</v>
      </c>
      <c r="F191" s="263" t="s">
        <v>100</v>
      </c>
      <c r="G191" s="263" t="s">
        <v>101</v>
      </c>
      <c r="H191" s="265" t="s">
        <v>88</v>
      </c>
      <c r="I191" s="265" t="s">
        <v>102</v>
      </c>
      <c r="J191" s="553" t="s">
        <v>96</v>
      </c>
      <c r="K191" s="263" t="s">
        <v>89</v>
      </c>
      <c r="L191" s="266">
        <f t="shared" si="254"/>
        <v>21</v>
      </c>
      <c r="M191" s="267">
        <v>45460</v>
      </c>
      <c r="N191" s="267">
        <v>45480</v>
      </c>
      <c r="O191" s="266">
        <f>U191*V191</f>
        <v>3778074.0228000004</v>
      </c>
      <c r="P191" s="268" t="s">
        <v>17</v>
      </c>
      <c r="Q191" s="269">
        <v>1.4999999999999999E-2</v>
      </c>
      <c r="R191" s="266">
        <f>O191*Q191</f>
        <v>56671.110342000007</v>
      </c>
      <c r="S191" s="268" t="s">
        <v>17</v>
      </c>
      <c r="T191" s="271" t="s">
        <v>17</v>
      </c>
      <c r="U191" s="266">
        <f>AB191*AC191</f>
        <v>3778074.0228000004</v>
      </c>
      <c r="V191" s="266">
        <v>1</v>
      </c>
      <c r="W191" s="266"/>
      <c r="X191" s="272">
        <v>105</v>
      </c>
      <c r="Y191" s="273">
        <f t="shared" si="257"/>
        <v>396697.77239400003</v>
      </c>
      <c r="Z191" s="273">
        <f t="shared" si="247"/>
        <v>105</v>
      </c>
      <c r="AA191" s="273">
        <f t="shared" si="272"/>
        <v>7</v>
      </c>
      <c r="AB191" s="274">
        <f>15741975.095*60%</f>
        <v>9445185.057</v>
      </c>
      <c r="AC191" s="275">
        <v>0.4</v>
      </c>
      <c r="AE191" s="260"/>
      <c r="AF191" s="261">
        <v>0.35200000000000004</v>
      </c>
      <c r="AG191" s="260"/>
      <c r="AJ191" s="346">
        <f t="shared" si="266"/>
        <v>1259358.0076000001</v>
      </c>
      <c r="AK191" s="346">
        <f t="shared" si="266"/>
        <v>1259358.0076000001</v>
      </c>
      <c r="AL191" s="346">
        <f t="shared" si="266"/>
        <v>1259358.0076000001</v>
      </c>
      <c r="AN191" s="346">
        <f t="shared" si="259"/>
        <v>18890.370114000001</v>
      </c>
      <c r="AO191" s="346">
        <f t="shared" si="259"/>
        <v>18890.370114000001</v>
      </c>
      <c r="AP191" s="346">
        <f t="shared" si="259"/>
        <v>18890.370114000001</v>
      </c>
    </row>
    <row r="192" spans="2:42" ht="18.649999999999999" customHeight="1" x14ac:dyDescent="0.35">
      <c r="B192" s="324" t="str">
        <f>B191</f>
        <v>Rest of T57</v>
      </c>
      <c r="C192" s="325"/>
      <c r="D192" s="326" t="s">
        <v>18</v>
      </c>
      <c r="E192" s="327"/>
      <c r="F192" s="326"/>
      <c r="G192" s="327"/>
      <c r="H192" s="327"/>
      <c r="I192" s="328"/>
      <c r="J192" s="547"/>
      <c r="K192" s="330"/>
      <c r="L192" s="331"/>
      <c r="M192" s="331"/>
      <c r="N192" s="331"/>
      <c r="O192" s="331">
        <f>SUM(O175:O191)</f>
        <v>68981168.507027268</v>
      </c>
      <c r="P192" s="331"/>
      <c r="Q192" s="332">
        <f>R192/O192</f>
        <v>1.1130080416320957E-3</v>
      </c>
      <c r="R192" s="331">
        <f>SUM(R175:R191)</f>
        <v>76776.595269500016</v>
      </c>
      <c r="S192" s="333"/>
      <c r="T192" s="334">
        <f>SUM(T175:T191)</f>
        <v>51558018.752581827</v>
      </c>
      <c r="U192" s="331">
        <f>AE177+AE181+AE185+AE189+(SUM(U191:U191)*3%)</f>
        <v>10569656.76457794</v>
      </c>
      <c r="V192" s="331">
        <f>O192/U192</f>
        <v>6.5263395059528948</v>
      </c>
      <c r="W192" s="331"/>
      <c r="X192" s="335"/>
      <c r="Y192" s="336">
        <f>SUM(Y175:Y191)</f>
        <v>6955789.9671940012</v>
      </c>
      <c r="Z192" s="337">
        <f t="shared" si="247"/>
        <v>100.83607044849347</v>
      </c>
      <c r="AA192" s="337">
        <f t="shared" si="272"/>
        <v>90.597791459466194</v>
      </c>
      <c r="AB192" s="331">
        <f>AD177+AD181+AD185+AD189+(SUM(AB191:AB191)*2%)</f>
        <v>17470596.834139999</v>
      </c>
      <c r="AC192" s="338">
        <f>U192/AB192</f>
        <v>0.6049968907715475</v>
      </c>
      <c r="AD192" s="261"/>
      <c r="AE192" s="290"/>
      <c r="AF192" s="261">
        <v>0.68351319358205043</v>
      </c>
      <c r="AG192" s="290"/>
      <c r="AH192" s="460"/>
      <c r="AI192" s="459"/>
    </row>
    <row r="193" spans="2:42" ht="18.649999999999999" customHeight="1" x14ac:dyDescent="0.35">
      <c r="B193" s="339" t="s">
        <v>136</v>
      </c>
      <c r="C193" s="293" t="s">
        <v>97</v>
      </c>
      <c r="D193" s="340" t="s">
        <v>137</v>
      </c>
      <c r="E193" s="341" t="s">
        <v>46</v>
      </c>
      <c r="F193" s="340" t="s">
        <v>138</v>
      </c>
      <c r="G193" s="341" t="s">
        <v>101</v>
      </c>
      <c r="H193" s="341" t="s">
        <v>88</v>
      </c>
      <c r="I193" s="341" t="s">
        <v>139</v>
      </c>
      <c r="J193" s="553" t="s">
        <v>96</v>
      </c>
      <c r="K193" s="341" t="s">
        <v>89</v>
      </c>
      <c r="L193" s="342">
        <f>N193-(M193-1)</f>
        <v>21</v>
      </c>
      <c r="M193" s="267">
        <v>45460</v>
      </c>
      <c r="N193" s="267">
        <v>45480</v>
      </c>
      <c r="O193" s="342">
        <f>Y193/X193*1000</f>
        <v>7142857.1428571427</v>
      </c>
      <c r="P193" s="344" t="s">
        <v>17</v>
      </c>
      <c r="Q193" s="345">
        <v>1.4999999999999999E-2</v>
      </c>
      <c r="R193" s="346">
        <f>O193*Q193</f>
        <v>107142.85714285713</v>
      </c>
      <c r="S193" s="344" t="s">
        <v>17</v>
      </c>
      <c r="T193" s="344" t="s">
        <v>17</v>
      </c>
      <c r="U193" s="342">
        <f>O193/V193</f>
        <v>3571428.5714285714</v>
      </c>
      <c r="V193" s="347">
        <v>2</v>
      </c>
      <c r="W193" s="347"/>
      <c r="X193" s="348">
        <v>105</v>
      </c>
      <c r="Y193" s="273">
        <f>1500000/2</f>
        <v>750000</v>
      </c>
      <c r="Z193" s="273">
        <f t="shared" si="247"/>
        <v>105</v>
      </c>
      <c r="AA193" s="273">
        <f t="shared" si="272"/>
        <v>7.0000000000000009</v>
      </c>
      <c r="AB193" s="346">
        <v>53766063</v>
      </c>
      <c r="AC193" s="209">
        <f>U193/AB193</f>
        <v>6.6425331745576605E-2</v>
      </c>
      <c r="AE193" s="260"/>
      <c r="AF193" s="261">
        <v>7.7939055914809874E-2</v>
      </c>
      <c r="AG193" s="260"/>
      <c r="AJ193" s="346">
        <f t="shared" si="266"/>
        <v>2380952.3809523811</v>
      </c>
      <c r="AK193" s="346">
        <f t="shared" si="266"/>
        <v>2380952.3809523811</v>
      </c>
      <c r="AL193" s="346">
        <f t="shared" si="266"/>
        <v>2380952.3809523811</v>
      </c>
      <c r="AM193" s="355"/>
      <c r="AN193" s="346">
        <f>$R193/$L193*7</f>
        <v>35714.28571428571</v>
      </c>
      <c r="AO193" s="346">
        <f t="shared" ref="AO193:AP196" si="273">$R193/$L193*7</f>
        <v>35714.28571428571</v>
      </c>
      <c r="AP193" s="346">
        <f t="shared" si="273"/>
        <v>35714.28571428571</v>
      </c>
    </row>
    <row r="194" spans="2:42" ht="18.649999999999999" customHeight="1" x14ac:dyDescent="0.35">
      <c r="B194" s="339" t="s">
        <v>136</v>
      </c>
      <c r="C194" s="293" t="s">
        <v>97</v>
      </c>
      <c r="D194" s="340" t="s">
        <v>140</v>
      </c>
      <c r="E194" s="341" t="s">
        <v>46</v>
      </c>
      <c r="F194" s="340" t="s">
        <v>138</v>
      </c>
      <c r="G194" s="341" t="s">
        <v>101</v>
      </c>
      <c r="H194" s="341" t="s">
        <v>88</v>
      </c>
      <c r="I194" s="341" t="s">
        <v>139</v>
      </c>
      <c r="J194" s="553" t="s">
        <v>96</v>
      </c>
      <c r="K194" s="341" t="s">
        <v>89</v>
      </c>
      <c r="L194" s="342">
        <f>N194-(M194-1)</f>
        <v>21</v>
      </c>
      <c r="M194" s="267">
        <v>45460</v>
      </c>
      <c r="N194" s="267">
        <v>45480</v>
      </c>
      <c r="O194" s="342">
        <f>Y194/X194*1000</f>
        <v>7142857.1428571427</v>
      </c>
      <c r="P194" s="344" t="s">
        <v>17</v>
      </c>
      <c r="Q194" s="345">
        <v>1.4999999999999999E-2</v>
      </c>
      <c r="R194" s="346">
        <f>O194*Q194</f>
        <v>107142.85714285713</v>
      </c>
      <c r="S194" s="344" t="s">
        <v>17</v>
      </c>
      <c r="T194" s="344" t="s">
        <v>17</v>
      </c>
      <c r="U194" s="342">
        <f>O194/V194</f>
        <v>3571428.5714285714</v>
      </c>
      <c r="V194" s="347">
        <v>2</v>
      </c>
      <c r="W194" s="347"/>
      <c r="X194" s="348">
        <v>105</v>
      </c>
      <c r="Y194" s="273">
        <f>1500000/2</f>
        <v>750000</v>
      </c>
      <c r="Z194" s="273">
        <f t="shared" si="247"/>
        <v>105</v>
      </c>
      <c r="AA194" s="273">
        <f t="shared" si="272"/>
        <v>7.0000000000000009</v>
      </c>
      <c r="AB194" s="209"/>
      <c r="AC194" s="209"/>
      <c r="AF194" s="261">
        <v>0</v>
      </c>
      <c r="AJ194" s="346">
        <f t="shared" si="266"/>
        <v>2380952.3809523811</v>
      </c>
      <c r="AK194" s="346">
        <f t="shared" si="266"/>
        <v>2380952.3809523811</v>
      </c>
      <c r="AL194" s="346">
        <f t="shared" si="266"/>
        <v>2380952.3809523811</v>
      </c>
      <c r="AN194" s="346">
        <f>$R194/$L194*7</f>
        <v>35714.28571428571</v>
      </c>
      <c r="AO194" s="346">
        <f t="shared" si="273"/>
        <v>35714.28571428571</v>
      </c>
      <c r="AP194" s="346">
        <f t="shared" si="273"/>
        <v>35714.28571428571</v>
      </c>
    </row>
    <row r="195" spans="2:42" ht="18.649999999999999" customHeight="1" thickBot="1" x14ac:dyDescent="0.4">
      <c r="B195" s="437" t="s">
        <v>142</v>
      </c>
      <c r="C195" s="438"/>
      <c r="D195" s="439"/>
      <c r="E195" s="330"/>
      <c r="F195" s="439"/>
      <c r="G195" s="330"/>
      <c r="H195" s="330"/>
      <c r="I195" s="330"/>
      <c r="J195" s="548"/>
      <c r="K195" s="330"/>
      <c r="L195" s="331"/>
      <c r="M195" s="331"/>
      <c r="N195" s="331"/>
      <c r="O195" s="331">
        <f>SUM(O193:O194)</f>
        <v>14285714.285714285</v>
      </c>
      <c r="P195" s="331"/>
      <c r="Q195" s="332">
        <v>1.4999999999999999E-2</v>
      </c>
      <c r="R195" s="331">
        <f>SUM(R193:R194)</f>
        <v>214285.71428571426</v>
      </c>
      <c r="S195" s="333"/>
      <c r="T195" s="334"/>
      <c r="U195" s="331">
        <f>U193+SUM(U194)*15%</f>
        <v>4107142.8571428573</v>
      </c>
      <c r="V195" s="331">
        <v>10</v>
      </c>
      <c r="W195" s="331"/>
      <c r="X195" s="335">
        <v>175</v>
      </c>
      <c r="Y195" s="336">
        <f>SUM(Y193:Y194)</f>
        <v>1500000</v>
      </c>
      <c r="Z195" s="337"/>
      <c r="AA195" s="337"/>
      <c r="AB195" s="440"/>
      <c r="AC195" s="338"/>
      <c r="AD195" s="355"/>
      <c r="AE195" s="290"/>
      <c r="AF195" s="261">
        <v>0</v>
      </c>
      <c r="AG195" s="290"/>
    </row>
    <row r="196" spans="2:42" ht="18.649999999999999" customHeight="1" thickBot="1" x14ac:dyDescent="0.4">
      <c r="B196" s="441" t="s">
        <v>136</v>
      </c>
      <c r="C196" s="442" t="s">
        <v>97</v>
      </c>
      <c r="D196" s="449" t="s">
        <v>529</v>
      </c>
      <c r="E196" s="449" t="s">
        <v>46</v>
      </c>
      <c r="F196" s="449" t="s">
        <v>530</v>
      </c>
      <c r="G196" s="449" t="s">
        <v>98</v>
      </c>
      <c r="H196" s="450" t="s">
        <v>88</v>
      </c>
      <c r="I196" s="450" t="s">
        <v>139</v>
      </c>
      <c r="J196" s="549" t="s">
        <v>531</v>
      </c>
      <c r="K196" s="449" t="s">
        <v>105</v>
      </c>
      <c r="L196" s="451">
        <f t="shared" ref="L196" si="274">N196-(M196-1)</f>
        <v>21</v>
      </c>
      <c r="M196" s="452">
        <v>45460</v>
      </c>
      <c r="N196" s="452">
        <v>45480</v>
      </c>
      <c r="O196" s="451">
        <f>R196/Q196</f>
        <v>273600000</v>
      </c>
      <c r="P196" s="453" t="s">
        <v>17</v>
      </c>
      <c r="Q196" s="443">
        <v>7.0000000000000001E-3</v>
      </c>
      <c r="R196" s="451">
        <f>3830400*50%</f>
        <v>1915200</v>
      </c>
      <c r="S196" s="453" t="s">
        <v>17</v>
      </c>
      <c r="T196" s="454"/>
      <c r="U196" s="451">
        <f>O196/V196</f>
        <v>68400000</v>
      </c>
      <c r="V196" s="451">
        <v>4</v>
      </c>
      <c r="W196" s="451"/>
      <c r="X196" s="455">
        <v>4</v>
      </c>
      <c r="Y196" s="444">
        <f>R196*X196</f>
        <v>7660800</v>
      </c>
      <c r="Z196" s="444">
        <f>Y196/O196*1000</f>
        <v>28</v>
      </c>
      <c r="AA196" s="444">
        <f>Y196/R196</f>
        <v>4</v>
      </c>
      <c r="AB196" s="456"/>
      <c r="AC196" s="457"/>
      <c r="AD196" s="445"/>
      <c r="AE196" s="445"/>
      <c r="AF196" s="261">
        <v>0</v>
      </c>
      <c r="AG196" s="445"/>
      <c r="AH196" s="446" t="s">
        <v>532</v>
      </c>
      <c r="AJ196" s="346">
        <f t="shared" si="266"/>
        <v>91200000</v>
      </c>
      <c r="AK196" s="346">
        <f t="shared" si="266"/>
        <v>91200000</v>
      </c>
      <c r="AL196" s="346">
        <f t="shared" si="266"/>
        <v>91200000</v>
      </c>
      <c r="AN196" s="346">
        <f>$R196/$L196*7</f>
        <v>638400</v>
      </c>
      <c r="AO196" s="346">
        <f t="shared" si="273"/>
        <v>638400</v>
      </c>
      <c r="AP196" s="346">
        <f t="shared" si="273"/>
        <v>638400</v>
      </c>
    </row>
    <row r="197" spans="2:42" x14ac:dyDescent="0.35">
      <c r="B197" s="356" t="s">
        <v>18</v>
      </c>
      <c r="C197" s="356"/>
      <c r="D197" s="356"/>
      <c r="E197" s="357"/>
      <c r="F197" s="356"/>
      <c r="G197" s="356"/>
      <c r="H197" s="356"/>
      <c r="I197" s="356"/>
      <c r="J197" s="550"/>
      <c r="K197" s="356"/>
      <c r="L197" s="356"/>
      <c r="M197" s="356"/>
      <c r="N197" s="356"/>
      <c r="O197" s="358">
        <f>O192+O174+O166+O158+O150+O142+O134+O126+O118+O106+O94+O20+O82+O70+O39+O58+O195+O27+O46+O196+O8</f>
        <v>869676492.5872581</v>
      </c>
      <c r="P197" s="356"/>
      <c r="Q197" s="356"/>
      <c r="R197" s="358">
        <f>R192+R174+R166+R158+R150+R142+R134+R126+R118+R106+R94+R20+R82+R70+R39+R58+R195+R27+R46+R196+R8</f>
        <v>3788917.0793396337</v>
      </c>
      <c r="S197" s="356"/>
      <c r="T197" s="358">
        <f>T192+T174+T166+T158+T150+T142+T134+T126+T118+T106+T94+T20+T82+T70+T39+T58+T195+T27+T46+T196+T8</f>
        <v>377796639.29574686</v>
      </c>
      <c r="U197" s="358">
        <f>U192+U174+U166+U158+U150+U142+U134+U126+U118+U106+U94+U20+U82+U70+U39+U58+U27+U46+((U195+U196+U8)*10%)</f>
        <v>76588006.752540037</v>
      </c>
      <c r="V197" s="359">
        <f>O197/U197</f>
        <v>11.355256905917784</v>
      </c>
      <c r="W197" s="359"/>
      <c r="X197" s="356"/>
      <c r="Y197" s="360">
        <f>Y192+Y174+Y166+Y158+Y150+Y142+Y134+Y126+Y118+Y106+Y94+Y20+Y82+Y70+Y39+Y58+Y195+Y27+Y46+Y196+Y8</f>
        <v>72304473.263051361</v>
      </c>
      <c r="Z197" s="356"/>
      <c r="AA197" s="356"/>
      <c r="AB197" s="358">
        <f>91*10^6</f>
        <v>91000000</v>
      </c>
      <c r="AC197" s="447">
        <f>U197/AB197</f>
        <v>0.84162644783011031</v>
      </c>
      <c r="AF197" s="261">
        <v>0.81053499196340073</v>
      </c>
      <c r="AJ197" s="358">
        <f>SUM(AJ3:AJ196)</f>
        <v>289840383.19765764</v>
      </c>
      <c r="AK197" s="358">
        <f t="shared" ref="AK197:AL197" si="275">SUM(AK3:AK196)</f>
        <v>291256169.71480048</v>
      </c>
      <c r="AL197" s="358">
        <f t="shared" si="275"/>
        <v>288579939.67480052</v>
      </c>
      <c r="AN197" s="358">
        <f t="shared" ref="AN197:AP197" si="276">SUM(AN3:AN196)</f>
        <v>1256507.3719322588</v>
      </c>
      <c r="AO197" s="358">
        <f t="shared" si="276"/>
        <v>1272895.4288036874</v>
      </c>
      <c r="AP197" s="358">
        <f t="shared" si="276"/>
        <v>1259514.2786036874</v>
      </c>
    </row>
    <row r="198" spans="2:42" x14ac:dyDescent="0.35">
      <c r="Y198" s="261"/>
    </row>
    <row r="199" spans="2:42" x14ac:dyDescent="0.35">
      <c r="O199" s="364"/>
    </row>
    <row r="200" spans="2:42" x14ac:dyDescent="0.35">
      <c r="O200" s="290"/>
      <c r="W200" s="261"/>
      <c r="X200" s="261"/>
      <c r="AJ200" s="261"/>
      <c r="AK200" s="261"/>
      <c r="AL200" s="261"/>
    </row>
    <row r="201" spans="2:42" x14ac:dyDescent="0.35">
      <c r="Q201" s="261"/>
      <c r="R201" s="290"/>
      <c r="X201" s="261"/>
      <c r="Y201" s="261"/>
      <c r="AB201" s="261"/>
      <c r="AH201" s="365"/>
    </row>
    <row r="202" spans="2:42" x14ac:dyDescent="0.35">
      <c r="M202" s="366"/>
      <c r="O202" s="290"/>
      <c r="R202" s="290"/>
      <c r="W202" s="261"/>
      <c r="AH202" s="365"/>
    </row>
    <row r="203" spans="2:42" x14ac:dyDescent="0.35">
      <c r="R203" s="290"/>
      <c r="S203" s="364"/>
      <c r="AB203" s="540"/>
      <c r="AH203" s="365"/>
    </row>
    <row r="204" spans="2:42" x14ac:dyDescent="0.35">
      <c r="E204" s="364"/>
      <c r="R204" s="290"/>
      <c r="S204" s="364"/>
      <c r="AH204" s="365"/>
    </row>
    <row r="205" spans="2:42" x14ac:dyDescent="0.35">
      <c r="E205" s="364"/>
      <c r="R205" s="290"/>
      <c r="S205" s="364"/>
      <c r="AC205" s="570"/>
      <c r="AE205" s="260"/>
      <c r="AF205" s="260"/>
      <c r="AG205" s="260"/>
    </row>
    <row r="206" spans="2:42" x14ac:dyDescent="0.35">
      <c r="E206" s="364"/>
      <c r="T206" s="260"/>
      <c r="Y206" s="545"/>
    </row>
    <row r="207" spans="2:42" x14ac:dyDescent="0.35">
      <c r="E207" s="364"/>
      <c r="Z207" s="261"/>
    </row>
    <row r="208" spans="2:42" x14ac:dyDescent="0.35">
      <c r="E208" s="364"/>
    </row>
    <row r="209" spans="5:34" x14ac:dyDescent="0.35">
      <c r="E209" s="364"/>
      <c r="Y209" s="261"/>
    </row>
    <row r="210" spans="5:34" x14ac:dyDescent="0.35">
      <c r="E210" s="364"/>
    </row>
    <row r="211" spans="5:34" x14ac:dyDescent="0.35">
      <c r="E211" s="364"/>
      <c r="Y211" s="540"/>
    </row>
    <row r="212" spans="5:34" x14ac:dyDescent="0.35">
      <c r="E212" s="364"/>
    </row>
    <row r="215" spans="5:34" x14ac:dyDescent="0.35">
      <c r="X215" s="364"/>
      <c r="AH215" s="365"/>
    </row>
    <row r="216" spans="5:34" x14ac:dyDescent="0.35">
      <c r="Z216" s="261"/>
    </row>
  </sheetData>
  <autoFilter ref="A2:AM197" xr:uid="{EB26B648-D0A7-491D-ADA6-D2158CE9EEF0}"/>
  <mergeCells count="2">
    <mergeCell ref="AJ1:AL1"/>
    <mergeCell ref="AN1:AP1"/>
  </mergeCells>
  <hyperlinks>
    <hyperlink ref="J51" location="Targeting_Core!A1" display="Reff : Targeting Sheet" xr:uid="{FB2CBB39-13AB-4D1C-B36A-1C6B46E4DA52}"/>
    <hyperlink ref="J47" location="Targeting_Core!A1" display="Reff : Targeting Sheet" xr:uid="{A21701CA-CA9E-4089-97AE-A2EFC1142CAE}"/>
    <hyperlink ref="J48" location="Targeting_Core!A1" display="Reff : Targeting Sheet" xr:uid="{6967CAB6-66EE-46BF-9B99-8750F1C5B292}"/>
    <hyperlink ref="J49" location="Targeting_Core!A1" display="Reff : Targeting Sheet" xr:uid="{E714CA55-DA6D-4192-907E-8949A35A211E}"/>
    <hyperlink ref="J32" location="Targeting_Core!A1" display="Reff : Targeting Sheet" xr:uid="{D01E25CB-486D-4192-B115-D57D70C7938D}"/>
    <hyperlink ref="J30" location="Targeting_Core!A1" display="Reff : Targeting Sheet" xr:uid="{7C97B1DD-CCE3-4E8A-8F28-CD0AD5D99B14}"/>
    <hyperlink ref="J63" location="Targeting_Core!A1" display="Reff : Targeting Sheet" xr:uid="{EE49826C-0168-4E4E-B3E7-566A40E81880}"/>
    <hyperlink ref="J59" location="Targeting_Core!A1" display="Reff : Targeting Sheet" xr:uid="{646B13CB-9DD9-4415-BDB4-B487407C9B92}"/>
    <hyperlink ref="J60" location="Targeting_Core!A1" display="Reff : Targeting Sheet" xr:uid="{35D25105-4CF2-4816-A225-A3C0CD90FA56}"/>
    <hyperlink ref="J61" location="Targeting_Core!A1" display="Reff : Targeting Sheet" xr:uid="{0E42195F-06D6-42E1-82FA-16C7EDB3C727}"/>
    <hyperlink ref="J75" location="Targeting_Core!A1" display="Reff : Targeting Sheet" xr:uid="{EE9AAF96-7C20-4DD8-AB4E-6CB76DBD7427}"/>
    <hyperlink ref="J71" location="Targeting_Core!A1" display="Reff : Targeting Sheet" xr:uid="{A13D2534-C622-4661-BA54-E66D1F936F55}"/>
    <hyperlink ref="J72" location="Targeting_Core!A1" display="Reff : Targeting Sheet" xr:uid="{F2FF02E1-07F9-4DC2-8936-6515615F85F9}"/>
    <hyperlink ref="J73" location="Targeting_Core!A1" display="Reff : Targeting Sheet" xr:uid="{8D25041C-1F07-4B2E-AF0E-B48605C32709}"/>
    <hyperlink ref="J13" location="Targeting_Core!A1" display="Reff : Targeting Sheet" xr:uid="{A94173D2-829A-4518-AA15-EC881E238238}"/>
    <hyperlink ref="J9" location="Targeting_Core!A1" display="Reff : Targeting Sheet" xr:uid="{A671B86F-9698-482D-A3C9-712485E52E0F}"/>
    <hyperlink ref="J10" location="Targeting_Core!A1" display="Reff : Targeting Sheet" xr:uid="{EADFB112-BCBF-4BC0-8894-30C1B0A09489}"/>
    <hyperlink ref="J11" location="Targeting_Core!A1" display="Reff : Targeting Sheet" xr:uid="{52008B82-10E6-4A05-80E0-23F33A2ABC8A}"/>
    <hyperlink ref="J87" location="Targeting_Core!A1" display="Reff : Targeting Sheet" xr:uid="{10A5CDC5-2AA4-4369-AF40-32B4503052C4}"/>
    <hyperlink ref="J83" location="Targeting_Core!A1" display="Reff : Targeting Sheet" xr:uid="{567A230A-1D21-4180-BCB2-2C88C8A4D32B}"/>
    <hyperlink ref="J84" location="Targeting_Core!A1" display="Reff : Targeting Sheet" xr:uid="{5D919775-F1E8-47B2-BD23-B2A3DFF9904B}"/>
    <hyperlink ref="J85" location="Targeting_Core!A1" display="Reff : Targeting Sheet" xr:uid="{6CE45000-461D-43DE-9E67-1C028E9EA4C8}"/>
    <hyperlink ref="J99" location="Targeting_Core!A1" display="Reff : Targeting Sheet" xr:uid="{DC669FBC-A3D8-4B75-A334-B1A3424EFA4A}"/>
    <hyperlink ref="J95" location="Targeting_Core!A1" display="Reff : Targeting Sheet" xr:uid="{D82CAB23-662D-476E-AAA6-B3BAEB3FE50C}"/>
    <hyperlink ref="J96" location="Targeting_Core!A1" display="Reff : Targeting Sheet" xr:uid="{80A2458E-C2B9-4788-A9AC-802229652778}"/>
    <hyperlink ref="J97" location="Targeting_Core!A1" display="Reff : Targeting Sheet" xr:uid="{E5F1A667-92EA-4432-9D6B-4F721D342145}"/>
    <hyperlink ref="J111" location="Targeting_Core!A1" display="Reff : Targeting Sheet" xr:uid="{D1F27EEB-F251-4239-8B16-4FA80BC556F5}"/>
    <hyperlink ref="J107" location="Targeting_Core!A1" display="Reff : Targeting Sheet" xr:uid="{D153C0D1-795B-4691-912E-9AA0D3BD0A6F}"/>
    <hyperlink ref="J108" location="Targeting_Core!A1" display="Reff : Targeting Sheet" xr:uid="{8035DD57-6DEE-4C65-823D-AE4395D41294}"/>
    <hyperlink ref="J109" location="Targeting_Core!A1" display="Reff : Targeting Sheet" xr:uid="{CF073236-989D-4F3F-B176-2FA7457234FA}"/>
    <hyperlink ref="J123" location="Targeting_Core!A1" display="Reff : Targeting Sheet" xr:uid="{84D18CD1-9F87-4860-8993-35D3FBF9CA33}"/>
    <hyperlink ref="J119" location="Targeting_Core!A1" display="Reff : Targeting Sheet" xr:uid="{08E545EF-9AAC-4F46-9A76-A22C4310ACB9}"/>
    <hyperlink ref="J120" location="Targeting_Core!A1" display="Reff : Targeting Sheet" xr:uid="{CFAFCCEE-4627-4235-AF5D-09ECD72415F4}"/>
    <hyperlink ref="J121" location="Targeting_Core!A1" display="Reff : Targeting Sheet" xr:uid="{D72A2D58-FF74-42BD-B1A8-5E1A54AB4482}"/>
    <hyperlink ref="J131" location="Targeting_Core!A1" display="Reff : Targeting Sheet" xr:uid="{D6751FCB-32BF-432F-82F2-205079192BA9}"/>
    <hyperlink ref="J127" location="Targeting_Core!A1" display="Reff : Targeting Sheet" xr:uid="{B772A7B1-E71E-419E-B9C4-30B5F02CA7CD}"/>
    <hyperlink ref="J128" location="Targeting_Core!A1" display="Reff : Targeting Sheet" xr:uid="{0F46A525-EEA1-4303-92B3-B0F56819DE0B}"/>
    <hyperlink ref="J129" location="Targeting_Core!A1" display="Reff : Targeting Sheet" xr:uid="{0ABAF6CC-3263-41A7-963B-70D5A79E2437}"/>
    <hyperlink ref="J139" location="Targeting_Core!A1" display="Reff : Targeting Sheet" xr:uid="{3D148EC2-57D6-49EE-AECA-A360858E8F49}"/>
    <hyperlink ref="J135" location="Targeting_Core!A1" display="Reff : Targeting Sheet" xr:uid="{DA117D86-E611-4686-A743-BA25CE9E484F}"/>
    <hyperlink ref="J136" location="Targeting_Core!A1" display="Reff : Targeting Sheet" xr:uid="{D4BA5E67-714A-4070-B8A6-6FB45CE46E25}"/>
    <hyperlink ref="J137" location="Targeting_Core!A1" display="Reff : Targeting Sheet" xr:uid="{5CE2E2E6-06E6-489F-9B8D-4A0AA1811B8D}"/>
    <hyperlink ref="J147" location="Targeting_Core!A1" display="Reff : Targeting Sheet" xr:uid="{94A24310-B82A-4F42-891D-6163C6359390}"/>
    <hyperlink ref="J143" location="Targeting_Core!A1" display="Reff : Targeting Sheet" xr:uid="{7DB6E72E-F5F9-4C96-B1F8-2077E3918869}"/>
    <hyperlink ref="J144" location="Targeting_Core!A1" display="Reff : Targeting Sheet" xr:uid="{BAB55A29-DE8A-49EF-ABD5-66CE55BD5AFC}"/>
    <hyperlink ref="J145" location="Targeting_Core!A1" display="Reff : Targeting Sheet" xr:uid="{83C51F10-2F21-4F03-8122-C2A110BCA2B0}"/>
    <hyperlink ref="J155" location="Targeting_Core!A1" display="Reff : Targeting Sheet" xr:uid="{6761273D-D70B-4D21-9316-D1FCBB21F661}"/>
    <hyperlink ref="J151" location="Targeting_Core!A1" display="Reff : Targeting Sheet" xr:uid="{D4DAFB63-6435-41A1-B237-24EB50646B6F}"/>
    <hyperlink ref="J152" location="Targeting_Core!A1" display="Reff : Targeting Sheet" xr:uid="{8E566DB3-3ACA-479E-8E73-36BD984B89B0}"/>
    <hyperlink ref="J153" location="Targeting_Core!A1" display="Reff : Targeting Sheet" xr:uid="{5D7F09B8-FFA4-413C-8725-83F7DB98B482}"/>
    <hyperlink ref="J163" location="Targeting_Core!A1" display="Reff : Targeting Sheet" xr:uid="{0FFFC0AC-D04C-4E42-956B-97D1BED0EC4A}"/>
    <hyperlink ref="J159" location="Targeting_Core!A1" display="Reff : Targeting Sheet" xr:uid="{24B016A8-1262-46B5-BDBA-AEBFE811EECE}"/>
    <hyperlink ref="J160" location="Targeting_Core!A1" display="Reff : Targeting Sheet" xr:uid="{E4B14CCD-92E8-449C-AB80-C6819E581742}"/>
    <hyperlink ref="J161" location="Targeting_Core!A1" display="Reff : Targeting Sheet" xr:uid="{B5D38203-F334-4061-AD7F-ACD54D3E6C9F}"/>
    <hyperlink ref="J171" location="Targeting_Core!A1" display="Reff : Targeting Sheet" xr:uid="{96CF6BF4-B5B4-4D06-BD2B-25D64DC3DD51}"/>
    <hyperlink ref="J167" location="Targeting_Core!A1" display="Reff : Targeting Sheet" xr:uid="{B717AFE5-01C9-4F79-95BA-C8D86E9F9525}"/>
    <hyperlink ref="J168" location="Targeting_Core!A1" display="Reff : Targeting Sheet" xr:uid="{F1DE55A3-DEE2-4337-97CB-C800141D2AD6}"/>
    <hyperlink ref="J169" location="Targeting_Core!A1" display="Reff : Targeting Sheet" xr:uid="{F7231187-E325-48FF-BD12-CBE9F924AFEB}"/>
    <hyperlink ref="J191" location="Targeting_Core!A1" display="Reff : Targeting Sheet" xr:uid="{DEA3FDB0-7D1F-43BC-88EF-3594E494B2CE}"/>
    <hyperlink ref="J175" location="Targeting_Core!A1" display="Reff : Targeting Sheet" xr:uid="{3F565B8D-2AAB-4E6C-888C-A9B585DDF12E}"/>
    <hyperlink ref="J176" location="Targeting_Core!A1" display="Reff : Targeting Sheet" xr:uid="{15814406-8DEF-4DA2-881D-B65297DC7E1C}"/>
    <hyperlink ref="J177" location="Targeting_Core!A1" display="Reff : Targeting Sheet" xr:uid="{67EC2A67-E466-4F82-8562-9BABBCF1BA15}"/>
    <hyperlink ref="J53" location="Targeting_Core!A1" display="Reff : Targeting Sheet" xr:uid="{E29E3605-4183-49E8-9833-05DB761215A0}"/>
    <hyperlink ref="J34" location="Targeting_Core!A1" display="Reff : Targeting Sheet" xr:uid="{F7C4E60E-68C6-4852-9820-41530FBD66FF}"/>
    <hyperlink ref="J65" location="Targeting_Core!A1" display="Reff : Targeting Sheet" xr:uid="{5DD2CCE1-0B42-4E62-A751-42ED93553B11}"/>
    <hyperlink ref="J77" location="Targeting_Core!A1" display="Reff : Targeting Sheet" xr:uid="{D6F0378A-6246-4552-83B0-E6447868AE74}"/>
    <hyperlink ref="J15" location="Targeting_Core!A1" display="Reff : Targeting Sheet" xr:uid="{1E19E47B-6B50-4A17-B506-16C2B69C52BB}"/>
    <hyperlink ref="J89" location="Targeting_Core!A1" display="Reff : Targeting Sheet" xr:uid="{3A4A2C4E-AD83-4AB4-B2F2-A590AFC219F6}"/>
    <hyperlink ref="J101" location="Targeting_Core!A1" display="Reff : Targeting Sheet" xr:uid="{A00670AE-1A63-4C72-ACF8-4BDE9261B477}"/>
    <hyperlink ref="J113" location="Targeting_Core!A1" display="Reff : Targeting Sheet" xr:uid="{D2C62ACD-1566-4A1C-AE9A-ABC347963BBF}"/>
    <hyperlink ref="J125" location="Targeting_Core!A1" display="Reff : Targeting Sheet" xr:uid="{C23CD20D-392B-430F-9158-3D28A6230772}"/>
    <hyperlink ref="J133" location="Targeting_Core!A1" display="Reff : Targeting Sheet" xr:uid="{E03784E7-7BC6-4EE2-9C18-ACBF239A6024}"/>
    <hyperlink ref="J141" location="Targeting_Core!A1" display="Reff : Targeting Sheet" xr:uid="{5D3A9C87-BE6B-4749-B001-71AB7A95953A}"/>
    <hyperlink ref="J149" location="Targeting_Core!A1" display="Reff : Targeting Sheet" xr:uid="{856139D8-9853-4B71-8993-A778D3E5E2D7}"/>
    <hyperlink ref="J157" location="Targeting_Core!A1" display="Reff : Targeting Sheet" xr:uid="{0706C54A-3853-4AC5-9A75-A2F272129E7A}"/>
    <hyperlink ref="J165" location="Targeting_Core!A1" display="Reff : Targeting Sheet" xr:uid="{867A99E5-4A06-4064-AEF7-E32D372AFEDB}"/>
    <hyperlink ref="J173" location="Targeting_Core!A1" display="Reff : Targeting Sheet" xr:uid="{7B929EB4-5419-4268-9E39-DF14F90E66A8}"/>
    <hyperlink ref="J179" location="Targeting_Core!A1" display="Reff : Targeting Sheet" xr:uid="{FB6405B4-A6D4-4AE2-AF3E-EF8DC58684EE}"/>
    <hyperlink ref="J180" location="Targeting_Core!A1" display="Reff : Targeting Sheet" xr:uid="{AAE581B7-28DA-433F-91EC-04CD2FEEFD2E}"/>
    <hyperlink ref="J181" location="Targeting_Core!A1" display="Reff : Targeting Sheet" xr:uid="{2D0ABE9D-46D9-4564-84EF-0801BF876AD2}"/>
    <hyperlink ref="J183" location="Targeting_Core!A1" display="Reff : Targeting Sheet" xr:uid="{AEFBDB1B-7361-4B6D-8CA1-479D967453D1}"/>
    <hyperlink ref="J184" location="Targeting_Core!A1" display="Reff : Targeting Sheet" xr:uid="{57ACB542-9514-4650-964F-EF7CC4A5ED01}"/>
    <hyperlink ref="J185" location="Targeting_Core!A1" display="Reff : Targeting Sheet" xr:uid="{6F78F7A5-DD03-4A1C-85C8-311CF1AF5621}"/>
    <hyperlink ref="J187" location="Targeting_Core!A1" display="Reff : Targeting Sheet" xr:uid="{D5EBC839-1C1B-49B0-A1B3-7144BE772B95}"/>
    <hyperlink ref="J188" location="Targeting_Core!A1" display="Reff : Targeting Sheet" xr:uid="{B1A228B0-0936-4A1A-AF39-93F3777DCED3}"/>
    <hyperlink ref="J189" location="Targeting_Core!A1" display="Reff : Targeting Sheet" xr:uid="{E8D3FABC-904A-4F91-B924-D7C7A793B418}"/>
    <hyperlink ref="J29" location="Targeting_Core!A1" display="Reff : Targeting Sheet" xr:uid="{DCA1A9FB-BD3A-4089-8461-CFDAD39983A0}"/>
    <hyperlink ref="J28" location="Targeting_Core!A1" display="Reff : Targeting Sheet" xr:uid="{57B0FBBC-D7AF-42D4-A8B8-6E6D924FA263}"/>
    <hyperlink ref="J193:J194" location="Targeting_Core!A1" display="Reff : Targeting Sheet" xr:uid="{3AB0DA1B-12FD-48C0-A9A2-38896C6B1CA8}"/>
    <hyperlink ref="J23" location="Targeting_Core!A1" display="Reff : Targeting Sheet" xr:uid="{42ED7963-D382-4E51-AA43-0BC813B6BFCA}"/>
    <hyperlink ref="J25" location="Targeting_Core!A1" display="Reff : Targeting Sheet" xr:uid="{7C803B46-6231-4E6E-AABB-DD3214227E16}"/>
    <hyperlink ref="J42" location="Targeting_Core!A1" display="Reff : Targeting Sheet" xr:uid="{DB96005E-9F60-4E57-B9B5-E7E6650173F5}"/>
    <hyperlink ref="J44" location="Targeting_Core!A1" display="Reff : Targeting Sheet" xr:uid="{085E8F69-0D2D-4C3C-86F7-02761AEDF6A4}"/>
    <hyperlink ref="J12" location="Targeting_Core!A1" display="Reff : Targeting Sheet" xr:uid="{4A8F4485-7EFF-4A51-ABF1-3997079F8C0A}"/>
    <hyperlink ref="J21" location="Targeting_Core!A1" display="Reff : Targeting Sheet" xr:uid="{D5F1BD34-2A45-46A9-BF59-A3BF686FBD80}"/>
    <hyperlink ref="J22" location="Targeting_Core!A1" display="Reff : Targeting Sheet" xr:uid="{FADE4B27-585C-46C0-AC1B-A04D2861B555}"/>
    <hyperlink ref="J31" location="Targeting_Core!A1" display="Reff : Targeting Sheet" xr:uid="{D0C45FA1-5126-4EC5-8DD5-F6479BCBDE95}"/>
    <hyperlink ref="J40" location="Targeting_Core!A1" display="Reff : Targeting Sheet" xr:uid="{C0A0FFE3-4F8D-4C2A-968B-5F846416BD64}"/>
    <hyperlink ref="J41" location="Targeting_Core!A1" display="Reff : Targeting Sheet" xr:uid="{7EA59F40-20D5-483F-B298-761A20604765}"/>
    <hyperlink ref="J50" location="Targeting_Core!A1" display="Reff : Targeting Sheet" xr:uid="{F2605D98-BA39-40E7-830B-78CDF0420F6A}"/>
    <hyperlink ref="J62" location="Targeting_Core!A1" display="Reff : Targeting Sheet" xr:uid="{F27A0D77-10F2-4306-A90B-BEFEB18B5F35}"/>
    <hyperlink ref="J74" location="Targeting_Core!A1" display="Reff : Targeting Sheet" xr:uid="{CACBCF21-3CD3-4F55-9DE1-82D862B777C3}"/>
    <hyperlink ref="J86" location="Targeting_Core!A1" display="Reff : Targeting Sheet" xr:uid="{B3CC1505-3DF8-4C33-BD00-9E01C5E8E896}"/>
    <hyperlink ref="J98" location="Targeting_Core!A1" display="Reff : Targeting Sheet" xr:uid="{27F1FF4E-3BA1-4E0E-AD29-5CF6A3F49A3A}"/>
    <hyperlink ref="J110" location="Targeting_Core!A1" display="Reff : Targeting Sheet" xr:uid="{45B50A70-83DD-4C4E-93FE-3500A65F2ECA}"/>
    <hyperlink ref="J122" location="Targeting_Core!A1" display="Reff : Targeting Sheet" xr:uid="{32CC9F85-42B5-499E-A6B4-7C9B194DC434}"/>
    <hyperlink ref="J130" location="Targeting_Core!A1" display="Reff : Targeting Sheet" xr:uid="{2BA0327C-297B-4454-AB44-A02DB9981A72}"/>
    <hyperlink ref="J138" location="Targeting_Core!A1" display="Reff : Targeting Sheet" xr:uid="{2455D5FF-8EA6-4425-AF7E-B61171296B96}"/>
    <hyperlink ref="J146" location="Targeting_Core!A1" display="Reff : Targeting Sheet" xr:uid="{AEFB5969-7C65-4227-BABD-F9F83447A3C2}"/>
    <hyperlink ref="J154" location="Targeting_Core!A1" display="Reff : Targeting Sheet" xr:uid="{398B6572-5685-4C42-ACE5-8881A60F3AC6}"/>
    <hyperlink ref="J162" location="Targeting_Core!A1" display="Reff : Targeting Sheet" xr:uid="{4169188A-E4C8-4632-A358-9528CE487750}"/>
    <hyperlink ref="J170" location="Targeting_Core!A1" display="Reff : Targeting Sheet" xr:uid="{83CF3984-8316-4EA5-99E9-18B1BDDD76CD}"/>
    <hyperlink ref="J178" location="Targeting_Core!A1" display="Reff : Targeting Sheet" xr:uid="{6A791767-7A01-46FE-8EA9-580CA5C404E5}"/>
    <hyperlink ref="J182" location="Targeting_Core!A1" display="Reff : Targeting Sheet" xr:uid="{C0CFDBDC-5D22-4C72-B91F-2275779D74C2}"/>
    <hyperlink ref="J186" location="Targeting_Core!A1" display="Reff : Targeting Sheet" xr:uid="{163404F8-B0AE-4935-A6A7-EEFAEFCA7201}"/>
    <hyperlink ref="J190" location="Targeting_Core!A1" display="Reff : Targeting Sheet" xr:uid="{FCE1AB84-483E-4388-809E-36AF1D3D78B9}"/>
  </hyperlink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31D63-BB99-4064-98C6-99BA085ED374}">
  <sheetPr>
    <tabColor theme="9" tint="0.79998168889431442"/>
  </sheetPr>
  <dimension ref="B1:AP215"/>
  <sheetViews>
    <sheetView showGridLines="0" zoomScale="60" zoomScaleNormal="60" workbookViewId="0">
      <pane ySplit="2" topLeftCell="A3" activePane="bottomLeft" state="frozen"/>
      <selection activeCell="I30" sqref="I30"/>
      <selection pane="bottomLeft" activeCell="AK5" sqref="AK5"/>
    </sheetView>
  </sheetViews>
  <sheetFormatPr defaultColWidth="8.54296875" defaultRowHeight="13" x14ac:dyDescent="0.35"/>
  <cols>
    <col min="1" max="1" width="0.81640625" style="260" customWidth="1"/>
    <col min="2" max="2" width="19.6328125" style="260" bestFit="1" customWidth="1"/>
    <col min="3" max="3" width="12.36328125" style="260" bestFit="1" customWidth="1"/>
    <col min="4" max="4" width="25.54296875" style="260" bestFit="1" customWidth="1"/>
    <col min="5" max="5" width="14.81640625" style="362" hidden="1" customWidth="1"/>
    <col min="6" max="6" width="14.36328125" style="260" hidden="1" customWidth="1"/>
    <col min="7" max="7" width="15.08984375" style="260" hidden="1" customWidth="1"/>
    <col min="8" max="8" width="14" style="260" hidden="1" customWidth="1"/>
    <col min="9" max="9" width="22.1796875" style="260" hidden="1" customWidth="1"/>
    <col min="10" max="10" width="45.81640625" style="276" hidden="1" customWidth="1"/>
    <col min="11" max="11" width="16.1796875" style="260" hidden="1" customWidth="1"/>
    <col min="12" max="12" width="16.90625" style="260" bestFit="1" customWidth="1"/>
    <col min="13" max="13" width="16.26953125" style="260" bestFit="1" customWidth="1"/>
    <col min="14" max="14" width="15.36328125" style="260" bestFit="1" customWidth="1"/>
    <col min="15" max="15" width="14.6328125" style="260" bestFit="1" customWidth="1"/>
    <col min="16" max="16" width="17.08984375" style="260" hidden="1" customWidth="1"/>
    <col min="17" max="17" width="12.81640625" style="260" customWidth="1"/>
    <col min="18" max="18" width="16" style="260" bestFit="1" customWidth="1"/>
    <col min="19" max="19" width="11.6328125" style="260" hidden="1" customWidth="1"/>
    <col min="20" max="20" width="14" style="363" hidden="1" customWidth="1"/>
    <col min="21" max="21" width="13.08984375" style="260" hidden="1" customWidth="1"/>
    <col min="22" max="22" width="15.26953125" style="260" hidden="1" customWidth="1"/>
    <col min="23" max="23" width="9" style="260" hidden="1" customWidth="1"/>
    <col min="24" max="24" width="15.26953125" style="260" hidden="1" customWidth="1"/>
    <col min="25" max="25" width="19.1796875" style="260" bestFit="1" customWidth="1"/>
    <col min="26" max="26" width="12.81640625" style="260" hidden="1" customWidth="1"/>
    <col min="27" max="27" width="12.1796875" style="260" hidden="1" customWidth="1"/>
    <col min="28" max="28" width="15.26953125" style="260" hidden="1" customWidth="1"/>
    <col min="29" max="29" width="15.36328125" style="260" hidden="1" customWidth="1"/>
    <col min="30" max="30" width="8.54296875" style="260" hidden="1" customWidth="1"/>
    <col min="31" max="32" width="11.453125" style="261" hidden="1" customWidth="1"/>
    <col min="33" max="33" width="1" style="261" hidden="1" customWidth="1"/>
    <col min="34" max="34" width="43" style="313" hidden="1" customWidth="1"/>
    <col min="35" max="35" width="21.1796875" style="260" bestFit="1" customWidth="1"/>
    <col min="36" max="37" width="19.36328125" style="363" bestFit="1" customWidth="1"/>
    <col min="38" max="38" width="15.7265625" style="363" bestFit="1" customWidth="1"/>
    <col min="39" max="39" width="8.54296875" style="260"/>
    <col min="40" max="41" width="19.36328125" style="363" bestFit="1" customWidth="1"/>
    <col min="42" max="42" width="15.7265625" style="363" bestFit="1" customWidth="1"/>
    <col min="43" max="16384" width="8.54296875" style="260"/>
  </cols>
  <sheetData>
    <row r="1" spans="2:42" x14ac:dyDescent="0.35">
      <c r="AJ1" s="577" t="s">
        <v>33</v>
      </c>
      <c r="AK1" s="577"/>
      <c r="AL1" s="577"/>
      <c r="AN1" s="577" t="s">
        <v>34</v>
      </c>
      <c r="AO1" s="577"/>
      <c r="AP1" s="577"/>
    </row>
    <row r="2" spans="2:42" ht="18.649999999999999" customHeight="1" x14ac:dyDescent="0.35">
      <c r="B2" s="249" t="s">
        <v>64</v>
      </c>
      <c r="C2" s="250" t="s">
        <v>65</v>
      </c>
      <c r="D2" s="250" t="s">
        <v>66</v>
      </c>
      <c r="E2" s="250" t="s">
        <v>67</v>
      </c>
      <c r="F2" s="250" t="s">
        <v>68</v>
      </c>
      <c r="G2" s="250" t="s">
        <v>69</v>
      </c>
      <c r="H2" s="250" t="s">
        <v>70</v>
      </c>
      <c r="I2" s="250" t="s">
        <v>71</v>
      </c>
      <c r="J2" s="250" t="s">
        <v>72</v>
      </c>
      <c r="K2" s="250" t="s">
        <v>73</v>
      </c>
      <c r="L2" s="251" t="s">
        <v>74</v>
      </c>
      <c r="M2" s="251" t="s">
        <v>75</v>
      </c>
      <c r="N2" s="251" t="s">
        <v>76</v>
      </c>
      <c r="O2" s="251" t="s">
        <v>77</v>
      </c>
      <c r="P2" s="251" t="s">
        <v>78</v>
      </c>
      <c r="Q2" s="252" t="s">
        <v>79</v>
      </c>
      <c r="R2" s="251" t="s">
        <v>80</v>
      </c>
      <c r="S2" s="251" t="s">
        <v>81</v>
      </c>
      <c r="T2" s="253" t="s">
        <v>35</v>
      </c>
      <c r="U2" s="251" t="s">
        <v>36</v>
      </c>
      <c r="V2" s="254" t="s">
        <v>82</v>
      </c>
      <c r="W2" s="254"/>
      <c r="X2" s="255" t="s">
        <v>83</v>
      </c>
      <c r="Y2" s="256" t="s">
        <v>84</v>
      </c>
      <c r="Z2" s="257" t="s">
        <v>39</v>
      </c>
      <c r="AA2" s="257" t="s">
        <v>40</v>
      </c>
      <c r="AB2" s="258" t="s">
        <v>41</v>
      </c>
      <c r="AC2" s="259" t="s">
        <v>58</v>
      </c>
      <c r="AH2" s="258" t="s">
        <v>85</v>
      </c>
      <c r="AJ2" s="358" t="s">
        <v>604</v>
      </c>
      <c r="AK2" s="358" t="s">
        <v>605</v>
      </c>
      <c r="AL2" s="358" t="s">
        <v>606</v>
      </c>
      <c r="AN2" s="358" t="s">
        <v>604</v>
      </c>
      <c r="AO2" s="358" t="s">
        <v>605</v>
      </c>
      <c r="AP2" s="358" t="s">
        <v>606</v>
      </c>
    </row>
    <row r="3" spans="2:42" ht="18.649999999999999" customHeight="1" x14ac:dyDescent="0.35">
      <c r="B3" s="321" t="s">
        <v>575</v>
      </c>
      <c r="C3" s="293" t="s">
        <v>576</v>
      </c>
      <c r="D3" s="264" t="s">
        <v>547</v>
      </c>
      <c r="E3" s="264" t="s">
        <v>45</v>
      </c>
      <c r="F3" s="263" t="s">
        <v>87</v>
      </c>
      <c r="G3" s="263" t="s">
        <v>50</v>
      </c>
      <c r="H3" s="265" t="s">
        <v>95</v>
      </c>
      <c r="I3" s="265" t="s">
        <v>534</v>
      </c>
      <c r="J3" s="263" t="s">
        <v>579</v>
      </c>
      <c r="K3" s="263" t="s">
        <v>89</v>
      </c>
      <c r="L3" s="266">
        <f t="shared" ref="L3:L7" si="0">N3-(M3-1)</f>
        <v>21</v>
      </c>
      <c r="M3" s="267">
        <v>45460</v>
      </c>
      <c r="N3" s="267">
        <v>45480</v>
      </c>
      <c r="O3" s="266">
        <f>8500000*60%</f>
        <v>5100000</v>
      </c>
      <c r="P3" s="268" t="s">
        <v>17</v>
      </c>
      <c r="Q3" s="269"/>
      <c r="R3" s="266"/>
      <c r="S3" s="318">
        <v>0.8</v>
      </c>
      <c r="T3" s="319">
        <f t="shared" ref="T3:T7" si="1">O3*S3</f>
        <v>4080000</v>
      </c>
      <c r="U3" s="266">
        <f>O3/V3</f>
        <v>1700000</v>
      </c>
      <c r="V3" s="266">
        <v>3</v>
      </c>
      <c r="W3" s="266"/>
      <c r="X3" s="272">
        <v>200</v>
      </c>
      <c r="Y3" s="273">
        <f>(O3/1000)*X3</f>
        <v>1020000</v>
      </c>
      <c r="Z3" s="273">
        <f t="shared" ref="Z3:Z37" si="2">Y3/O3*1000</f>
        <v>200</v>
      </c>
      <c r="AA3" s="273"/>
      <c r="AB3" s="274"/>
      <c r="AC3" s="275"/>
      <c r="AD3" s="261"/>
      <c r="AE3" s="260"/>
      <c r="AG3" s="260"/>
      <c r="AH3" s="554" t="s">
        <v>583</v>
      </c>
      <c r="AJ3" s="346">
        <f>$O$3/$L$3*7</f>
        <v>1700000</v>
      </c>
      <c r="AK3" s="346">
        <f t="shared" ref="AK3:AL3" si="3">$O$3/$L$3*7</f>
        <v>1700000</v>
      </c>
      <c r="AL3" s="565">
        <f t="shared" si="3"/>
        <v>1700000</v>
      </c>
      <c r="AN3" s="346">
        <f>AJ3*$Q$3</f>
        <v>0</v>
      </c>
      <c r="AO3" s="346">
        <f t="shared" ref="AO3:AP3" si="4">AK3*$Q$3</f>
        <v>0</v>
      </c>
      <c r="AP3" s="346">
        <f t="shared" si="4"/>
        <v>0</v>
      </c>
    </row>
    <row r="4" spans="2:42" ht="18.649999999999999" customHeight="1" x14ac:dyDescent="0.35">
      <c r="B4" s="321" t="s">
        <v>575</v>
      </c>
      <c r="C4" s="293" t="s">
        <v>576</v>
      </c>
      <c r="D4" s="264" t="s">
        <v>547</v>
      </c>
      <c r="E4" s="264" t="s">
        <v>45</v>
      </c>
      <c r="F4" s="263" t="s">
        <v>87</v>
      </c>
      <c r="G4" s="263" t="s">
        <v>50</v>
      </c>
      <c r="H4" s="265" t="s">
        <v>95</v>
      </c>
      <c r="I4" s="265" t="s">
        <v>534</v>
      </c>
      <c r="J4" s="263" t="s">
        <v>580</v>
      </c>
      <c r="K4" s="263" t="s">
        <v>89</v>
      </c>
      <c r="L4" s="266">
        <f t="shared" si="0"/>
        <v>21</v>
      </c>
      <c r="M4" s="267">
        <v>45460</v>
      </c>
      <c r="N4" s="267">
        <v>45480</v>
      </c>
      <c r="O4" s="266">
        <f>8750000*60%</f>
        <v>5250000</v>
      </c>
      <c r="P4" s="268" t="s">
        <v>17</v>
      </c>
      <c r="Q4" s="269"/>
      <c r="R4" s="266"/>
      <c r="S4" s="318">
        <v>0.8</v>
      </c>
      <c r="T4" s="319">
        <f t="shared" si="1"/>
        <v>4200000</v>
      </c>
      <c r="U4" s="266">
        <f t="shared" ref="U4:U7" si="5">O4/V4</f>
        <v>1750000</v>
      </c>
      <c r="V4" s="266">
        <v>3</v>
      </c>
      <c r="W4" s="266"/>
      <c r="X4" s="272">
        <v>200</v>
      </c>
      <c r="Y4" s="273">
        <f>(O4/1000)*X4</f>
        <v>1050000</v>
      </c>
      <c r="Z4" s="273">
        <f t="shared" si="2"/>
        <v>200</v>
      </c>
      <c r="AA4" s="273"/>
      <c r="AB4" s="274"/>
      <c r="AC4" s="275"/>
      <c r="AD4" s="261"/>
      <c r="AE4" s="260"/>
      <c r="AG4" s="260"/>
      <c r="AH4" s="554" t="s">
        <v>584</v>
      </c>
      <c r="AJ4" s="346">
        <f>$O$4/$L$4*7</f>
        <v>1750000</v>
      </c>
      <c r="AK4" s="346">
        <f t="shared" ref="AK4:AL4" si="6">$O$4/$L$4*7</f>
        <v>1750000</v>
      </c>
      <c r="AL4" s="565">
        <f t="shared" si="6"/>
        <v>1750000</v>
      </c>
      <c r="AN4" s="346">
        <f>AJ4*$Q$4</f>
        <v>0</v>
      </c>
      <c r="AO4" s="346">
        <f t="shared" ref="AO4:AP4" si="7">AK4*$Q$4</f>
        <v>0</v>
      </c>
      <c r="AP4" s="346">
        <f t="shared" si="7"/>
        <v>0</v>
      </c>
    </row>
    <row r="5" spans="2:42" ht="18.649999999999999" customHeight="1" x14ac:dyDescent="0.35">
      <c r="B5" s="321" t="s">
        <v>575</v>
      </c>
      <c r="C5" s="293" t="s">
        <v>576</v>
      </c>
      <c r="D5" s="264" t="s">
        <v>547</v>
      </c>
      <c r="E5" s="264" t="s">
        <v>45</v>
      </c>
      <c r="F5" s="263" t="s">
        <v>87</v>
      </c>
      <c r="G5" s="263" t="s">
        <v>50</v>
      </c>
      <c r="H5" s="265" t="s">
        <v>95</v>
      </c>
      <c r="I5" s="265" t="s">
        <v>534</v>
      </c>
      <c r="J5" s="263" t="s">
        <v>581</v>
      </c>
      <c r="K5" s="263" t="s">
        <v>89</v>
      </c>
      <c r="L5" s="266">
        <f t="shared" si="0"/>
        <v>21</v>
      </c>
      <c r="M5" s="267">
        <v>45460</v>
      </c>
      <c r="N5" s="267">
        <v>45480</v>
      </c>
      <c r="O5" s="266">
        <f>13000000*50%</f>
        <v>6500000</v>
      </c>
      <c r="P5" s="268" t="s">
        <v>17</v>
      </c>
      <c r="Q5" s="269"/>
      <c r="R5" s="266"/>
      <c r="S5" s="318">
        <v>0.8</v>
      </c>
      <c r="T5" s="319">
        <f t="shared" si="1"/>
        <v>5200000</v>
      </c>
      <c r="U5" s="266">
        <f t="shared" si="5"/>
        <v>2166666.6666666665</v>
      </c>
      <c r="V5" s="266">
        <v>3</v>
      </c>
      <c r="W5" s="266"/>
      <c r="X5" s="272">
        <v>200</v>
      </c>
      <c r="Y5" s="273">
        <f>(O5/1000)*X5</f>
        <v>1300000</v>
      </c>
      <c r="Z5" s="273">
        <f t="shared" si="2"/>
        <v>200</v>
      </c>
      <c r="AA5" s="273"/>
      <c r="AB5" s="274"/>
      <c r="AC5" s="275"/>
      <c r="AD5" s="261"/>
      <c r="AE5" s="260"/>
      <c r="AG5" s="260"/>
      <c r="AH5" s="554" t="s">
        <v>585</v>
      </c>
      <c r="AJ5" s="346">
        <f>$O$5/$L$5*7</f>
        <v>2166666.6666666665</v>
      </c>
      <c r="AK5" s="346">
        <f t="shared" ref="AK5:AL5" si="8">$O$5/$L$5*7</f>
        <v>2166666.6666666665</v>
      </c>
      <c r="AL5" s="565">
        <f t="shared" si="8"/>
        <v>2166666.6666666665</v>
      </c>
      <c r="AN5" s="346">
        <f>AJ5*$Q$5</f>
        <v>0</v>
      </c>
      <c r="AO5" s="346">
        <f t="shared" ref="AO5:AP5" si="9">AK5*$Q$5</f>
        <v>0</v>
      </c>
      <c r="AP5" s="346">
        <f t="shared" si="9"/>
        <v>0</v>
      </c>
    </row>
    <row r="6" spans="2:42" ht="18.649999999999999" customHeight="1" x14ac:dyDescent="0.35">
      <c r="B6" s="321" t="s">
        <v>575</v>
      </c>
      <c r="C6" s="293" t="s">
        <v>576</v>
      </c>
      <c r="D6" s="264" t="s">
        <v>547</v>
      </c>
      <c r="E6" s="264" t="s">
        <v>45</v>
      </c>
      <c r="F6" s="263" t="s">
        <v>87</v>
      </c>
      <c r="G6" s="263" t="s">
        <v>50</v>
      </c>
      <c r="H6" s="265" t="s">
        <v>95</v>
      </c>
      <c r="I6" s="265" t="s">
        <v>534</v>
      </c>
      <c r="J6" s="263" t="s">
        <v>582</v>
      </c>
      <c r="K6" s="263" t="s">
        <v>89</v>
      </c>
      <c r="L6" s="266">
        <f t="shared" si="0"/>
        <v>21</v>
      </c>
      <c r="M6" s="267">
        <v>45460</v>
      </c>
      <c r="N6" s="267">
        <v>45480</v>
      </c>
      <c r="O6" s="266">
        <v>915000</v>
      </c>
      <c r="P6" s="268" t="s">
        <v>17</v>
      </c>
      <c r="Q6" s="269"/>
      <c r="R6" s="266"/>
      <c r="S6" s="318">
        <v>0.8</v>
      </c>
      <c r="T6" s="319">
        <f t="shared" si="1"/>
        <v>732000</v>
      </c>
      <c r="U6" s="266">
        <f t="shared" si="5"/>
        <v>305000</v>
      </c>
      <c r="V6" s="266">
        <v>3</v>
      </c>
      <c r="W6" s="266"/>
      <c r="X6" s="272">
        <v>200</v>
      </c>
      <c r="Y6" s="273">
        <f>(O6/1000)*X6</f>
        <v>183000</v>
      </c>
      <c r="Z6" s="273">
        <f t="shared" si="2"/>
        <v>200</v>
      </c>
      <c r="AA6" s="273"/>
      <c r="AB6" s="274"/>
      <c r="AC6" s="275"/>
      <c r="AD6" s="261"/>
      <c r="AE6" s="260"/>
      <c r="AG6" s="260"/>
      <c r="AH6" s="554" t="s">
        <v>586</v>
      </c>
      <c r="AJ6" s="346">
        <f>$O$6/$L$6*7</f>
        <v>305000</v>
      </c>
      <c r="AK6" s="346">
        <f t="shared" ref="AK6:AL6" si="10">$O$6/$L$6*7</f>
        <v>305000</v>
      </c>
      <c r="AL6" s="565">
        <f t="shared" si="10"/>
        <v>305000</v>
      </c>
      <c r="AN6" s="346">
        <f>AJ6*$Q$6</f>
        <v>0</v>
      </c>
      <c r="AO6" s="346">
        <f t="shared" ref="AO6:AP6" si="11">AK6*$Q$6</f>
        <v>0</v>
      </c>
      <c r="AP6" s="346">
        <f t="shared" si="11"/>
        <v>0</v>
      </c>
    </row>
    <row r="7" spans="2:42" ht="18.649999999999999" customHeight="1" x14ac:dyDescent="0.35">
      <c r="B7" s="321" t="s">
        <v>575</v>
      </c>
      <c r="C7" s="293" t="s">
        <v>576</v>
      </c>
      <c r="D7" s="264" t="s">
        <v>547</v>
      </c>
      <c r="E7" s="264" t="s">
        <v>45</v>
      </c>
      <c r="F7" s="263" t="s">
        <v>87</v>
      </c>
      <c r="G7" s="263" t="s">
        <v>577</v>
      </c>
      <c r="H7" s="265" t="s">
        <v>95</v>
      </c>
      <c r="I7" s="265" t="s">
        <v>534</v>
      </c>
      <c r="J7" s="263" t="s">
        <v>578</v>
      </c>
      <c r="K7" s="263" t="s">
        <v>89</v>
      </c>
      <c r="L7" s="266">
        <f t="shared" si="0"/>
        <v>21</v>
      </c>
      <c r="M7" s="267">
        <v>45460</v>
      </c>
      <c r="N7" s="267">
        <v>45480</v>
      </c>
      <c r="O7" s="266">
        <f>875000*60%</f>
        <v>525000</v>
      </c>
      <c r="P7" s="268" t="s">
        <v>17</v>
      </c>
      <c r="Q7" s="269"/>
      <c r="R7" s="266"/>
      <c r="S7" s="318">
        <v>0.8</v>
      </c>
      <c r="T7" s="319">
        <f t="shared" si="1"/>
        <v>420000</v>
      </c>
      <c r="U7" s="266">
        <f t="shared" si="5"/>
        <v>175000</v>
      </c>
      <c r="V7" s="266">
        <v>3</v>
      </c>
      <c r="W7" s="266"/>
      <c r="X7" s="272">
        <v>170</v>
      </c>
      <c r="Y7" s="273">
        <f>(O7/1000)*X7</f>
        <v>89250</v>
      </c>
      <c r="Z7" s="273">
        <f t="shared" si="2"/>
        <v>170</v>
      </c>
      <c r="AA7" s="273"/>
      <c r="AB7" s="274"/>
      <c r="AC7" s="275"/>
      <c r="AD7" s="261"/>
      <c r="AE7" s="260"/>
      <c r="AG7" s="260"/>
      <c r="AH7" s="554" t="s">
        <v>587</v>
      </c>
      <c r="AJ7" s="346">
        <f>$O$7/$L$7*7</f>
        <v>175000</v>
      </c>
      <c r="AK7" s="346">
        <f t="shared" ref="AK7:AL7" si="12">$O$7/$L$7*7</f>
        <v>175000</v>
      </c>
      <c r="AL7" s="565">
        <f t="shared" si="12"/>
        <v>175000</v>
      </c>
      <c r="AN7" s="346">
        <f>AJ7*$Q$7</f>
        <v>0</v>
      </c>
      <c r="AO7" s="346">
        <f t="shared" ref="AO7:AP7" si="13">AK7*$Q$7</f>
        <v>0</v>
      </c>
      <c r="AP7" s="346">
        <f t="shared" si="13"/>
        <v>0</v>
      </c>
    </row>
    <row r="8" spans="2:42" ht="18.649999999999999" customHeight="1" x14ac:dyDescent="0.35">
      <c r="B8" s="277"/>
      <c r="C8" s="278"/>
      <c r="D8" s="279"/>
      <c r="E8" s="280"/>
      <c r="F8" s="279"/>
      <c r="G8" s="280"/>
      <c r="H8" s="280"/>
      <c r="I8" s="281"/>
      <c r="J8" s="546"/>
      <c r="K8" s="283"/>
      <c r="L8" s="284"/>
      <c r="M8" s="284"/>
      <c r="N8" s="284"/>
      <c r="O8" s="284">
        <f>SUM(O3:O7)</f>
        <v>18290000</v>
      </c>
      <c r="P8" s="284"/>
      <c r="Q8" s="285"/>
      <c r="R8" s="284"/>
      <c r="S8" s="286"/>
      <c r="T8" s="316">
        <f>SUM(T3:T7)</f>
        <v>14632000</v>
      </c>
      <c r="U8" s="284">
        <f>U5+(SUM(U3:U4,U6:U7)*30%)</f>
        <v>3345666.6666666665</v>
      </c>
      <c r="V8" s="284"/>
      <c r="W8" s="284"/>
      <c r="X8" s="287"/>
      <c r="Y8" s="317">
        <f>SUM(Y3:Y7)</f>
        <v>3642250</v>
      </c>
      <c r="Z8" s="288">
        <f t="shared" si="2"/>
        <v>199.1388737014762</v>
      </c>
      <c r="AA8" s="288"/>
      <c r="AB8" s="284"/>
      <c r="AC8" s="289"/>
      <c r="AD8" s="261"/>
      <c r="AE8" s="290"/>
      <c r="AG8" s="290"/>
      <c r="AJ8" s="564"/>
      <c r="AK8" s="564"/>
      <c r="AL8" s="564"/>
      <c r="AN8" s="567"/>
      <c r="AO8" s="567"/>
      <c r="AP8" s="567"/>
    </row>
    <row r="9" spans="2:42" ht="18.649999999999999" customHeight="1" x14ac:dyDescent="0.35">
      <c r="B9" s="292" t="s">
        <v>92</v>
      </c>
      <c r="C9" s="293" t="s">
        <v>93</v>
      </c>
      <c r="D9" s="294" t="s">
        <v>94</v>
      </c>
      <c r="E9" s="294" t="s">
        <v>45</v>
      </c>
      <c r="F9" s="295" t="s">
        <v>87</v>
      </c>
      <c r="G9" s="295" t="s">
        <v>50</v>
      </c>
      <c r="H9" s="296" t="s">
        <v>95</v>
      </c>
      <c r="I9" s="296" t="s">
        <v>572</v>
      </c>
      <c r="J9" s="551" t="s">
        <v>96</v>
      </c>
      <c r="K9" s="295" t="s">
        <v>89</v>
      </c>
      <c r="L9" s="298">
        <f t="shared" ref="L9:L17" si="14">N9-(M9-1)</f>
        <v>21</v>
      </c>
      <c r="M9" s="299">
        <v>45460</v>
      </c>
      <c r="N9" s="299">
        <v>45480</v>
      </c>
      <c r="O9" s="298">
        <f t="shared" ref="O9:O18" si="15">U9*V9</f>
        <v>3048877.84993792</v>
      </c>
      <c r="P9" s="300" t="s">
        <v>17</v>
      </c>
      <c r="Q9" s="301"/>
      <c r="R9" s="298"/>
      <c r="S9" s="302">
        <v>0.85</v>
      </c>
      <c r="T9" s="303">
        <f t="shared" ref="T9:T10" si="16">O9*S9</f>
        <v>2591546.1724472321</v>
      </c>
      <c r="U9" s="298">
        <f>AB9*AC9</f>
        <v>762219.46248448</v>
      </c>
      <c r="V9" s="298">
        <v>4</v>
      </c>
      <c r="W9" s="298"/>
      <c r="X9" s="304">
        <v>170</v>
      </c>
      <c r="Y9" s="305">
        <f t="shared" ref="Y9:Y14" si="17">(O9/1000)*X9</f>
        <v>518309.23448944639</v>
      </c>
      <c r="Z9" s="305">
        <f t="shared" si="2"/>
        <v>169.99999999999997</v>
      </c>
      <c r="AA9" s="305"/>
      <c r="AB9" s="306">
        <v>887432</v>
      </c>
      <c r="AC9" s="307">
        <v>0.85890464</v>
      </c>
      <c r="AD9" s="261"/>
      <c r="AE9" s="260"/>
      <c r="AF9" s="261">
        <v>0.70400000000000007</v>
      </c>
      <c r="AG9" s="260"/>
      <c r="AH9" s="291"/>
      <c r="AJ9" s="346">
        <f>$O$9/$L$9*7</f>
        <v>1016292.6166459734</v>
      </c>
      <c r="AK9" s="346">
        <f t="shared" ref="AK9:AL9" si="18">$O$9/$L$9*7</f>
        <v>1016292.6166459734</v>
      </c>
      <c r="AL9" s="346">
        <f t="shared" si="18"/>
        <v>1016292.6166459734</v>
      </c>
      <c r="AN9" s="346">
        <f>AJ9*$Q$9</f>
        <v>0</v>
      </c>
      <c r="AO9" s="346">
        <f t="shared" ref="AO9:AP9" si="19">AK9*$Q$9</f>
        <v>0</v>
      </c>
      <c r="AP9" s="346">
        <f t="shared" si="19"/>
        <v>0</v>
      </c>
    </row>
    <row r="10" spans="2:42" ht="18.649999999999999" customHeight="1" x14ac:dyDescent="0.35">
      <c r="B10" s="292" t="s">
        <v>92</v>
      </c>
      <c r="C10" s="293" t="s">
        <v>93</v>
      </c>
      <c r="D10" s="295" t="s">
        <v>86</v>
      </c>
      <c r="E10" s="295" t="s">
        <v>45</v>
      </c>
      <c r="F10" s="295" t="s">
        <v>87</v>
      </c>
      <c r="G10" s="296" t="s">
        <v>50</v>
      </c>
      <c r="H10" s="296" t="s">
        <v>95</v>
      </c>
      <c r="I10" s="296" t="s">
        <v>573</v>
      </c>
      <c r="J10" s="551" t="s">
        <v>96</v>
      </c>
      <c r="K10" s="295" t="s">
        <v>89</v>
      </c>
      <c r="L10" s="298">
        <f t="shared" si="14"/>
        <v>21</v>
      </c>
      <c r="M10" s="299">
        <v>45460</v>
      </c>
      <c r="N10" s="299">
        <v>45480</v>
      </c>
      <c r="O10" s="298">
        <f t="shared" si="15"/>
        <v>12290710.67224</v>
      </c>
      <c r="P10" s="300" t="s">
        <v>17</v>
      </c>
      <c r="Q10" s="301"/>
      <c r="R10" s="298"/>
      <c r="S10" s="302">
        <v>0.8</v>
      </c>
      <c r="T10" s="303">
        <f t="shared" si="16"/>
        <v>9832568.5377920009</v>
      </c>
      <c r="U10" s="298">
        <f>AB10*AC10</f>
        <v>2458142.1344480002</v>
      </c>
      <c r="V10" s="298">
        <v>5</v>
      </c>
      <c r="W10" s="298"/>
      <c r="X10" s="304">
        <v>150</v>
      </c>
      <c r="Y10" s="305">
        <f t="shared" si="17"/>
        <v>1843606.6008359999</v>
      </c>
      <c r="Z10" s="305">
        <f t="shared" si="2"/>
        <v>150</v>
      </c>
      <c r="AA10" s="305"/>
      <c r="AB10" s="306">
        <v>2693600</v>
      </c>
      <c r="AC10" s="307">
        <v>0.91258618000000002</v>
      </c>
      <c r="AF10" s="261">
        <v>0.748</v>
      </c>
      <c r="AH10" s="291"/>
      <c r="AJ10" s="346">
        <f>$O$10/$L$10*7</f>
        <v>4096903.5574133336</v>
      </c>
      <c r="AK10" s="346">
        <f t="shared" ref="AK10:AL10" si="20">$O$10/$L$10*7</f>
        <v>4096903.5574133336</v>
      </c>
      <c r="AL10" s="346">
        <f t="shared" si="20"/>
        <v>4096903.5574133336</v>
      </c>
      <c r="AN10" s="346">
        <f>AJ10*$Q$10</f>
        <v>0</v>
      </c>
      <c r="AO10" s="566">
        <f t="shared" ref="AO10:AP10" si="21">AK10*$Q$10</f>
        <v>0</v>
      </c>
      <c r="AP10" s="346">
        <f t="shared" si="21"/>
        <v>0</v>
      </c>
    </row>
    <row r="11" spans="2:42" ht="18.649999999999999" customHeight="1" x14ac:dyDescent="0.35">
      <c r="B11" s="292" t="s">
        <v>92</v>
      </c>
      <c r="C11" s="293" t="s">
        <v>97</v>
      </c>
      <c r="D11" s="264" t="s">
        <v>561</v>
      </c>
      <c r="E11" s="264" t="s">
        <v>45</v>
      </c>
      <c r="F11" s="263" t="s">
        <v>87</v>
      </c>
      <c r="G11" s="263" t="s">
        <v>98</v>
      </c>
      <c r="H11" s="265" t="s">
        <v>90</v>
      </c>
      <c r="I11" s="265" t="s">
        <v>574</v>
      </c>
      <c r="J11" s="552" t="s">
        <v>96</v>
      </c>
      <c r="K11" s="263" t="s">
        <v>89</v>
      </c>
      <c r="L11" s="266">
        <f t="shared" si="14"/>
        <v>21</v>
      </c>
      <c r="M11" s="267">
        <v>45460</v>
      </c>
      <c r="N11" s="267">
        <v>45480</v>
      </c>
      <c r="O11" s="266">
        <f t="shared" si="15"/>
        <v>1780756.3758075</v>
      </c>
      <c r="P11" s="268" t="s">
        <v>17</v>
      </c>
      <c r="Q11" s="269">
        <v>1E-3</v>
      </c>
      <c r="R11" s="266">
        <f t="shared" ref="R11:R12" si="22">O11*Q11</f>
        <v>1780.7563758075</v>
      </c>
      <c r="S11" s="270">
        <v>0.8</v>
      </c>
      <c r="T11" s="271">
        <f>O11*S11</f>
        <v>1424605.1006460001</v>
      </c>
      <c r="U11" s="266">
        <f t="shared" ref="U11:U12" si="23">AB11*AC11</f>
        <v>1780756.3758075</v>
      </c>
      <c r="V11" s="266">
        <v>1</v>
      </c>
      <c r="W11" s="266"/>
      <c r="X11" s="272">
        <v>70</v>
      </c>
      <c r="Y11" s="273">
        <f t="shared" si="17"/>
        <v>124652.946306525</v>
      </c>
      <c r="Z11" s="273">
        <f t="shared" si="2"/>
        <v>70</v>
      </c>
      <c r="AA11" s="273">
        <f t="shared" ref="AA11:AA27" si="24">Y11/R11</f>
        <v>70</v>
      </c>
      <c r="AB11" s="274">
        <f>3434340 *85%</f>
        <v>2919189</v>
      </c>
      <c r="AC11" s="275">
        <v>0.61001749999999999</v>
      </c>
      <c r="AE11" s="260"/>
      <c r="AF11" s="261">
        <v>0.70400000000000007</v>
      </c>
      <c r="AG11" s="260"/>
      <c r="AH11" s="291"/>
      <c r="AJ11" s="346">
        <f>$O11/$L11*7</f>
        <v>593585.45860249992</v>
      </c>
      <c r="AK11" s="346">
        <f t="shared" ref="AK11:AL28" si="25">$O11/$L11*7</f>
        <v>593585.45860249992</v>
      </c>
      <c r="AL11" s="346">
        <f t="shared" si="25"/>
        <v>593585.45860249992</v>
      </c>
      <c r="AN11" s="346">
        <f>AJ11*$Q$11</f>
        <v>593.5854586024999</v>
      </c>
      <c r="AO11" s="566">
        <f t="shared" ref="AO11:AP11" si="26">AK11*$Q$11</f>
        <v>593.5854586024999</v>
      </c>
      <c r="AP11" s="346">
        <f t="shared" si="26"/>
        <v>593.5854586024999</v>
      </c>
    </row>
    <row r="12" spans="2:42" ht="18.649999999999999" customHeight="1" x14ac:dyDescent="0.35">
      <c r="B12" s="292" t="s">
        <v>92</v>
      </c>
      <c r="C12" s="293" t="s">
        <v>97</v>
      </c>
      <c r="D12" s="264" t="s">
        <v>86</v>
      </c>
      <c r="E12" s="264" t="s">
        <v>45</v>
      </c>
      <c r="F12" s="263" t="s">
        <v>87</v>
      </c>
      <c r="G12" s="263" t="s">
        <v>98</v>
      </c>
      <c r="H12" s="265" t="s">
        <v>90</v>
      </c>
      <c r="I12" s="265" t="s">
        <v>571</v>
      </c>
      <c r="J12" s="552" t="s">
        <v>96</v>
      </c>
      <c r="K12" s="263" t="s">
        <v>89</v>
      </c>
      <c r="L12" s="266">
        <f t="shared" si="14"/>
        <v>21</v>
      </c>
      <c r="M12" s="267">
        <v>45460</v>
      </c>
      <c r="N12" s="267">
        <v>45480</v>
      </c>
      <c r="O12" s="266">
        <f t="shared" si="15"/>
        <v>2618759.3761875001</v>
      </c>
      <c r="P12" s="268" t="s">
        <v>17</v>
      </c>
      <c r="Q12" s="269">
        <v>1E-3</v>
      </c>
      <c r="R12" s="266">
        <f t="shared" si="22"/>
        <v>2618.7593761875</v>
      </c>
      <c r="S12" s="270">
        <v>0.8</v>
      </c>
      <c r="T12" s="271">
        <f>O12*S12</f>
        <v>2095007.5009500002</v>
      </c>
      <c r="U12" s="266">
        <f t="shared" si="23"/>
        <v>2095007.50095</v>
      </c>
      <c r="V12" s="266">
        <v>1.25</v>
      </c>
      <c r="W12" s="266"/>
      <c r="X12" s="272">
        <v>110</v>
      </c>
      <c r="Y12" s="273">
        <f t="shared" si="17"/>
        <v>288063.53138062498</v>
      </c>
      <c r="Z12" s="273">
        <f t="shared" si="2"/>
        <v>109.99999999999999</v>
      </c>
      <c r="AA12" s="273">
        <f t="shared" si="24"/>
        <v>109.99999999999999</v>
      </c>
      <c r="AB12" s="274">
        <f>4906200*70%</f>
        <v>3434340</v>
      </c>
      <c r="AC12" s="275">
        <v>0.61001749999999999</v>
      </c>
      <c r="AE12" s="260"/>
      <c r="AF12" s="261">
        <v>0.70400000000000007</v>
      </c>
      <c r="AG12" s="260"/>
      <c r="AH12" s="458"/>
      <c r="AI12" s="459"/>
      <c r="AJ12" s="346">
        <f t="shared" ref="AJ12:AJ18" si="27">$O12/$L12*7</f>
        <v>872919.79206250003</v>
      </c>
      <c r="AK12" s="346">
        <f t="shared" si="25"/>
        <v>872919.79206250003</v>
      </c>
      <c r="AL12" s="346">
        <f t="shared" si="25"/>
        <v>872919.79206250003</v>
      </c>
      <c r="AN12" s="346">
        <f>AJ12*$Q$12</f>
        <v>872.91979206250005</v>
      </c>
      <c r="AO12" s="566">
        <f t="shared" ref="AO12:AP12" si="28">AK12*$Q$12</f>
        <v>872.91979206250005</v>
      </c>
      <c r="AP12" s="346">
        <f t="shared" si="28"/>
        <v>872.91979206250005</v>
      </c>
    </row>
    <row r="13" spans="2:42" ht="18.649999999999999" customHeight="1" x14ac:dyDescent="0.35">
      <c r="B13" s="292" t="s">
        <v>92</v>
      </c>
      <c r="C13" s="293" t="s">
        <v>97</v>
      </c>
      <c r="D13" s="263" t="s">
        <v>99</v>
      </c>
      <c r="E13" s="263" t="s">
        <v>46</v>
      </c>
      <c r="F13" s="263" t="s">
        <v>100</v>
      </c>
      <c r="G13" s="263" t="s">
        <v>101</v>
      </c>
      <c r="H13" s="265" t="s">
        <v>88</v>
      </c>
      <c r="I13" s="265" t="s">
        <v>102</v>
      </c>
      <c r="J13" s="553" t="s">
        <v>96</v>
      </c>
      <c r="K13" s="263" t="s">
        <v>89</v>
      </c>
      <c r="L13" s="266">
        <f t="shared" si="14"/>
        <v>21</v>
      </c>
      <c r="M13" s="267">
        <v>45460</v>
      </c>
      <c r="N13" s="267">
        <v>45480</v>
      </c>
      <c r="O13" s="266">
        <f t="shared" si="15"/>
        <v>759243.28838928568</v>
      </c>
      <c r="P13" s="268" t="s">
        <v>17</v>
      </c>
      <c r="Q13" s="269">
        <v>1.4999999999999999E-2</v>
      </c>
      <c r="R13" s="266">
        <f>O13*Q13</f>
        <v>11388.649325839284</v>
      </c>
      <c r="S13" s="268" t="s">
        <v>17</v>
      </c>
      <c r="T13" s="271" t="s">
        <v>17</v>
      </c>
      <c r="U13" s="266">
        <f>AB13*AC13</f>
        <v>893227.39810504194</v>
      </c>
      <c r="V13" s="266">
        <v>0.85</v>
      </c>
      <c r="W13" s="266"/>
      <c r="X13" s="272">
        <v>105</v>
      </c>
      <c r="Y13" s="273">
        <f t="shared" si="17"/>
        <v>79720.545280874998</v>
      </c>
      <c r="Z13" s="273">
        <f t="shared" si="2"/>
        <v>105</v>
      </c>
      <c r="AA13" s="273">
        <f t="shared" si="24"/>
        <v>7.0000000000000009</v>
      </c>
      <c r="AB13" s="274">
        <f>AB11*95%</f>
        <v>2773229.55</v>
      </c>
      <c r="AC13" s="275">
        <v>0.32208924</v>
      </c>
      <c r="AE13" s="260"/>
      <c r="AF13" s="261">
        <v>0.26400000000000001</v>
      </c>
      <c r="AG13" s="260"/>
      <c r="AH13" s="291"/>
      <c r="AI13" s="459"/>
      <c r="AJ13" s="346">
        <f t="shared" si="27"/>
        <v>253081.09612976189</v>
      </c>
      <c r="AK13" s="346">
        <f t="shared" si="25"/>
        <v>253081.09612976189</v>
      </c>
      <c r="AL13" s="346">
        <f t="shared" si="25"/>
        <v>253081.09612976189</v>
      </c>
      <c r="AN13" s="346">
        <f>AJ13*$Q$13</f>
        <v>3796.2164419464284</v>
      </c>
      <c r="AO13" s="566">
        <f t="shared" ref="AO13:AP13" si="29">AK13*$Q$13</f>
        <v>3796.2164419464284</v>
      </c>
      <c r="AP13" s="346">
        <f t="shared" si="29"/>
        <v>3796.2164419464284</v>
      </c>
    </row>
    <row r="14" spans="2:42" ht="18.649999999999999" customHeight="1" x14ac:dyDescent="0.35">
      <c r="B14" s="292" t="s">
        <v>92</v>
      </c>
      <c r="C14" s="293" t="s">
        <v>97</v>
      </c>
      <c r="D14" s="310" t="s">
        <v>103</v>
      </c>
      <c r="E14" s="263" t="s">
        <v>46</v>
      </c>
      <c r="F14" s="310" t="s">
        <v>100</v>
      </c>
      <c r="G14" s="263" t="s">
        <v>98</v>
      </c>
      <c r="H14" s="265" t="s">
        <v>88</v>
      </c>
      <c r="I14" s="265" t="s">
        <v>104</v>
      </c>
      <c r="J14" s="553" t="s">
        <v>96</v>
      </c>
      <c r="K14" s="263" t="s">
        <v>105</v>
      </c>
      <c r="L14" s="266">
        <f t="shared" si="14"/>
        <v>21</v>
      </c>
      <c r="M14" s="267">
        <v>45460</v>
      </c>
      <c r="N14" s="267">
        <v>45480</v>
      </c>
      <c r="O14" s="266">
        <f t="shared" si="15"/>
        <v>1268928.7249285898</v>
      </c>
      <c r="P14" s="268" t="s">
        <v>17</v>
      </c>
      <c r="Q14" s="269">
        <v>1.4999999999999999E-2</v>
      </c>
      <c r="R14" s="266">
        <f>O14*Q14</f>
        <v>19033.930873928846</v>
      </c>
      <c r="S14" s="268" t="s">
        <v>17</v>
      </c>
      <c r="T14" s="271" t="s">
        <v>17</v>
      </c>
      <c r="U14" s="266">
        <f>AB14*AC14</f>
        <v>1492857.3234453998</v>
      </c>
      <c r="V14" s="266">
        <v>0.85</v>
      </c>
      <c r="W14" s="266"/>
      <c r="X14" s="272">
        <v>120</v>
      </c>
      <c r="Y14" s="273">
        <f t="shared" si="17"/>
        <v>152271.44699143077</v>
      </c>
      <c r="Z14" s="273">
        <f t="shared" si="2"/>
        <v>120</v>
      </c>
      <c r="AA14" s="273">
        <f t="shared" si="24"/>
        <v>8</v>
      </c>
      <c r="AB14" s="274">
        <v>2780951</v>
      </c>
      <c r="AC14" s="275">
        <v>0.53681539999999994</v>
      </c>
      <c r="AE14" s="260"/>
      <c r="AF14" s="261">
        <v>0.44</v>
      </c>
      <c r="AG14" s="260"/>
      <c r="AH14" s="291"/>
      <c r="AJ14" s="346">
        <f t="shared" si="27"/>
        <v>422976.24164286326</v>
      </c>
      <c r="AK14" s="346">
        <f t="shared" si="25"/>
        <v>422976.24164286326</v>
      </c>
      <c r="AL14" s="346">
        <f t="shared" si="25"/>
        <v>422976.24164286326</v>
      </c>
      <c r="AN14" s="346">
        <f>AJ14*$Q$14</f>
        <v>6344.6436246429485</v>
      </c>
      <c r="AO14" s="566">
        <f t="shared" ref="AO14:AP14" si="30">AK14*$Q$14</f>
        <v>6344.6436246429485</v>
      </c>
      <c r="AP14" s="346">
        <f t="shared" si="30"/>
        <v>6344.6436246429485</v>
      </c>
    </row>
    <row r="15" spans="2:42" ht="18.649999999999999" customHeight="1" x14ac:dyDescent="0.35">
      <c r="B15" s="292" t="s">
        <v>92</v>
      </c>
      <c r="C15" s="293" t="s">
        <v>97</v>
      </c>
      <c r="D15" s="310" t="s">
        <v>106</v>
      </c>
      <c r="E15" s="311" t="s">
        <v>46</v>
      </c>
      <c r="F15" s="311" t="s">
        <v>91</v>
      </c>
      <c r="G15" s="263" t="s">
        <v>98</v>
      </c>
      <c r="H15" s="310" t="s">
        <v>88</v>
      </c>
      <c r="I15" s="263" t="s">
        <v>107</v>
      </c>
      <c r="J15" s="553" t="s">
        <v>96</v>
      </c>
      <c r="K15" s="263" t="s">
        <v>89</v>
      </c>
      <c r="L15" s="266">
        <f t="shared" si="14"/>
        <v>21</v>
      </c>
      <c r="M15" s="267">
        <v>45460</v>
      </c>
      <c r="N15" s="267">
        <v>45480</v>
      </c>
      <c r="O15" s="266">
        <f t="shared" si="15"/>
        <v>198714.08929849401</v>
      </c>
      <c r="P15" s="268" t="s">
        <v>17</v>
      </c>
      <c r="Q15" s="312">
        <v>0.01</v>
      </c>
      <c r="R15" s="266">
        <f t="shared" ref="R15:R16" si="31">O15*Q15</f>
        <v>1987.1408929849401</v>
      </c>
      <c r="S15" s="268" t="s">
        <v>17</v>
      </c>
      <c r="T15" s="271" t="s">
        <v>17</v>
      </c>
      <c r="U15" s="266">
        <f t="shared" ref="U15" si="32">AB15*AC15</f>
        <v>233781.28152764004</v>
      </c>
      <c r="V15" s="266">
        <v>0.85</v>
      </c>
      <c r="W15" s="266"/>
      <c r="X15" s="272">
        <v>200</v>
      </c>
      <c r="Y15" s="273">
        <f>O15*X15/1000</f>
        <v>39742.8178596988</v>
      </c>
      <c r="Z15" s="273">
        <f t="shared" si="2"/>
        <v>199.99999999999997</v>
      </c>
      <c r="AA15" s="273">
        <f t="shared" si="24"/>
        <v>20</v>
      </c>
      <c r="AB15" s="274">
        <v>989765</v>
      </c>
      <c r="AC15" s="275">
        <v>0.23619877600000003</v>
      </c>
      <c r="AE15" s="260"/>
      <c r="AF15" s="261">
        <v>0.17600000000000002</v>
      </c>
      <c r="AG15" s="260"/>
      <c r="AH15" s="562"/>
      <c r="AJ15" s="346">
        <f t="shared" si="27"/>
        <v>66238.029766164676</v>
      </c>
      <c r="AK15" s="346">
        <f t="shared" si="25"/>
        <v>66238.029766164676</v>
      </c>
      <c r="AL15" s="346">
        <f t="shared" si="25"/>
        <v>66238.029766164676</v>
      </c>
      <c r="AN15" s="346">
        <f>AJ15*$Q$15</f>
        <v>662.38029766164675</v>
      </c>
      <c r="AO15" s="566">
        <f t="shared" ref="AO15:AP15" si="33">AK15*$Q$15</f>
        <v>662.38029766164675</v>
      </c>
      <c r="AP15" s="346">
        <f t="shared" si="33"/>
        <v>662.38029766164675</v>
      </c>
    </row>
    <row r="16" spans="2:42" ht="18.649999999999999" customHeight="1" x14ac:dyDescent="0.35">
      <c r="B16" s="292" t="s">
        <v>112</v>
      </c>
      <c r="C16" s="293" t="s">
        <v>97</v>
      </c>
      <c r="D16" s="310" t="s">
        <v>588</v>
      </c>
      <c r="E16" s="263" t="s">
        <v>46</v>
      </c>
      <c r="F16" s="310" t="s">
        <v>589</v>
      </c>
      <c r="G16" s="263" t="s">
        <v>98</v>
      </c>
      <c r="H16" s="265" t="s">
        <v>88</v>
      </c>
      <c r="I16" s="265" t="s">
        <v>590</v>
      </c>
      <c r="J16" s="553" t="s">
        <v>591</v>
      </c>
      <c r="K16" s="263" t="s">
        <v>592</v>
      </c>
      <c r="L16" s="266">
        <f t="shared" si="14"/>
        <v>21</v>
      </c>
      <c r="M16" s="267">
        <v>45460</v>
      </c>
      <c r="N16" s="267">
        <v>45480</v>
      </c>
      <c r="O16" s="266">
        <f>U16*3</f>
        <v>472162.74000000005</v>
      </c>
      <c r="P16" s="268" t="s">
        <v>17</v>
      </c>
      <c r="Q16" s="269">
        <v>1.4999999999999999E-2</v>
      </c>
      <c r="R16" s="266">
        <f t="shared" si="31"/>
        <v>7082.4411000000009</v>
      </c>
      <c r="S16" s="268" t="s">
        <v>17</v>
      </c>
      <c r="T16" s="271" t="s">
        <v>17</v>
      </c>
      <c r="U16" s="266">
        <f>AB16*AC16</f>
        <v>157387.58000000002</v>
      </c>
      <c r="V16" s="266">
        <f>O16/U16</f>
        <v>3</v>
      </c>
      <c r="W16" s="266"/>
      <c r="X16" s="272">
        <v>2</v>
      </c>
      <c r="Y16" s="273">
        <f>O16/3*X16</f>
        <v>314775.16000000003</v>
      </c>
      <c r="Z16" s="273">
        <f t="shared" si="2"/>
        <v>666.66666666666663</v>
      </c>
      <c r="AA16" s="273">
        <f t="shared" si="24"/>
        <v>44.444444444444443</v>
      </c>
      <c r="AB16" s="274">
        <v>2248394</v>
      </c>
      <c r="AC16" s="275">
        <v>7.0000000000000007E-2</v>
      </c>
      <c r="AE16" s="260"/>
      <c r="AF16" s="261">
        <v>0.26400000000000001</v>
      </c>
      <c r="AG16" s="260"/>
      <c r="AJ16" s="346">
        <f t="shared" si="27"/>
        <v>157387.58000000002</v>
      </c>
      <c r="AK16" s="346">
        <f t="shared" si="25"/>
        <v>157387.58000000002</v>
      </c>
      <c r="AL16" s="346">
        <f t="shared" si="25"/>
        <v>157387.58000000002</v>
      </c>
      <c r="AN16" s="346">
        <f>AJ16*$Q$16</f>
        <v>2360.8137000000002</v>
      </c>
      <c r="AO16" s="566">
        <f t="shared" ref="AO16:AP16" si="34">AK16*$Q$16</f>
        <v>2360.8137000000002</v>
      </c>
      <c r="AP16" s="346">
        <f t="shared" si="34"/>
        <v>2360.8137000000002</v>
      </c>
    </row>
    <row r="17" spans="2:42" ht="17.5" customHeight="1" x14ac:dyDescent="0.35">
      <c r="B17" s="292" t="s">
        <v>92</v>
      </c>
      <c r="C17" s="293" t="s">
        <v>97</v>
      </c>
      <c r="D17" s="310" t="s">
        <v>109</v>
      </c>
      <c r="E17" s="263" t="s">
        <v>46</v>
      </c>
      <c r="F17" s="310" t="s">
        <v>100</v>
      </c>
      <c r="G17" s="263" t="s">
        <v>98</v>
      </c>
      <c r="H17" s="265" t="s">
        <v>88</v>
      </c>
      <c r="I17" s="265" t="s">
        <v>110</v>
      </c>
      <c r="J17" s="553" t="s">
        <v>96</v>
      </c>
      <c r="K17" s="263" t="s">
        <v>111</v>
      </c>
      <c r="L17" s="266">
        <f t="shared" si="14"/>
        <v>21</v>
      </c>
      <c r="M17" s="267">
        <v>45460</v>
      </c>
      <c r="N17" s="267">
        <v>45480</v>
      </c>
      <c r="O17" s="266">
        <f t="shared" si="15"/>
        <v>2620840.1458800002</v>
      </c>
      <c r="P17" s="268" t="s">
        <v>17</v>
      </c>
      <c r="Q17" s="269">
        <v>0.02</v>
      </c>
      <c r="R17" s="266">
        <f>O17*Q17</f>
        <v>52416.802917600005</v>
      </c>
      <c r="S17" s="268" t="s">
        <v>17</v>
      </c>
      <c r="T17" s="271" t="s">
        <v>17</v>
      </c>
      <c r="U17" s="266">
        <f>AB17*AC17</f>
        <v>2620840.1458800002</v>
      </c>
      <c r="V17" s="266">
        <v>1</v>
      </c>
      <c r="W17" s="266"/>
      <c r="X17" s="272">
        <v>4.5</v>
      </c>
      <c r="Y17" s="273">
        <f>R17*X17</f>
        <v>235875.61312920004</v>
      </c>
      <c r="Z17" s="273">
        <f t="shared" si="2"/>
        <v>90.000000000000014</v>
      </c>
      <c r="AA17" s="273">
        <f t="shared" si="24"/>
        <v>4.5</v>
      </c>
      <c r="AB17" s="274">
        <f>8137000*50%</f>
        <v>4068500</v>
      </c>
      <c r="AC17" s="275">
        <v>0.64417848</v>
      </c>
      <c r="AE17" s="260"/>
      <c r="AF17" s="261">
        <v>0.52800000000000002</v>
      </c>
      <c r="AG17" s="260"/>
      <c r="AJ17" s="346">
        <f t="shared" si="27"/>
        <v>873613.38196000003</v>
      </c>
      <c r="AK17" s="346">
        <f t="shared" si="25"/>
        <v>873613.38196000003</v>
      </c>
      <c r="AL17" s="346">
        <f t="shared" si="25"/>
        <v>873613.38196000003</v>
      </c>
      <c r="AN17" s="346">
        <f>AJ17*$Q$17</f>
        <v>17472.267639199999</v>
      </c>
      <c r="AO17" s="566">
        <f t="shared" ref="AO17:AP17" si="35">AK17*$Q$17</f>
        <v>17472.267639199999</v>
      </c>
      <c r="AP17" s="346">
        <f t="shared" si="35"/>
        <v>17472.267639199999</v>
      </c>
    </row>
    <row r="18" spans="2:42" ht="18.649999999999999" customHeight="1" x14ac:dyDescent="0.35">
      <c r="B18" s="292" t="s">
        <v>92</v>
      </c>
      <c r="C18" s="293" t="s">
        <v>97</v>
      </c>
      <c r="D18" s="310" t="s">
        <v>600</v>
      </c>
      <c r="E18" s="314" t="s">
        <v>46</v>
      </c>
      <c r="F18" s="311" t="s">
        <v>565</v>
      </c>
      <c r="G18" s="263" t="s">
        <v>101</v>
      </c>
      <c r="H18" s="265" t="s">
        <v>88</v>
      </c>
      <c r="I18" s="265" t="s">
        <v>527</v>
      </c>
      <c r="J18" s="552" t="s">
        <v>566</v>
      </c>
      <c r="K18" s="263" t="s">
        <v>89</v>
      </c>
      <c r="L18" s="266">
        <f t="shared" ref="L18" si="36">N18-M18+1</f>
        <v>13</v>
      </c>
      <c r="M18" s="267">
        <v>45460</v>
      </c>
      <c r="N18" s="267">
        <v>45472</v>
      </c>
      <c r="O18" s="266">
        <f t="shared" si="15"/>
        <v>812409.28</v>
      </c>
      <c r="P18" s="268" t="s">
        <v>17</v>
      </c>
      <c r="Q18" s="315">
        <v>5.0000000000000001E-3</v>
      </c>
      <c r="R18" s="266">
        <f t="shared" ref="R18" si="37">O18*Q18</f>
        <v>4062.0464000000002</v>
      </c>
      <c r="S18" s="268" t="s">
        <v>17</v>
      </c>
      <c r="T18" s="271" t="s">
        <v>17</v>
      </c>
      <c r="U18" s="266">
        <f t="shared" ref="U18" si="38">AB18*AC18</f>
        <v>406204.64</v>
      </c>
      <c r="V18" s="266">
        <v>2</v>
      </c>
      <c r="W18" s="266"/>
      <c r="X18" s="272">
        <v>105</v>
      </c>
      <c r="Y18" s="273">
        <f t="shared" ref="Y18" si="39">O18/1000*X18</f>
        <v>85302.974400000006</v>
      </c>
      <c r="Z18" s="273">
        <f t="shared" si="2"/>
        <v>105.00000000000001</v>
      </c>
      <c r="AA18" s="273">
        <f t="shared" si="24"/>
        <v>21</v>
      </c>
      <c r="AB18" s="274">
        <v>1015511.6</v>
      </c>
      <c r="AC18" s="275">
        <v>0.4</v>
      </c>
      <c r="AE18" s="260"/>
      <c r="AF18" s="261">
        <v>0.78032060075835807</v>
      </c>
      <c r="AG18" s="260"/>
      <c r="AJ18" s="346">
        <f t="shared" si="27"/>
        <v>437451.15076923079</v>
      </c>
      <c r="AK18" s="346">
        <f>$O18/$L18*6</f>
        <v>374958.12923076923</v>
      </c>
      <c r="AL18" s="346"/>
      <c r="AN18" s="346">
        <f>AJ18*$Q$18</f>
        <v>2187.2557538461542</v>
      </c>
      <c r="AO18" s="566">
        <f t="shared" ref="AO18:AP18" si="40">AK18*$Q$18</f>
        <v>1874.7906461538462</v>
      </c>
      <c r="AP18" s="346">
        <f t="shared" si="40"/>
        <v>0</v>
      </c>
    </row>
    <row r="19" spans="2:42" ht="18.649999999999999" customHeight="1" x14ac:dyDescent="0.35">
      <c r="B19" s="292" t="s">
        <v>112</v>
      </c>
      <c r="C19" s="293" t="s">
        <v>97</v>
      </c>
      <c r="D19" s="311" t="s">
        <v>116</v>
      </c>
      <c r="E19" s="263" t="s">
        <v>46</v>
      </c>
      <c r="F19" s="311" t="s">
        <v>114</v>
      </c>
      <c r="G19" s="263" t="s">
        <v>98</v>
      </c>
      <c r="H19" s="265" t="s">
        <v>88</v>
      </c>
      <c r="I19" s="265" t="s">
        <v>115</v>
      </c>
      <c r="J19" s="552" t="s">
        <v>96</v>
      </c>
      <c r="K19" s="263" t="s">
        <v>105</v>
      </c>
      <c r="L19" s="266">
        <f>N19-M19+1</f>
        <v>6</v>
      </c>
      <c r="M19" s="267">
        <v>45471</v>
      </c>
      <c r="N19" s="267">
        <v>45476</v>
      </c>
      <c r="O19" s="266">
        <f>867857/14*6</f>
        <v>371938.71428571432</v>
      </c>
      <c r="P19" s="268" t="s">
        <v>17</v>
      </c>
      <c r="Q19" s="315">
        <v>0.01</v>
      </c>
      <c r="R19" s="266">
        <f>O19*Q19</f>
        <v>3719.3871428571433</v>
      </c>
      <c r="S19" s="268" t="s">
        <v>17</v>
      </c>
      <c r="T19" s="271" t="s">
        <v>17</v>
      </c>
      <c r="U19" s="266">
        <f>O19/V19</f>
        <v>74387.742857142861</v>
      </c>
      <c r="V19" s="266">
        <v>5</v>
      </c>
      <c r="W19" s="266"/>
      <c r="X19" s="272">
        <v>260</v>
      </c>
      <c r="Y19" s="273">
        <f>(O19/1000)*X19</f>
        <v>96704.065714285724</v>
      </c>
      <c r="Z19" s="273">
        <f t="shared" si="2"/>
        <v>260</v>
      </c>
      <c r="AA19" s="273">
        <f t="shared" si="24"/>
        <v>26</v>
      </c>
      <c r="AB19" s="274">
        <v>202500</v>
      </c>
      <c r="AC19" s="275">
        <f>U19/AB19</f>
        <v>0.36734687830687834</v>
      </c>
      <c r="AE19" s="260"/>
      <c r="AF19" s="261">
        <v>0.37714279506172838</v>
      </c>
      <c r="AG19" s="260"/>
      <c r="AJ19" s="346"/>
      <c r="AK19" s="346">
        <f>$O19/$L19*3</f>
        <v>185969.35714285716</v>
      </c>
      <c r="AL19" s="346">
        <f>$O19/$L19*3</f>
        <v>185969.35714285716</v>
      </c>
      <c r="AN19" s="346">
        <f>AJ19*$Q$19</f>
        <v>0</v>
      </c>
      <c r="AO19" s="566">
        <f t="shared" ref="AO19:AP19" si="41">AK19*$Q$19</f>
        <v>1859.6935714285717</v>
      </c>
      <c r="AP19" s="346">
        <f t="shared" si="41"/>
        <v>1859.6935714285717</v>
      </c>
    </row>
    <row r="20" spans="2:42" ht="18.649999999999999" customHeight="1" x14ac:dyDescent="0.35">
      <c r="B20" s="277" t="str">
        <f>B17</f>
        <v>Telengana - Seg A</v>
      </c>
      <c r="C20" s="278"/>
      <c r="D20" s="279" t="s">
        <v>18</v>
      </c>
      <c r="E20" s="280"/>
      <c r="F20" s="279"/>
      <c r="G20" s="280"/>
      <c r="H20" s="280"/>
      <c r="I20" s="281"/>
      <c r="J20" s="546"/>
      <c r="K20" s="283"/>
      <c r="L20" s="284"/>
      <c r="M20" s="284"/>
      <c r="N20" s="284"/>
      <c r="O20" s="284">
        <f>SUM(O9:O19)</f>
        <v>26243341.256955002</v>
      </c>
      <c r="P20" s="284"/>
      <c r="Q20" s="285">
        <f>R20/O20</f>
        <v>3.9663361988107881E-3</v>
      </c>
      <c r="R20" s="284">
        <f>SUM(R9:R19)</f>
        <v>104089.91440520523</v>
      </c>
      <c r="S20" s="286"/>
      <c r="T20" s="316">
        <f>SUM(T9:T19)</f>
        <v>15943727.311835233</v>
      </c>
      <c r="U20" s="284">
        <f>U17+(SUM(U9:U12,U13:U16,U18:U19)*10%)</f>
        <v>3656237.2898425208</v>
      </c>
      <c r="V20" s="284">
        <f>O20/U20</f>
        <v>7.1776909364887906</v>
      </c>
      <c r="W20" s="284"/>
      <c r="X20" s="287"/>
      <c r="Y20" s="317">
        <f>SUM(Y9:Y19)</f>
        <v>3779024.936388087</v>
      </c>
      <c r="Z20" s="288">
        <f t="shared" si="2"/>
        <v>143.99938252476031</v>
      </c>
      <c r="AA20" s="288">
        <f t="shared" si="24"/>
        <v>36.305389988860526</v>
      </c>
      <c r="AB20" s="284">
        <f>AB17+(SUM(AB9:AB16,AB18:AB19)*2%)</f>
        <v>4467398.2429999998</v>
      </c>
      <c r="AC20" s="289">
        <f>U20/AB20</f>
        <v>0.8184265406764456</v>
      </c>
      <c r="AD20" s="261"/>
      <c r="AE20" s="290"/>
      <c r="AF20" s="261">
        <v>0.73916175187177169</v>
      </c>
      <c r="AG20" s="290"/>
    </row>
    <row r="21" spans="2:42" ht="18.649999999999999" customHeight="1" x14ac:dyDescent="0.35">
      <c r="B21" s="292" t="s">
        <v>117</v>
      </c>
      <c r="C21" s="293" t="s">
        <v>97</v>
      </c>
      <c r="D21" s="264" t="s">
        <v>544</v>
      </c>
      <c r="E21" s="264" t="s">
        <v>45</v>
      </c>
      <c r="F21" s="263" t="s">
        <v>87</v>
      </c>
      <c r="G21" s="263" t="s">
        <v>101</v>
      </c>
      <c r="H21" s="265" t="s">
        <v>95</v>
      </c>
      <c r="I21" s="265" t="s">
        <v>572</v>
      </c>
      <c r="J21" s="552" t="s">
        <v>96</v>
      </c>
      <c r="K21" s="263" t="s">
        <v>89</v>
      </c>
      <c r="L21" s="266">
        <f t="shared" ref="L21:L26" si="42">N21-(M21-1)</f>
        <v>21</v>
      </c>
      <c r="M21" s="267">
        <v>45460</v>
      </c>
      <c r="N21" s="267">
        <v>45480</v>
      </c>
      <c r="O21" s="266">
        <f t="shared" ref="O21:O25" si="43">U21*V21</f>
        <v>4528740.6391599998</v>
      </c>
      <c r="P21" s="268" t="s">
        <v>17</v>
      </c>
      <c r="Q21" s="269">
        <v>2E-3</v>
      </c>
      <c r="R21" s="266">
        <f t="shared" ref="R21:R22" si="44">O21*Q21</f>
        <v>9057.4812783199995</v>
      </c>
      <c r="S21" s="318">
        <v>0.85</v>
      </c>
      <c r="T21" s="319">
        <f t="shared" ref="T21:T22" si="45">O21*S21</f>
        <v>3849429.5432859999</v>
      </c>
      <c r="U21" s="266">
        <f t="shared" ref="U21:U22" si="46">AB21*AC21</f>
        <v>2264370.3195799999</v>
      </c>
      <c r="V21" s="266">
        <v>2</v>
      </c>
      <c r="W21" s="266"/>
      <c r="X21" s="272">
        <v>125</v>
      </c>
      <c r="Y21" s="273">
        <f>(O21/1000)*X21</f>
        <v>566092.57989499997</v>
      </c>
      <c r="Z21" s="273">
        <f t="shared" si="2"/>
        <v>125</v>
      </c>
      <c r="AA21" s="273">
        <f t="shared" si="24"/>
        <v>62.5</v>
      </c>
      <c r="AB21" s="274">
        <f>1855988*2</f>
        <v>3711976</v>
      </c>
      <c r="AC21" s="275">
        <v>0.61001749999999999</v>
      </c>
      <c r="AD21" s="261"/>
      <c r="AE21" s="260"/>
      <c r="AF21" s="261">
        <v>0.70400000000000007</v>
      </c>
      <c r="AG21" s="260"/>
      <c r="AH21" s="458"/>
      <c r="AI21" s="459"/>
      <c r="AJ21" s="346">
        <f>$O21/$L21*7</f>
        <v>1509580.2130533331</v>
      </c>
      <c r="AK21" s="346">
        <f t="shared" si="25"/>
        <v>1509580.2130533331</v>
      </c>
      <c r="AL21" s="346">
        <f t="shared" si="25"/>
        <v>1509580.2130533331</v>
      </c>
      <c r="AN21" s="346">
        <f>$R21/$L21*7</f>
        <v>3019.1604261066664</v>
      </c>
      <c r="AO21" s="346">
        <f t="shared" ref="AO21:AP26" si="47">$R21/$L21*7</f>
        <v>3019.1604261066664</v>
      </c>
      <c r="AP21" s="346">
        <f t="shared" si="47"/>
        <v>3019.1604261066664</v>
      </c>
    </row>
    <row r="22" spans="2:42" ht="19.5" customHeight="1" x14ac:dyDescent="0.35">
      <c r="B22" s="292" t="s">
        <v>117</v>
      </c>
      <c r="C22" s="293" t="s">
        <v>97</v>
      </c>
      <c r="D22" s="263" t="s">
        <v>86</v>
      </c>
      <c r="E22" s="263" t="s">
        <v>45</v>
      </c>
      <c r="F22" s="263" t="s">
        <v>87</v>
      </c>
      <c r="G22" s="263" t="s">
        <v>101</v>
      </c>
      <c r="H22" s="265" t="s">
        <v>95</v>
      </c>
      <c r="I22" s="265" t="s">
        <v>571</v>
      </c>
      <c r="J22" s="552" t="s">
        <v>96</v>
      </c>
      <c r="K22" s="263" t="s">
        <v>89</v>
      </c>
      <c r="L22" s="266">
        <f t="shared" si="42"/>
        <v>21</v>
      </c>
      <c r="M22" s="267">
        <v>45460</v>
      </c>
      <c r="N22" s="267">
        <v>45480</v>
      </c>
      <c r="O22" s="266">
        <f t="shared" si="43"/>
        <v>21539132.308199998</v>
      </c>
      <c r="P22" s="268" t="s">
        <v>17</v>
      </c>
      <c r="Q22" s="269">
        <v>1E-3</v>
      </c>
      <c r="R22" s="266">
        <f t="shared" si="44"/>
        <v>21539.132308199998</v>
      </c>
      <c r="S22" s="318">
        <v>0.8</v>
      </c>
      <c r="T22" s="319">
        <f t="shared" si="45"/>
        <v>17231305.846559998</v>
      </c>
      <c r="U22" s="266">
        <f t="shared" si="46"/>
        <v>7179710.7693999996</v>
      </c>
      <c r="V22" s="266">
        <v>3</v>
      </c>
      <c r="W22" s="266"/>
      <c r="X22" s="272">
        <v>110</v>
      </c>
      <c r="Y22" s="273">
        <f>(O22/1000)*X22</f>
        <v>2369304.5539019997</v>
      </c>
      <c r="Z22" s="273">
        <f t="shared" si="2"/>
        <v>110</v>
      </c>
      <c r="AA22" s="273">
        <f t="shared" si="24"/>
        <v>110</v>
      </c>
      <c r="AB22" s="274">
        <f>5884840*2</f>
        <v>11769680</v>
      </c>
      <c r="AC22" s="275">
        <v>0.61001749999999999</v>
      </c>
      <c r="AF22" s="261">
        <v>0.70400000000000007</v>
      </c>
      <c r="AH22" s="458"/>
      <c r="AI22" s="459"/>
      <c r="AJ22" s="346">
        <f t="shared" ref="AJ22:AJ26" si="48">$O22/$L22*7</f>
        <v>7179710.7693999996</v>
      </c>
      <c r="AK22" s="346">
        <f t="shared" si="25"/>
        <v>7179710.7693999996</v>
      </c>
      <c r="AL22" s="346">
        <f t="shared" si="25"/>
        <v>7179710.7693999996</v>
      </c>
      <c r="AN22" s="346">
        <f t="shared" ref="AN22:AN26" si="49">$R22/$L22*7</f>
        <v>7179.7107693999997</v>
      </c>
      <c r="AO22" s="346">
        <f t="shared" si="47"/>
        <v>7179.7107693999997</v>
      </c>
      <c r="AP22" s="346">
        <f t="shared" si="47"/>
        <v>7179.7107693999997</v>
      </c>
    </row>
    <row r="23" spans="2:42" ht="18.649999999999999" customHeight="1" x14ac:dyDescent="0.35">
      <c r="B23" s="292" t="s">
        <v>117</v>
      </c>
      <c r="C23" s="293" t="s">
        <v>97</v>
      </c>
      <c r="D23" s="263" t="s">
        <v>99</v>
      </c>
      <c r="E23" s="263" t="s">
        <v>46</v>
      </c>
      <c r="F23" s="263" t="s">
        <v>100</v>
      </c>
      <c r="G23" s="263" t="s">
        <v>101</v>
      </c>
      <c r="H23" s="265" t="s">
        <v>88</v>
      </c>
      <c r="I23" s="265" t="s">
        <v>102</v>
      </c>
      <c r="J23" s="553" t="s">
        <v>96</v>
      </c>
      <c r="K23" s="263" t="s">
        <v>89</v>
      </c>
      <c r="L23" s="266">
        <f t="shared" si="42"/>
        <v>21</v>
      </c>
      <c r="M23" s="267">
        <v>45460</v>
      </c>
      <c r="N23" s="267">
        <v>45480</v>
      </c>
      <c r="O23" s="266">
        <f t="shared" si="43"/>
        <v>3061141.4836413837</v>
      </c>
      <c r="P23" s="268" t="s">
        <v>17</v>
      </c>
      <c r="Q23" s="269">
        <v>1.4999999999999999E-2</v>
      </c>
      <c r="R23" s="266">
        <f>O23*Q23</f>
        <v>45917.122254620757</v>
      </c>
      <c r="S23" s="268" t="s">
        <v>17</v>
      </c>
      <c r="T23" s="271" t="s">
        <v>17</v>
      </c>
      <c r="U23" s="266">
        <f>AB23*AC23</f>
        <v>3601342.92193104</v>
      </c>
      <c r="V23" s="266">
        <v>0.85</v>
      </c>
      <c r="W23" s="266"/>
      <c r="X23" s="272">
        <v>105</v>
      </c>
      <c r="Y23" s="273">
        <f>(O23/1000)*X23</f>
        <v>321419.85578234529</v>
      </c>
      <c r="Z23" s="273">
        <f t="shared" si="2"/>
        <v>105</v>
      </c>
      <c r="AA23" s="273">
        <f t="shared" si="24"/>
        <v>7</v>
      </c>
      <c r="AB23" s="274">
        <f>AB22*95%</f>
        <v>11181196</v>
      </c>
      <c r="AC23" s="275">
        <v>0.32208924</v>
      </c>
      <c r="AE23" s="260"/>
      <c r="AF23" s="261">
        <v>0.26400000000000001</v>
      </c>
      <c r="AG23" s="260"/>
      <c r="AJ23" s="346">
        <f t="shared" si="48"/>
        <v>1020380.4945471279</v>
      </c>
      <c r="AK23" s="346">
        <f t="shared" si="25"/>
        <v>1020380.4945471279</v>
      </c>
      <c r="AL23" s="346">
        <f t="shared" si="25"/>
        <v>1020380.4945471279</v>
      </c>
      <c r="AN23" s="346">
        <f t="shared" si="49"/>
        <v>15305.707418206919</v>
      </c>
      <c r="AO23" s="346">
        <f t="shared" si="47"/>
        <v>15305.707418206919</v>
      </c>
      <c r="AP23" s="346">
        <f t="shared" si="47"/>
        <v>15305.707418206919</v>
      </c>
    </row>
    <row r="24" spans="2:42" ht="18.649999999999999" customHeight="1" x14ac:dyDescent="0.35">
      <c r="B24" s="292" t="s">
        <v>117</v>
      </c>
      <c r="C24" s="293" t="s">
        <v>97</v>
      </c>
      <c r="D24" s="310" t="s">
        <v>103</v>
      </c>
      <c r="E24" s="263" t="s">
        <v>46</v>
      </c>
      <c r="F24" s="310" t="s">
        <v>100</v>
      </c>
      <c r="G24" s="263" t="s">
        <v>98</v>
      </c>
      <c r="H24" s="265" t="s">
        <v>88</v>
      </c>
      <c r="I24" s="265" t="s">
        <v>104</v>
      </c>
      <c r="J24" s="553" t="s">
        <v>96</v>
      </c>
      <c r="K24" s="263" t="s">
        <v>105</v>
      </c>
      <c r="L24" s="266">
        <f t="shared" si="42"/>
        <v>21</v>
      </c>
      <c r="M24" s="267">
        <v>45460</v>
      </c>
      <c r="N24" s="267">
        <v>45480</v>
      </c>
      <c r="O24" s="266">
        <f t="shared" si="43"/>
        <v>3036273.4646070749</v>
      </c>
      <c r="P24" s="268" t="s">
        <v>17</v>
      </c>
      <c r="Q24" s="269">
        <v>1.4999999999999999E-2</v>
      </c>
      <c r="R24" s="266">
        <f>O24*Q24</f>
        <v>45544.101969106123</v>
      </c>
      <c r="S24" s="268" t="s">
        <v>17</v>
      </c>
      <c r="T24" s="271" t="s">
        <v>17</v>
      </c>
      <c r="U24" s="266">
        <f>AB24*AC24</f>
        <v>3572086.4289495</v>
      </c>
      <c r="V24" s="266">
        <v>0.85</v>
      </c>
      <c r="W24" s="266"/>
      <c r="X24" s="272">
        <v>120</v>
      </c>
      <c r="Y24" s="273">
        <f>(O24/1000)*X24</f>
        <v>364352.81575284898</v>
      </c>
      <c r="Z24" s="273">
        <f t="shared" si="2"/>
        <v>120</v>
      </c>
      <c r="AA24" s="273">
        <f t="shared" si="24"/>
        <v>8</v>
      </c>
      <c r="AB24" s="274">
        <f>4182651*2</f>
        <v>8365302</v>
      </c>
      <c r="AC24" s="275">
        <v>0.42701224999999998</v>
      </c>
      <c r="AE24" s="260"/>
      <c r="AF24" s="261">
        <v>0.44</v>
      </c>
      <c r="AG24" s="260"/>
      <c r="AH24" s="320"/>
      <c r="AI24" s="459"/>
      <c r="AJ24" s="346">
        <f t="shared" si="48"/>
        <v>1012091.1548690249</v>
      </c>
      <c r="AK24" s="346">
        <f t="shared" si="25"/>
        <v>1012091.1548690249</v>
      </c>
      <c r="AL24" s="346">
        <f t="shared" si="25"/>
        <v>1012091.1548690249</v>
      </c>
      <c r="AN24" s="346">
        <f t="shared" si="49"/>
        <v>15181.367323035374</v>
      </c>
      <c r="AO24" s="346">
        <f t="shared" si="47"/>
        <v>15181.367323035374</v>
      </c>
      <c r="AP24" s="346">
        <f t="shared" si="47"/>
        <v>15181.367323035374</v>
      </c>
    </row>
    <row r="25" spans="2:42" ht="18.649999999999999" customHeight="1" x14ac:dyDescent="0.35">
      <c r="B25" s="292" t="s">
        <v>117</v>
      </c>
      <c r="C25" s="293" t="s">
        <v>97</v>
      </c>
      <c r="D25" s="310" t="s">
        <v>106</v>
      </c>
      <c r="E25" s="311" t="s">
        <v>46</v>
      </c>
      <c r="F25" s="311" t="s">
        <v>91</v>
      </c>
      <c r="G25" s="263" t="s">
        <v>98</v>
      </c>
      <c r="H25" s="310" t="s">
        <v>88</v>
      </c>
      <c r="I25" s="263" t="s">
        <v>107</v>
      </c>
      <c r="J25" s="553" t="s">
        <v>96</v>
      </c>
      <c r="K25" s="263" t="s">
        <v>89</v>
      </c>
      <c r="L25" s="266">
        <f t="shared" si="42"/>
        <v>21</v>
      </c>
      <c r="M25" s="267">
        <v>45460</v>
      </c>
      <c r="N25" s="267">
        <v>45480</v>
      </c>
      <c r="O25" s="266">
        <f t="shared" si="43"/>
        <v>1656648.9249034242</v>
      </c>
      <c r="P25" s="268" t="s">
        <v>17</v>
      </c>
      <c r="Q25" s="312">
        <v>0.01</v>
      </c>
      <c r="R25" s="266">
        <f t="shared" ref="R25:R26" si="50">O25*Q25</f>
        <v>16566.489249034243</v>
      </c>
      <c r="S25" s="268" t="s">
        <v>17</v>
      </c>
      <c r="T25" s="271" t="s">
        <v>17</v>
      </c>
      <c r="U25" s="266">
        <f>AB25*AC25</f>
        <v>1948998.7351804993</v>
      </c>
      <c r="V25" s="266">
        <v>0.85</v>
      </c>
      <c r="W25" s="266"/>
      <c r="X25" s="272">
        <v>200</v>
      </c>
      <c r="Y25" s="273">
        <f>O25*X25/1000</f>
        <v>331329.78498068481</v>
      </c>
      <c r="Z25" s="273">
        <f t="shared" si="2"/>
        <v>199.99999999999997</v>
      </c>
      <c r="AA25" s="273">
        <f t="shared" si="24"/>
        <v>19.999999999999996</v>
      </c>
      <c r="AB25" s="274">
        <f>6876266*1.2</f>
        <v>8251519.1999999993</v>
      </c>
      <c r="AC25" s="275">
        <v>0.23619877600000003</v>
      </c>
      <c r="AE25" s="260"/>
      <c r="AF25" s="261">
        <v>0.17600000000000002</v>
      </c>
      <c r="AG25" s="260"/>
      <c r="AH25" s="562"/>
      <c r="AJ25" s="346">
        <f t="shared" si="48"/>
        <v>552216.30830114137</v>
      </c>
      <c r="AK25" s="346">
        <f t="shared" si="25"/>
        <v>552216.30830114137</v>
      </c>
      <c r="AL25" s="346">
        <f t="shared" si="25"/>
        <v>552216.30830114137</v>
      </c>
      <c r="AN25" s="346">
        <f t="shared" si="49"/>
        <v>5522.1630830114145</v>
      </c>
      <c r="AO25" s="346">
        <f t="shared" si="47"/>
        <v>5522.1630830114145</v>
      </c>
      <c r="AP25" s="346">
        <f t="shared" si="47"/>
        <v>5522.1630830114145</v>
      </c>
    </row>
    <row r="26" spans="2:42" ht="18.649999999999999" customHeight="1" x14ac:dyDescent="0.35">
      <c r="B26" s="292" t="s">
        <v>117</v>
      </c>
      <c r="C26" s="293" t="s">
        <v>97</v>
      </c>
      <c r="D26" s="314" t="s">
        <v>526</v>
      </c>
      <c r="E26" s="263" t="s">
        <v>46</v>
      </c>
      <c r="F26" s="310" t="s">
        <v>91</v>
      </c>
      <c r="G26" s="263" t="s">
        <v>101</v>
      </c>
      <c r="H26" s="265" t="s">
        <v>88</v>
      </c>
      <c r="I26" s="265" t="s">
        <v>527</v>
      </c>
      <c r="J26" s="552" t="s">
        <v>96</v>
      </c>
      <c r="K26" s="263" t="s">
        <v>89</v>
      </c>
      <c r="L26" s="266">
        <f t="shared" si="42"/>
        <v>21</v>
      </c>
      <c r="M26" s="267">
        <v>45460</v>
      </c>
      <c r="N26" s="267">
        <v>45480</v>
      </c>
      <c r="O26" s="266">
        <f>U26*V26</f>
        <v>3111089.25</v>
      </c>
      <c r="P26" s="268" t="s">
        <v>17</v>
      </c>
      <c r="Q26" s="315">
        <v>4.0000000000000001E-3</v>
      </c>
      <c r="R26" s="266">
        <f t="shared" si="50"/>
        <v>12444.357</v>
      </c>
      <c r="S26" s="268" t="s">
        <v>17</v>
      </c>
      <c r="T26" s="271" t="s">
        <v>17</v>
      </c>
      <c r="U26" s="266">
        <f>AB26*AC26</f>
        <v>3111089.25</v>
      </c>
      <c r="V26" s="266">
        <v>1</v>
      </c>
      <c r="W26" s="266"/>
      <c r="X26" s="272">
        <v>100</v>
      </c>
      <c r="Y26" s="273">
        <f>O26*X26/1000</f>
        <v>311108.92499999999</v>
      </c>
      <c r="Z26" s="273">
        <f t="shared" si="2"/>
        <v>99.999999999999986</v>
      </c>
      <c r="AA26" s="273">
        <f t="shared" si="24"/>
        <v>25</v>
      </c>
      <c r="AB26" s="274">
        <f>5000000*1.7</f>
        <v>8500000</v>
      </c>
      <c r="AC26" s="275">
        <v>0.36601050000000002</v>
      </c>
      <c r="AE26" s="260"/>
      <c r="AF26" s="261">
        <v>0.31798319327731073</v>
      </c>
      <c r="AG26" s="260"/>
      <c r="AJ26" s="346">
        <f t="shared" si="48"/>
        <v>1037029.7499999999</v>
      </c>
      <c r="AK26" s="346">
        <f t="shared" si="25"/>
        <v>1037029.7499999999</v>
      </c>
      <c r="AL26" s="346">
        <f t="shared" si="25"/>
        <v>1037029.7499999999</v>
      </c>
      <c r="AN26" s="346">
        <f t="shared" si="49"/>
        <v>4148.1190000000006</v>
      </c>
      <c r="AO26" s="346">
        <f t="shared" si="47"/>
        <v>4148.1190000000006</v>
      </c>
      <c r="AP26" s="346">
        <f t="shared" si="47"/>
        <v>4148.1190000000006</v>
      </c>
    </row>
    <row r="27" spans="2:42" ht="18.649999999999999" customHeight="1" x14ac:dyDescent="0.35">
      <c r="B27" s="277" t="str">
        <f>B26</f>
        <v>Telengana - Seg B</v>
      </c>
      <c r="C27" s="278"/>
      <c r="D27" s="279" t="s">
        <v>18</v>
      </c>
      <c r="E27" s="280"/>
      <c r="F27" s="279"/>
      <c r="G27" s="280"/>
      <c r="H27" s="280"/>
      <c r="I27" s="281"/>
      <c r="J27" s="546"/>
      <c r="K27" s="283"/>
      <c r="L27" s="284"/>
      <c r="M27" s="284"/>
      <c r="N27" s="284"/>
      <c r="O27" s="284">
        <f>SUM(O21:O26)</f>
        <v>36933026.070511878</v>
      </c>
      <c r="P27" s="284"/>
      <c r="Q27" s="285">
        <f>R27/O27</f>
        <v>4.0903413592718735E-3</v>
      </c>
      <c r="R27" s="284">
        <f>SUM(R21:R26)</f>
        <v>151068.68405928111</v>
      </c>
      <c r="S27" s="286"/>
      <c r="T27" s="316">
        <f>SUM(T21:T26)</f>
        <v>21080735.389845997</v>
      </c>
      <c r="U27" s="284">
        <f>U22+(SUM(U21,U23:U26)*15%)</f>
        <v>9354393.9177461546</v>
      </c>
      <c r="V27" s="284">
        <f>O27/U27</f>
        <v>3.9482008556905535</v>
      </c>
      <c r="W27" s="284"/>
      <c r="X27" s="287"/>
      <c r="Y27" s="317">
        <f>SUM(Y21:Y26)</f>
        <v>4263608.5153128793</v>
      </c>
      <c r="Z27" s="288">
        <f t="shared" si="2"/>
        <v>115.44162417595768</v>
      </c>
      <c r="AA27" s="288">
        <f t="shared" si="24"/>
        <v>28.222980440074462</v>
      </c>
      <c r="AB27" s="284">
        <f>AB22+(SUM(AB21,AB23:AB26)*15%)</f>
        <v>17771178.98</v>
      </c>
      <c r="AC27" s="289">
        <f>U27/AB27</f>
        <v>0.52638004086694279</v>
      </c>
      <c r="AD27" s="261"/>
      <c r="AE27" s="290"/>
      <c r="AF27" s="261">
        <v>0.76430692665383249</v>
      </c>
      <c r="AG27" s="290"/>
    </row>
    <row r="28" spans="2:42" ht="18.649999999999999" customHeight="1" x14ac:dyDescent="0.35">
      <c r="B28" s="292" t="s">
        <v>118</v>
      </c>
      <c r="C28" s="293" t="s">
        <v>93</v>
      </c>
      <c r="D28" s="294" t="s">
        <v>94</v>
      </c>
      <c r="E28" s="294" t="s">
        <v>45</v>
      </c>
      <c r="F28" s="295" t="s">
        <v>87</v>
      </c>
      <c r="G28" s="295" t="s">
        <v>50</v>
      </c>
      <c r="H28" s="296" t="s">
        <v>95</v>
      </c>
      <c r="I28" s="296" t="s">
        <v>572</v>
      </c>
      <c r="J28" s="551" t="s">
        <v>96</v>
      </c>
      <c r="K28" s="295" t="s">
        <v>89</v>
      </c>
      <c r="L28" s="298">
        <f t="shared" ref="L28:L36" si="51">N28-(M28-1)</f>
        <v>21</v>
      </c>
      <c r="M28" s="299">
        <v>45460</v>
      </c>
      <c r="N28" s="299">
        <v>45480</v>
      </c>
      <c r="O28" s="298">
        <f t="shared" ref="O28:O37" si="52">U28*V28</f>
        <v>1796334.636712</v>
      </c>
      <c r="P28" s="300" t="s">
        <v>17</v>
      </c>
      <c r="Q28" s="301"/>
      <c r="R28" s="298"/>
      <c r="S28" s="302">
        <v>0.85</v>
      </c>
      <c r="T28" s="303">
        <f t="shared" ref="T28:T29" si="53">O28*S28</f>
        <v>1526884.4412052</v>
      </c>
      <c r="U28" s="298">
        <f>AB28*AC28</f>
        <v>359266.92734240001</v>
      </c>
      <c r="V28" s="298">
        <v>5</v>
      </c>
      <c r="W28" s="298"/>
      <c r="X28" s="304">
        <v>170</v>
      </c>
      <c r="Y28" s="305">
        <f t="shared" ref="Y28:Y33" si="54">(O28/1000)*X28</f>
        <v>305376.88824104</v>
      </c>
      <c r="Z28" s="305">
        <f t="shared" si="2"/>
        <v>169.99999999999997</v>
      </c>
      <c r="AA28" s="305"/>
      <c r="AB28" s="306">
        <v>418285</v>
      </c>
      <c r="AC28" s="307">
        <v>0.85890464</v>
      </c>
      <c r="AD28" s="261"/>
      <c r="AE28" s="260"/>
      <c r="AF28" s="261">
        <v>0.70400000000000007</v>
      </c>
      <c r="AG28" s="260"/>
      <c r="AH28" s="458"/>
      <c r="AJ28" s="346">
        <f t="shared" ref="AJ28:AL43" si="55">$O28/$L28*7</f>
        <v>598778.21223733341</v>
      </c>
      <c r="AK28" s="346">
        <f t="shared" si="25"/>
        <v>598778.21223733341</v>
      </c>
      <c r="AL28" s="346">
        <f t="shared" si="25"/>
        <v>598778.21223733341</v>
      </c>
      <c r="AN28" s="346">
        <f>$R28/$L28*7</f>
        <v>0</v>
      </c>
      <c r="AO28" s="346">
        <f t="shared" ref="AO28:AP36" si="56">$R28/$L28*7</f>
        <v>0</v>
      </c>
      <c r="AP28" s="346">
        <f t="shared" si="56"/>
        <v>0</v>
      </c>
    </row>
    <row r="29" spans="2:42" ht="18.649999999999999" customHeight="1" x14ac:dyDescent="0.35">
      <c r="B29" s="292" t="s">
        <v>118</v>
      </c>
      <c r="C29" s="293" t="s">
        <v>93</v>
      </c>
      <c r="D29" s="295" t="s">
        <v>86</v>
      </c>
      <c r="E29" s="295" t="s">
        <v>45</v>
      </c>
      <c r="F29" s="295" t="s">
        <v>87</v>
      </c>
      <c r="G29" s="296" t="s">
        <v>50</v>
      </c>
      <c r="H29" s="296" t="s">
        <v>95</v>
      </c>
      <c r="I29" s="296" t="s">
        <v>573</v>
      </c>
      <c r="J29" s="551" t="s">
        <v>96</v>
      </c>
      <c r="K29" s="295" t="s">
        <v>89</v>
      </c>
      <c r="L29" s="298">
        <f t="shared" si="51"/>
        <v>21</v>
      </c>
      <c r="M29" s="299">
        <v>45460</v>
      </c>
      <c r="N29" s="299">
        <v>45480</v>
      </c>
      <c r="O29" s="298">
        <f t="shared" si="52"/>
        <v>9521924.2021200005</v>
      </c>
      <c r="P29" s="300" t="s">
        <v>17</v>
      </c>
      <c r="Q29" s="301"/>
      <c r="R29" s="298"/>
      <c r="S29" s="302">
        <v>0.8</v>
      </c>
      <c r="T29" s="303">
        <f t="shared" si="53"/>
        <v>7617539.3616960011</v>
      </c>
      <c r="U29" s="298">
        <f>AB29*AC29</f>
        <v>1586987.36702</v>
      </c>
      <c r="V29" s="298">
        <v>6</v>
      </c>
      <c r="W29" s="298"/>
      <c r="X29" s="304">
        <v>150</v>
      </c>
      <c r="Y29" s="305">
        <f t="shared" si="54"/>
        <v>1428288.6303180002</v>
      </c>
      <c r="Z29" s="305">
        <f t="shared" si="2"/>
        <v>150.00000000000003</v>
      </c>
      <c r="AA29" s="305"/>
      <c r="AB29" s="306">
        <v>1739000</v>
      </c>
      <c r="AC29" s="307">
        <v>0.91258618000000002</v>
      </c>
      <c r="AF29" s="261">
        <v>0.748</v>
      </c>
      <c r="AH29" s="458"/>
      <c r="AJ29" s="346">
        <f t="shared" si="55"/>
        <v>3173974.73404</v>
      </c>
      <c r="AK29" s="346">
        <f t="shared" si="55"/>
        <v>3173974.73404</v>
      </c>
      <c r="AL29" s="346">
        <f t="shared" si="55"/>
        <v>3173974.73404</v>
      </c>
      <c r="AN29" s="346">
        <f t="shared" ref="AN29:AN37" si="57">$R29/$L29*7</f>
        <v>0</v>
      </c>
      <c r="AO29" s="346">
        <f t="shared" si="56"/>
        <v>0</v>
      </c>
      <c r="AP29" s="346">
        <f t="shared" si="56"/>
        <v>0</v>
      </c>
    </row>
    <row r="30" spans="2:42" ht="18.649999999999999" customHeight="1" x14ac:dyDescent="0.35">
      <c r="B30" s="292" t="s">
        <v>118</v>
      </c>
      <c r="C30" s="293" t="s">
        <v>97</v>
      </c>
      <c r="D30" s="264" t="s">
        <v>561</v>
      </c>
      <c r="E30" s="264" t="s">
        <v>45</v>
      </c>
      <c r="F30" s="263" t="s">
        <v>87</v>
      </c>
      <c r="G30" s="263" t="s">
        <v>98</v>
      </c>
      <c r="H30" s="265" t="s">
        <v>90</v>
      </c>
      <c r="I30" s="265" t="s">
        <v>574</v>
      </c>
      <c r="J30" s="552" t="s">
        <v>96</v>
      </c>
      <c r="K30" s="263" t="s">
        <v>89</v>
      </c>
      <c r="L30" s="266">
        <f t="shared" si="51"/>
        <v>21</v>
      </c>
      <c r="M30" s="267">
        <v>45460</v>
      </c>
      <c r="N30" s="267">
        <v>45480</v>
      </c>
      <c r="O30" s="266">
        <f t="shared" si="52"/>
        <v>2975601.3131625</v>
      </c>
      <c r="P30" s="268" t="s">
        <v>17</v>
      </c>
      <c r="Q30" s="269">
        <v>1E-3</v>
      </c>
      <c r="R30" s="266">
        <f t="shared" ref="R30:R31" si="58">O30*Q30</f>
        <v>2975.6013131625</v>
      </c>
      <c r="S30" s="270">
        <v>0.8</v>
      </c>
      <c r="T30" s="271">
        <f>O30*S30</f>
        <v>2380481.0505300001</v>
      </c>
      <c r="U30" s="266">
        <f t="shared" ref="U30:U31" si="59">AB30*AC30</f>
        <v>1983734.2087749999</v>
      </c>
      <c r="V30" s="266">
        <v>1.5</v>
      </c>
      <c r="W30" s="266"/>
      <c r="X30" s="272">
        <v>70</v>
      </c>
      <c r="Y30" s="273">
        <f t="shared" si="54"/>
        <v>208292.09192137499</v>
      </c>
      <c r="Z30" s="273">
        <f t="shared" si="2"/>
        <v>69.999999999999986</v>
      </c>
      <c r="AA30" s="273">
        <f t="shared" ref="AA30:AA46" si="60">Y30/R30</f>
        <v>70</v>
      </c>
      <c r="AB30" s="274">
        <f>3825800*85%</f>
        <v>3251930</v>
      </c>
      <c r="AC30" s="275">
        <v>0.61001749999999999</v>
      </c>
      <c r="AE30" s="260"/>
      <c r="AF30" s="261">
        <v>0.61599999999999999</v>
      </c>
      <c r="AG30" s="260"/>
      <c r="AH30" s="291"/>
      <c r="AJ30" s="346">
        <f t="shared" si="55"/>
        <v>991867.10438750009</v>
      </c>
      <c r="AK30" s="346">
        <f t="shared" si="55"/>
        <v>991867.10438750009</v>
      </c>
      <c r="AL30" s="346">
        <f t="shared" si="55"/>
        <v>991867.10438750009</v>
      </c>
      <c r="AN30" s="346">
        <f t="shared" si="57"/>
        <v>991.86710438750004</v>
      </c>
      <c r="AO30" s="346">
        <f t="shared" si="56"/>
        <v>991.86710438750004</v>
      </c>
      <c r="AP30" s="346">
        <f t="shared" si="56"/>
        <v>991.86710438750004</v>
      </c>
    </row>
    <row r="31" spans="2:42" ht="18.649999999999999" customHeight="1" x14ac:dyDescent="0.35">
      <c r="B31" s="292" t="s">
        <v>118</v>
      </c>
      <c r="C31" s="293" t="s">
        <v>97</v>
      </c>
      <c r="D31" s="264" t="s">
        <v>86</v>
      </c>
      <c r="E31" s="264" t="s">
        <v>45</v>
      </c>
      <c r="F31" s="263" t="s">
        <v>87</v>
      </c>
      <c r="G31" s="263" t="s">
        <v>98</v>
      </c>
      <c r="H31" s="265" t="s">
        <v>90</v>
      </c>
      <c r="I31" s="265" t="s">
        <v>571</v>
      </c>
      <c r="J31" s="552" t="s">
        <v>96</v>
      </c>
      <c r="K31" s="263" t="s">
        <v>89</v>
      </c>
      <c r="L31" s="266">
        <f t="shared" si="51"/>
        <v>21</v>
      </c>
      <c r="M31" s="267">
        <v>45460</v>
      </c>
      <c r="N31" s="267">
        <v>45480</v>
      </c>
      <c r="O31" s="266">
        <f t="shared" si="52"/>
        <v>4084158.6651249998</v>
      </c>
      <c r="P31" s="268" t="s">
        <v>17</v>
      </c>
      <c r="Q31" s="269">
        <v>1E-3</v>
      </c>
      <c r="R31" s="266">
        <f t="shared" si="58"/>
        <v>4084.158665125</v>
      </c>
      <c r="S31" s="270">
        <v>0.8</v>
      </c>
      <c r="T31" s="271">
        <f>O31*S31</f>
        <v>3267326.9320999999</v>
      </c>
      <c r="U31" s="266">
        <f t="shared" si="59"/>
        <v>2333804.9515</v>
      </c>
      <c r="V31" s="266">
        <v>1.75</v>
      </c>
      <c r="W31" s="266"/>
      <c r="X31" s="272">
        <v>110</v>
      </c>
      <c r="Y31" s="273">
        <f t="shared" si="54"/>
        <v>449257.45316375</v>
      </c>
      <c r="Z31" s="273">
        <f t="shared" si="2"/>
        <v>110</v>
      </c>
      <c r="AA31" s="273">
        <f t="shared" si="60"/>
        <v>110</v>
      </c>
      <c r="AB31" s="274">
        <v>3825800</v>
      </c>
      <c r="AC31" s="275">
        <v>0.61001749999999999</v>
      </c>
      <c r="AE31" s="260"/>
      <c r="AF31" s="261">
        <v>0.61599999999999999</v>
      </c>
      <c r="AG31" s="260"/>
      <c r="AH31" s="458"/>
      <c r="AI31" s="459"/>
      <c r="AJ31" s="346">
        <f t="shared" si="55"/>
        <v>1361386.2217083331</v>
      </c>
      <c r="AK31" s="346">
        <f t="shared" si="55"/>
        <v>1361386.2217083331</v>
      </c>
      <c r="AL31" s="346">
        <f t="shared" si="55"/>
        <v>1361386.2217083331</v>
      </c>
      <c r="AN31" s="346">
        <f t="shared" si="57"/>
        <v>1361.3862217083333</v>
      </c>
      <c r="AO31" s="346">
        <f t="shared" si="56"/>
        <v>1361.3862217083333</v>
      </c>
      <c r="AP31" s="346">
        <f t="shared" si="56"/>
        <v>1361.3862217083333</v>
      </c>
    </row>
    <row r="32" spans="2:42" ht="18.649999999999999" customHeight="1" x14ac:dyDescent="0.35">
      <c r="B32" s="292" t="s">
        <v>118</v>
      </c>
      <c r="C32" s="293" t="s">
        <v>97</v>
      </c>
      <c r="D32" s="263" t="s">
        <v>99</v>
      </c>
      <c r="E32" s="263" t="s">
        <v>46</v>
      </c>
      <c r="F32" s="263" t="s">
        <v>100</v>
      </c>
      <c r="G32" s="263" t="s">
        <v>101</v>
      </c>
      <c r="H32" s="265" t="s">
        <v>88</v>
      </c>
      <c r="I32" s="265" t="s">
        <v>102</v>
      </c>
      <c r="J32" s="553" t="s">
        <v>96</v>
      </c>
      <c r="K32" s="263" t="s">
        <v>89</v>
      </c>
      <c r="L32" s="266">
        <f t="shared" si="51"/>
        <v>21</v>
      </c>
      <c r="M32" s="267">
        <v>45460</v>
      </c>
      <c r="N32" s="267">
        <v>45480</v>
      </c>
      <c r="O32" s="266">
        <f t="shared" si="52"/>
        <v>845784.91725330893</v>
      </c>
      <c r="P32" s="268" t="s">
        <v>17</v>
      </c>
      <c r="Q32" s="269">
        <v>1.4999999999999999E-2</v>
      </c>
      <c r="R32" s="266">
        <f>O32*Q32</f>
        <v>12686.773758799634</v>
      </c>
      <c r="S32" s="268" t="s">
        <v>17</v>
      </c>
      <c r="T32" s="271" t="s">
        <v>17</v>
      </c>
      <c r="U32" s="266">
        <f>AB32*AC32</f>
        <v>995041.07912153995</v>
      </c>
      <c r="V32" s="266">
        <v>0.85</v>
      </c>
      <c r="W32" s="266"/>
      <c r="X32" s="272">
        <v>105</v>
      </c>
      <c r="Y32" s="273">
        <f t="shared" si="54"/>
        <v>88807.416311597437</v>
      </c>
      <c r="Z32" s="273">
        <f t="shared" si="2"/>
        <v>105</v>
      </c>
      <c r="AA32" s="273">
        <f t="shared" si="60"/>
        <v>7</v>
      </c>
      <c r="AB32" s="274">
        <f>AB30*95%</f>
        <v>3089333.5</v>
      </c>
      <c r="AC32" s="275">
        <v>0.32208924</v>
      </c>
      <c r="AE32" s="260"/>
      <c r="AF32" s="261">
        <v>0.26400000000000001</v>
      </c>
      <c r="AG32" s="260"/>
      <c r="AH32" s="291"/>
      <c r="AI32" s="459"/>
      <c r="AJ32" s="346">
        <f t="shared" si="55"/>
        <v>281928.30575110298</v>
      </c>
      <c r="AK32" s="346">
        <f t="shared" si="55"/>
        <v>281928.30575110298</v>
      </c>
      <c r="AL32" s="346">
        <f t="shared" si="55"/>
        <v>281928.30575110298</v>
      </c>
      <c r="AN32" s="346">
        <f t="shared" si="57"/>
        <v>4228.9245862665448</v>
      </c>
      <c r="AO32" s="346">
        <f t="shared" si="56"/>
        <v>4228.9245862665448</v>
      </c>
      <c r="AP32" s="346">
        <f t="shared" si="56"/>
        <v>4228.9245862665448</v>
      </c>
    </row>
    <row r="33" spans="2:42" ht="18.649999999999999" customHeight="1" x14ac:dyDescent="0.35">
      <c r="B33" s="292" t="s">
        <v>118</v>
      </c>
      <c r="C33" s="293" t="s">
        <v>97</v>
      </c>
      <c r="D33" s="310" t="s">
        <v>103</v>
      </c>
      <c r="E33" s="263" t="s">
        <v>46</v>
      </c>
      <c r="F33" s="310" t="s">
        <v>100</v>
      </c>
      <c r="G33" s="263" t="s">
        <v>98</v>
      </c>
      <c r="H33" s="265" t="s">
        <v>88</v>
      </c>
      <c r="I33" s="265" t="s">
        <v>104</v>
      </c>
      <c r="J33" s="553" t="s">
        <v>96</v>
      </c>
      <c r="K33" s="263" t="s">
        <v>105</v>
      </c>
      <c r="L33" s="266">
        <f t="shared" si="51"/>
        <v>21</v>
      </c>
      <c r="M33" s="267">
        <v>45460</v>
      </c>
      <c r="N33" s="267">
        <v>45480</v>
      </c>
      <c r="O33" s="266">
        <f t="shared" si="52"/>
        <v>785456.9933158299</v>
      </c>
      <c r="P33" s="268" t="s">
        <v>17</v>
      </c>
      <c r="Q33" s="269">
        <v>1.4999999999999999E-2</v>
      </c>
      <c r="R33" s="266">
        <f>O33*Q33</f>
        <v>11781.854899737447</v>
      </c>
      <c r="S33" s="268" t="s">
        <v>17</v>
      </c>
      <c r="T33" s="271" t="s">
        <v>17</v>
      </c>
      <c r="U33" s="266">
        <f>AB33*AC33</f>
        <v>924067.0509597999</v>
      </c>
      <c r="V33" s="266">
        <v>0.85</v>
      </c>
      <c r="W33" s="266"/>
      <c r="X33" s="272">
        <v>120</v>
      </c>
      <c r="Y33" s="273">
        <f t="shared" si="54"/>
        <v>94254.839197899593</v>
      </c>
      <c r="Z33" s="273">
        <f t="shared" si="2"/>
        <v>120.00000000000001</v>
      </c>
      <c r="AA33" s="273">
        <f t="shared" si="60"/>
        <v>8.0000000000000018</v>
      </c>
      <c r="AB33" s="274">
        <v>1721387</v>
      </c>
      <c r="AC33" s="275">
        <v>0.53681539999999994</v>
      </c>
      <c r="AE33" s="260"/>
      <c r="AF33" s="261">
        <v>0.44</v>
      </c>
      <c r="AG33" s="260"/>
      <c r="AH33" s="320"/>
      <c r="AJ33" s="346">
        <f t="shared" si="55"/>
        <v>261818.99777194331</v>
      </c>
      <c r="AK33" s="346">
        <f t="shared" si="55"/>
        <v>261818.99777194331</v>
      </c>
      <c r="AL33" s="346">
        <f t="shared" si="55"/>
        <v>261818.99777194331</v>
      </c>
      <c r="AN33" s="346">
        <f t="shared" si="57"/>
        <v>3927.2849665791491</v>
      </c>
      <c r="AO33" s="346">
        <f t="shared" si="56"/>
        <v>3927.2849665791491</v>
      </c>
      <c r="AP33" s="346">
        <f t="shared" si="56"/>
        <v>3927.2849665791491</v>
      </c>
    </row>
    <row r="34" spans="2:42" ht="18.649999999999999" customHeight="1" x14ac:dyDescent="0.35">
      <c r="B34" s="292" t="s">
        <v>118</v>
      </c>
      <c r="C34" s="293" t="s">
        <v>97</v>
      </c>
      <c r="D34" s="310" t="s">
        <v>106</v>
      </c>
      <c r="E34" s="311" t="s">
        <v>46</v>
      </c>
      <c r="F34" s="311" t="s">
        <v>91</v>
      </c>
      <c r="G34" s="263" t="s">
        <v>98</v>
      </c>
      <c r="H34" s="310" t="s">
        <v>88</v>
      </c>
      <c r="I34" s="263" t="s">
        <v>107</v>
      </c>
      <c r="J34" s="553" t="s">
        <v>96</v>
      </c>
      <c r="K34" s="263" t="s">
        <v>89</v>
      </c>
      <c r="L34" s="266">
        <f t="shared" si="51"/>
        <v>21</v>
      </c>
      <c r="M34" s="267">
        <v>45460</v>
      </c>
      <c r="N34" s="267">
        <v>45480</v>
      </c>
      <c r="O34" s="266">
        <f t="shared" si="52"/>
        <v>624490.44345308293</v>
      </c>
      <c r="P34" s="268" t="s">
        <v>17</v>
      </c>
      <c r="Q34" s="312">
        <v>0.01</v>
      </c>
      <c r="R34" s="266">
        <f t="shared" ref="R34:R35" si="61">O34*Q34</f>
        <v>6244.9044345308293</v>
      </c>
      <c r="S34" s="268" t="s">
        <v>17</v>
      </c>
      <c r="T34" s="271" t="s">
        <v>17</v>
      </c>
      <c r="U34" s="266">
        <f t="shared" ref="U34" si="62">AB34*AC34</f>
        <v>734694.63935656811</v>
      </c>
      <c r="V34" s="266">
        <v>0.85</v>
      </c>
      <c r="W34" s="266"/>
      <c r="X34" s="272">
        <v>200</v>
      </c>
      <c r="Y34" s="273">
        <f>O34*X34/1000</f>
        <v>124898.0886906166</v>
      </c>
      <c r="Z34" s="273">
        <f t="shared" si="2"/>
        <v>200</v>
      </c>
      <c r="AA34" s="273">
        <f t="shared" si="60"/>
        <v>20</v>
      </c>
      <c r="AB34" s="274">
        <v>2073662</v>
      </c>
      <c r="AC34" s="275">
        <v>0.35429816400000003</v>
      </c>
      <c r="AE34" s="260"/>
      <c r="AF34" s="261">
        <v>0.26400000000000001</v>
      </c>
      <c r="AG34" s="260"/>
      <c r="AH34" s="562"/>
      <c r="AJ34" s="346">
        <f t="shared" si="55"/>
        <v>208163.48115102763</v>
      </c>
      <c r="AK34" s="346">
        <f t="shared" si="55"/>
        <v>208163.48115102763</v>
      </c>
      <c r="AL34" s="346">
        <f t="shared" si="55"/>
        <v>208163.48115102763</v>
      </c>
      <c r="AN34" s="346">
        <f t="shared" si="57"/>
        <v>2081.6348115102764</v>
      </c>
      <c r="AO34" s="346">
        <f t="shared" si="56"/>
        <v>2081.6348115102764</v>
      </c>
      <c r="AP34" s="346">
        <f t="shared" si="56"/>
        <v>2081.6348115102764</v>
      </c>
    </row>
    <row r="35" spans="2:42" ht="18.649999999999999" customHeight="1" x14ac:dyDescent="0.35">
      <c r="B35" s="292" t="s">
        <v>118</v>
      </c>
      <c r="C35" s="293" t="s">
        <v>97</v>
      </c>
      <c r="D35" s="310" t="s">
        <v>588</v>
      </c>
      <c r="E35" s="263" t="s">
        <v>46</v>
      </c>
      <c r="F35" s="310" t="s">
        <v>589</v>
      </c>
      <c r="G35" s="263" t="s">
        <v>98</v>
      </c>
      <c r="H35" s="265" t="s">
        <v>88</v>
      </c>
      <c r="I35" s="265" t="s">
        <v>590</v>
      </c>
      <c r="J35" s="553" t="s">
        <v>591</v>
      </c>
      <c r="K35" s="263" t="s">
        <v>592</v>
      </c>
      <c r="L35" s="266">
        <f t="shared" si="51"/>
        <v>21</v>
      </c>
      <c r="M35" s="267">
        <v>45460</v>
      </c>
      <c r="N35" s="267">
        <v>45480</v>
      </c>
      <c r="O35" s="266">
        <f>U35*3</f>
        <v>539614.53</v>
      </c>
      <c r="P35" s="268" t="s">
        <v>17</v>
      </c>
      <c r="Q35" s="269">
        <v>1.4999999999999999E-2</v>
      </c>
      <c r="R35" s="266">
        <f t="shared" si="61"/>
        <v>8094.2179500000002</v>
      </c>
      <c r="S35" s="268" t="s">
        <v>17</v>
      </c>
      <c r="T35" s="271" t="s">
        <v>17</v>
      </c>
      <c r="U35" s="266">
        <f>AB35*AC35</f>
        <v>179871.51</v>
      </c>
      <c r="V35" s="266">
        <f>O35/U35</f>
        <v>3</v>
      </c>
      <c r="W35" s="266"/>
      <c r="X35" s="272">
        <v>2</v>
      </c>
      <c r="Y35" s="273">
        <f>O35/3*X35</f>
        <v>359743.02</v>
      </c>
      <c r="Z35" s="273">
        <f t="shared" si="2"/>
        <v>666.66666666666663</v>
      </c>
      <c r="AA35" s="273">
        <f t="shared" si="60"/>
        <v>44.444444444444443</v>
      </c>
      <c r="AB35" s="274">
        <v>2569593</v>
      </c>
      <c r="AC35" s="275">
        <v>7.0000000000000007E-2</v>
      </c>
      <c r="AE35" s="260"/>
      <c r="AF35" s="261">
        <v>0.26400000000000001</v>
      </c>
      <c r="AG35" s="260"/>
      <c r="AJ35" s="346">
        <f t="shared" si="55"/>
        <v>179871.51</v>
      </c>
      <c r="AK35" s="346">
        <f t="shared" si="55"/>
        <v>179871.51</v>
      </c>
      <c r="AL35" s="346">
        <f t="shared" si="55"/>
        <v>179871.51</v>
      </c>
      <c r="AN35" s="346">
        <f t="shared" si="57"/>
        <v>2698.0726500000001</v>
      </c>
      <c r="AO35" s="346">
        <f t="shared" si="56"/>
        <v>2698.0726500000001</v>
      </c>
      <c r="AP35" s="346">
        <f t="shared" si="56"/>
        <v>2698.0726500000001</v>
      </c>
    </row>
    <row r="36" spans="2:42" ht="18.649999999999999" customHeight="1" x14ac:dyDescent="0.35">
      <c r="B36" s="292" t="s">
        <v>118</v>
      </c>
      <c r="C36" s="293" t="s">
        <v>97</v>
      </c>
      <c r="D36" s="310" t="s">
        <v>109</v>
      </c>
      <c r="E36" s="263" t="s">
        <v>46</v>
      </c>
      <c r="F36" s="310" t="s">
        <v>100</v>
      </c>
      <c r="G36" s="263" t="s">
        <v>98</v>
      </c>
      <c r="H36" s="265" t="s">
        <v>88</v>
      </c>
      <c r="I36" s="265" t="s">
        <v>110</v>
      </c>
      <c r="J36" s="553" t="s">
        <v>96</v>
      </c>
      <c r="K36" s="263" t="s">
        <v>111</v>
      </c>
      <c r="L36" s="266">
        <f t="shared" si="51"/>
        <v>21</v>
      </c>
      <c r="M36" s="267">
        <v>45460</v>
      </c>
      <c r="N36" s="267">
        <v>45480</v>
      </c>
      <c r="O36" s="266">
        <f t="shared" si="52"/>
        <v>2233688.8794</v>
      </c>
      <c r="P36" s="268" t="s">
        <v>17</v>
      </c>
      <c r="Q36" s="269">
        <v>0.02</v>
      </c>
      <c r="R36" s="266">
        <f>O36*Q36</f>
        <v>44673.777587999997</v>
      </c>
      <c r="S36" s="268" t="s">
        <v>17</v>
      </c>
      <c r="T36" s="271" t="s">
        <v>17</v>
      </c>
      <c r="U36" s="266">
        <f>AB36*AC36</f>
        <v>2233688.8794</v>
      </c>
      <c r="V36" s="266">
        <v>1</v>
      </c>
      <c r="W36" s="266"/>
      <c r="X36" s="272">
        <v>4.5</v>
      </c>
      <c r="Y36" s="273">
        <f>R36*X36</f>
        <v>201031.99914599999</v>
      </c>
      <c r="Z36" s="273">
        <f t="shared" si="2"/>
        <v>90</v>
      </c>
      <c r="AA36" s="273">
        <f t="shared" si="60"/>
        <v>4.5</v>
      </c>
      <c r="AB36" s="274">
        <v>3467500</v>
      </c>
      <c r="AC36" s="275">
        <v>0.64417848</v>
      </c>
      <c r="AE36" s="260"/>
      <c r="AF36" s="261">
        <v>0.52800000000000002</v>
      </c>
      <c r="AG36" s="260"/>
      <c r="AJ36" s="346">
        <f t="shared" si="55"/>
        <v>744562.95979999995</v>
      </c>
      <c r="AK36" s="346">
        <f t="shared" si="55"/>
        <v>744562.95979999995</v>
      </c>
      <c r="AL36" s="346">
        <f t="shared" si="55"/>
        <v>744562.95979999995</v>
      </c>
      <c r="AN36" s="346">
        <f t="shared" si="57"/>
        <v>14891.259195999997</v>
      </c>
      <c r="AO36" s="346">
        <f t="shared" si="56"/>
        <v>14891.259195999997</v>
      </c>
      <c r="AP36" s="346">
        <f t="shared" si="56"/>
        <v>14891.259195999997</v>
      </c>
    </row>
    <row r="37" spans="2:42" ht="18.649999999999999" customHeight="1" x14ac:dyDescent="0.35">
      <c r="B37" s="292" t="s">
        <v>118</v>
      </c>
      <c r="C37" s="293" t="s">
        <v>97</v>
      </c>
      <c r="D37" s="310" t="s">
        <v>600</v>
      </c>
      <c r="E37" s="314" t="s">
        <v>46</v>
      </c>
      <c r="F37" s="311" t="s">
        <v>565</v>
      </c>
      <c r="G37" s="263" t="s">
        <v>101</v>
      </c>
      <c r="H37" s="265" t="s">
        <v>88</v>
      </c>
      <c r="I37" s="265" t="s">
        <v>527</v>
      </c>
      <c r="J37" s="552" t="s">
        <v>566</v>
      </c>
      <c r="K37" s="263" t="s">
        <v>89</v>
      </c>
      <c r="L37" s="266">
        <f t="shared" ref="L37" si="63">N37-M37+1</f>
        <v>13</v>
      </c>
      <c r="M37" s="267">
        <v>45460</v>
      </c>
      <c r="N37" s="267">
        <v>45472</v>
      </c>
      <c r="O37" s="266">
        <f t="shared" si="52"/>
        <v>1014873.6000000001</v>
      </c>
      <c r="P37" s="268" t="s">
        <v>17</v>
      </c>
      <c r="Q37" s="315">
        <v>5.0000000000000001E-3</v>
      </c>
      <c r="R37" s="266">
        <f t="shared" ref="R37" si="64">O37*Q37</f>
        <v>5074.3680000000004</v>
      </c>
      <c r="S37" s="268" t="s">
        <v>17</v>
      </c>
      <c r="T37" s="271" t="s">
        <v>17</v>
      </c>
      <c r="U37" s="266">
        <f t="shared" ref="U37" si="65">AB37*AC37</f>
        <v>507436.80000000005</v>
      </c>
      <c r="V37" s="266">
        <v>2</v>
      </c>
      <c r="W37" s="266"/>
      <c r="X37" s="272">
        <v>105</v>
      </c>
      <c r="Y37" s="273">
        <f t="shared" ref="Y37" si="66">O37/1000*X37</f>
        <v>106561.72800000002</v>
      </c>
      <c r="Z37" s="273">
        <f t="shared" si="2"/>
        <v>105.00000000000001</v>
      </c>
      <c r="AA37" s="273">
        <f t="shared" si="60"/>
        <v>21.000000000000004</v>
      </c>
      <c r="AB37" s="274">
        <v>1014873.6000000001</v>
      </c>
      <c r="AC37" s="275">
        <v>0.5</v>
      </c>
      <c r="AE37" s="260"/>
      <c r="AF37" s="261">
        <v>0.81694198781885841</v>
      </c>
      <c r="AG37" s="260"/>
      <c r="AJ37" s="346">
        <f t="shared" si="55"/>
        <v>546470.40000000014</v>
      </c>
      <c r="AK37" s="346">
        <f>$O37/$L37*6</f>
        <v>468403.20000000007</v>
      </c>
      <c r="AL37" s="346"/>
      <c r="AN37" s="346">
        <f t="shared" si="57"/>
        <v>2732.3519999999999</v>
      </c>
      <c r="AO37" s="346">
        <f>$R37/$L37*6</f>
        <v>2342.0160000000001</v>
      </c>
      <c r="AP37" s="346"/>
    </row>
    <row r="38" spans="2:42" ht="18.649999999999999" customHeight="1" x14ac:dyDescent="0.35">
      <c r="B38" s="292" t="s">
        <v>118</v>
      </c>
      <c r="C38" s="293" t="s">
        <v>97</v>
      </c>
      <c r="D38" s="311" t="s">
        <v>116</v>
      </c>
      <c r="E38" s="263" t="s">
        <v>46</v>
      </c>
      <c r="F38" s="311" t="s">
        <v>114</v>
      </c>
      <c r="G38" s="263" t="s">
        <v>98</v>
      </c>
      <c r="H38" s="265" t="s">
        <v>88</v>
      </c>
      <c r="I38" s="265" t="s">
        <v>115</v>
      </c>
      <c r="J38" s="552" t="s">
        <v>96</v>
      </c>
      <c r="K38" s="263" t="s">
        <v>105</v>
      </c>
      <c r="L38" s="266">
        <f>N38-M38+1</f>
        <v>6</v>
      </c>
      <c r="M38" s="267">
        <v>45471</v>
      </c>
      <c r="N38" s="267">
        <v>45476</v>
      </c>
      <c r="O38" s="266">
        <f>1680622/14*6</f>
        <v>720266.57142857136</v>
      </c>
      <c r="P38" s="268" t="s">
        <v>17</v>
      </c>
      <c r="Q38" s="315">
        <v>0.01</v>
      </c>
      <c r="R38" s="266">
        <f>O38*Q38</f>
        <v>7202.6657142857139</v>
      </c>
      <c r="S38" s="268" t="s">
        <v>17</v>
      </c>
      <c r="T38" s="271" t="s">
        <v>17</v>
      </c>
      <c r="U38" s="266">
        <f>O38/V38</f>
        <v>144053.31428571427</v>
      </c>
      <c r="V38" s="266">
        <v>5</v>
      </c>
      <c r="W38" s="266"/>
      <c r="X38" s="272">
        <v>260</v>
      </c>
      <c r="Y38" s="273">
        <f>(O38/1000)*X38</f>
        <v>187269.30857142856</v>
      </c>
      <c r="Z38" s="273">
        <f>Y38/O38*1000</f>
        <v>260</v>
      </c>
      <c r="AA38" s="273">
        <f t="shared" si="60"/>
        <v>26</v>
      </c>
      <c r="AB38" s="274">
        <v>392145</v>
      </c>
      <c r="AC38" s="275">
        <f>U38/AB38</f>
        <v>0.36734706367724762</v>
      </c>
      <c r="AE38" s="260"/>
      <c r="AF38" s="261">
        <v>0.37714298537530766</v>
      </c>
      <c r="AG38" s="260"/>
      <c r="AJ38" s="346"/>
      <c r="AK38" s="346">
        <f>$O38/$L38*3</f>
        <v>360133.28571428568</v>
      </c>
      <c r="AL38" s="346">
        <f>$O38/$L38*3</f>
        <v>360133.28571428568</v>
      </c>
      <c r="AN38" s="346"/>
      <c r="AO38" s="346">
        <f>$R38/$L38*3</f>
        <v>3601.3328571428565</v>
      </c>
      <c r="AP38" s="346">
        <f>$R38/$L38*3</f>
        <v>3601.3328571428565</v>
      </c>
    </row>
    <row r="39" spans="2:42" ht="18.649999999999999" customHeight="1" x14ac:dyDescent="0.35">
      <c r="B39" s="277" t="str">
        <f>B38</f>
        <v>Bangalore - Seg A</v>
      </c>
      <c r="C39" s="278"/>
      <c r="D39" s="279" t="s">
        <v>18</v>
      </c>
      <c r="E39" s="280"/>
      <c r="F39" s="279"/>
      <c r="G39" s="280"/>
      <c r="H39" s="280"/>
      <c r="I39" s="281"/>
      <c r="J39" s="546"/>
      <c r="K39" s="283"/>
      <c r="L39" s="284"/>
      <c r="M39" s="284"/>
      <c r="N39" s="284"/>
      <c r="O39" s="284">
        <f>SUM(O28:O38)</f>
        <v>25142194.751970299</v>
      </c>
      <c r="P39" s="284"/>
      <c r="Q39" s="285">
        <f>R39/O39</f>
        <v>4.0894728299558508E-3</v>
      </c>
      <c r="R39" s="284">
        <f>SUM(R28:R38)</f>
        <v>102818.32232364111</v>
      </c>
      <c r="S39" s="286"/>
      <c r="T39" s="316">
        <f>SUM(T28:T38)</f>
        <v>14792231.7855312</v>
      </c>
      <c r="U39" s="284">
        <f>U30+(SUM(U28:U29,U32:U38,U31)*9%)</f>
        <v>2883636.3354837419</v>
      </c>
      <c r="V39" s="284">
        <f>O39/U39</f>
        <v>8.7189200810762397</v>
      </c>
      <c r="W39" s="284"/>
      <c r="X39" s="287"/>
      <c r="Y39" s="317">
        <f>SUM(Y28:Y38)</f>
        <v>3553781.4635617076</v>
      </c>
      <c r="Z39" s="288">
        <f>Y39/O39*1000</f>
        <v>141.34730474487361</v>
      </c>
      <c r="AA39" s="288">
        <f t="shared" si="60"/>
        <v>34.563698213004038</v>
      </c>
      <c r="AB39" s="284">
        <f>AB30+(SUM(AB28:AB29,AB32:AB38)*2%)</f>
        <v>3581645.5819999999</v>
      </c>
      <c r="AC39" s="289">
        <f>U39/AB39</f>
        <v>0.80511493096240749</v>
      </c>
      <c r="AD39" s="261"/>
      <c r="AE39" s="290"/>
      <c r="AF39" s="261">
        <v>0.75420328008868931</v>
      </c>
      <c r="AG39" s="290"/>
    </row>
    <row r="40" spans="2:42" ht="18.649999999999999" customHeight="1" x14ac:dyDescent="0.35">
      <c r="B40" s="292" t="s">
        <v>119</v>
      </c>
      <c r="C40" s="293" t="s">
        <v>97</v>
      </c>
      <c r="D40" s="264" t="s">
        <v>544</v>
      </c>
      <c r="E40" s="264" t="s">
        <v>45</v>
      </c>
      <c r="F40" s="263" t="s">
        <v>87</v>
      </c>
      <c r="G40" s="263" t="s">
        <v>101</v>
      </c>
      <c r="H40" s="265" t="s">
        <v>95</v>
      </c>
      <c r="I40" s="265" t="s">
        <v>572</v>
      </c>
      <c r="J40" s="552" t="s">
        <v>96</v>
      </c>
      <c r="K40" s="263" t="s">
        <v>89</v>
      </c>
      <c r="L40" s="266">
        <f t="shared" ref="L40:L45" si="67">N40-(M40-1)</f>
        <v>21</v>
      </c>
      <c r="M40" s="267">
        <v>45460</v>
      </c>
      <c r="N40" s="267">
        <v>45480</v>
      </c>
      <c r="O40" s="266">
        <f t="shared" ref="O40:O44" si="68">U40*V40</f>
        <v>1483231.6865080001</v>
      </c>
      <c r="P40" s="268" t="s">
        <v>17</v>
      </c>
      <c r="Q40" s="269">
        <v>2E-3</v>
      </c>
      <c r="R40" s="266">
        <f t="shared" ref="R40:R41" si="69">O40*Q40</f>
        <v>2966.4633730160003</v>
      </c>
      <c r="S40" s="318">
        <v>0.85</v>
      </c>
      <c r="T40" s="319">
        <f t="shared" ref="T40:T41" si="70">O40*S40</f>
        <v>1260746.9335318001</v>
      </c>
      <c r="U40" s="266">
        <f t="shared" ref="U40:U41" si="71">AB40*AC40</f>
        <v>741615.84325400006</v>
      </c>
      <c r="V40" s="266">
        <v>2</v>
      </c>
      <c r="W40" s="266"/>
      <c r="X40" s="272">
        <v>125</v>
      </c>
      <c r="Y40" s="273">
        <f>(O40/1000)*X40</f>
        <v>185403.96081350002</v>
      </c>
      <c r="Z40" s="273">
        <v>100</v>
      </c>
      <c r="AA40" s="273">
        <f t="shared" si="60"/>
        <v>62.5</v>
      </c>
      <c r="AB40" s="274">
        <v>1215728.8</v>
      </c>
      <c r="AC40" s="275">
        <v>0.61001749999999999</v>
      </c>
      <c r="AD40" s="261"/>
      <c r="AE40" s="260"/>
      <c r="AF40" s="261">
        <v>0.61599999999999999</v>
      </c>
      <c r="AG40" s="260"/>
      <c r="AH40" s="458"/>
      <c r="AI40" s="459"/>
      <c r="AJ40" s="346">
        <f t="shared" si="55"/>
        <v>494410.56216933334</v>
      </c>
      <c r="AK40" s="346">
        <f t="shared" si="55"/>
        <v>494410.56216933334</v>
      </c>
      <c r="AL40" s="346">
        <f t="shared" si="55"/>
        <v>494410.56216933334</v>
      </c>
      <c r="AN40" s="346">
        <f>$R40/$L40*7</f>
        <v>988.82112433866678</v>
      </c>
      <c r="AO40" s="346">
        <f t="shared" ref="AO40:AP45" si="72">$R40/$L40*7</f>
        <v>988.82112433866678</v>
      </c>
      <c r="AP40" s="346">
        <f t="shared" si="72"/>
        <v>988.82112433866678</v>
      </c>
    </row>
    <row r="41" spans="2:42" ht="18.649999999999999" customHeight="1" x14ac:dyDescent="0.35">
      <c r="B41" s="292" t="s">
        <v>119</v>
      </c>
      <c r="C41" s="293" t="s">
        <v>97</v>
      </c>
      <c r="D41" s="263" t="s">
        <v>86</v>
      </c>
      <c r="E41" s="263" t="s">
        <v>45</v>
      </c>
      <c r="F41" s="263" t="s">
        <v>87</v>
      </c>
      <c r="G41" s="263" t="s">
        <v>101</v>
      </c>
      <c r="H41" s="265" t="s">
        <v>95</v>
      </c>
      <c r="I41" s="265" t="s">
        <v>571</v>
      </c>
      <c r="J41" s="552" t="s">
        <v>96</v>
      </c>
      <c r="K41" s="263" t="s">
        <v>89</v>
      </c>
      <c r="L41" s="266">
        <f t="shared" si="67"/>
        <v>21</v>
      </c>
      <c r="M41" s="267">
        <v>45460</v>
      </c>
      <c r="N41" s="267">
        <v>45480</v>
      </c>
      <c r="O41" s="266">
        <f t="shared" si="68"/>
        <v>9101839.31085</v>
      </c>
      <c r="P41" s="268" t="s">
        <v>17</v>
      </c>
      <c r="Q41" s="269">
        <v>1E-3</v>
      </c>
      <c r="R41" s="266">
        <f t="shared" si="69"/>
        <v>9101.8393108500004</v>
      </c>
      <c r="S41" s="318">
        <v>0.8</v>
      </c>
      <c r="T41" s="319">
        <f t="shared" si="70"/>
        <v>7281471.4486800004</v>
      </c>
      <c r="U41" s="266">
        <f t="shared" si="71"/>
        <v>3033946.43695</v>
      </c>
      <c r="V41" s="266">
        <v>3</v>
      </c>
      <c r="W41" s="266"/>
      <c r="X41" s="272">
        <v>110</v>
      </c>
      <c r="Y41" s="273">
        <f>(O41/1000)*X41</f>
        <v>1001202.3241935001</v>
      </c>
      <c r="Z41" s="273">
        <f t="shared" ref="Z41:Z104" si="73">Y41/O41*1000</f>
        <v>110.00000000000001</v>
      </c>
      <c r="AA41" s="273">
        <f t="shared" si="60"/>
        <v>110</v>
      </c>
      <c r="AB41" s="274">
        <v>4973540</v>
      </c>
      <c r="AC41" s="275">
        <v>0.61001749999999999</v>
      </c>
      <c r="AF41" s="261">
        <v>0.61599999999999999</v>
      </c>
      <c r="AH41" s="458"/>
      <c r="AI41" s="459"/>
      <c r="AJ41" s="346">
        <f t="shared" si="55"/>
        <v>3033946.43695</v>
      </c>
      <c r="AK41" s="346">
        <f t="shared" si="55"/>
        <v>3033946.43695</v>
      </c>
      <c r="AL41" s="346">
        <f t="shared" si="55"/>
        <v>3033946.43695</v>
      </c>
      <c r="AN41" s="346">
        <f t="shared" ref="AN41:AN45" si="74">$R41/$L41*7</f>
        <v>3033.9464369500001</v>
      </c>
      <c r="AO41" s="346">
        <f t="shared" si="72"/>
        <v>3033.9464369500001</v>
      </c>
      <c r="AP41" s="346">
        <f t="shared" si="72"/>
        <v>3033.9464369500001</v>
      </c>
    </row>
    <row r="42" spans="2:42" ht="18.649999999999999" customHeight="1" x14ac:dyDescent="0.35">
      <c r="B42" s="292" t="s">
        <v>119</v>
      </c>
      <c r="C42" s="293" t="s">
        <v>97</v>
      </c>
      <c r="D42" s="263" t="s">
        <v>99</v>
      </c>
      <c r="E42" s="263" t="s">
        <v>46</v>
      </c>
      <c r="F42" s="263" t="s">
        <v>100</v>
      </c>
      <c r="G42" s="263" t="s">
        <v>101</v>
      </c>
      <c r="H42" s="265" t="s">
        <v>88</v>
      </c>
      <c r="I42" s="265" t="s">
        <v>102</v>
      </c>
      <c r="J42" s="553" t="s">
        <v>96</v>
      </c>
      <c r="K42" s="263" t="s">
        <v>89</v>
      </c>
      <c r="L42" s="266">
        <f t="shared" si="67"/>
        <v>21</v>
      </c>
      <c r="M42" s="267">
        <v>45460</v>
      </c>
      <c r="N42" s="267">
        <v>45480</v>
      </c>
      <c r="O42" s="266">
        <f t="shared" si="68"/>
        <v>1293553.4028580021</v>
      </c>
      <c r="P42" s="268" t="s">
        <v>17</v>
      </c>
      <c r="Q42" s="269">
        <v>1.4999999999999999E-2</v>
      </c>
      <c r="R42" s="266">
        <f>O42*Q42</f>
        <v>19403.301042870033</v>
      </c>
      <c r="S42" s="268" t="s">
        <v>17</v>
      </c>
      <c r="T42" s="271" t="s">
        <v>17</v>
      </c>
      <c r="U42" s="266">
        <f>AB42*AC42</f>
        <v>1521827.5327741201</v>
      </c>
      <c r="V42" s="266">
        <v>0.85</v>
      </c>
      <c r="W42" s="266"/>
      <c r="X42" s="272">
        <v>105</v>
      </c>
      <c r="Y42" s="273">
        <f>(O42/1000)*X42</f>
        <v>135823.10730009023</v>
      </c>
      <c r="Z42" s="273">
        <f t="shared" si="73"/>
        <v>105</v>
      </c>
      <c r="AA42" s="273">
        <f t="shared" si="60"/>
        <v>7</v>
      </c>
      <c r="AB42" s="274">
        <f>AB41*95%</f>
        <v>4724863</v>
      </c>
      <c r="AC42" s="275">
        <v>0.32208924</v>
      </c>
      <c r="AE42" s="260"/>
      <c r="AF42" s="261">
        <v>0.26400000000000001</v>
      </c>
      <c r="AG42" s="260"/>
      <c r="AI42" s="459"/>
      <c r="AJ42" s="346">
        <f t="shared" si="55"/>
        <v>431184.467619334</v>
      </c>
      <c r="AK42" s="346">
        <f t="shared" si="55"/>
        <v>431184.467619334</v>
      </c>
      <c r="AL42" s="346">
        <f t="shared" si="55"/>
        <v>431184.467619334</v>
      </c>
      <c r="AN42" s="346">
        <f t="shared" si="74"/>
        <v>6467.7670142900115</v>
      </c>
      <c r="AO42" s="346">
        <f t="shared" si="72"/>
        <v>6467.7670142900115</v>
      </c>
      <c r="AP42" s="346">
        <f t="shared" si="72"/>
        <v>6467.7670142900115</v>
      </c>
    </row>
    <row r="43" spans="2:42" ht="18.649999999999999" customHeight="1" x14ac:dyDescent="0.35">
      <c r="B43" s="292" t="s">
        <v>119</v>
      </c>
      <c r="C43" s="293" t="s">
        <v>97</v>
      </c>
      <c r="D43" s="310" t="s">
        <v>103</v>
      </c>
      <c r="E43" s="263" t="s">
        <v>46</v>
      </c>
      <c r="F43" s="310" t="s">
        <v>100</v>
      </c>
      <c r="G43" s="263" t="s">
        <v>98</v>
      </c>
      <c r="H43" s="265" t="s">
        <v>88</v>
      </c>
      <c r="I43" s="265" t="s">
        <v>104</v>
      </c>
      <c r="J43" s="553" t="s">
        <v>96</v>
      </c>
      <c r="K43" s="263" t="s">
        <v>105</v>
      </c>
      <c r="L43" s="266">
        <f t="shared" si="67"/>
        <v>21</v>
      </c>
      <c r="M43" s="267">
        <v>45460</v>
      </c>
      <c r="N43" s="267">
        <v>45480</v>
      </c>
      <c r="O43" s="266">
        <f t="shared" si="68"/>
        <v>690937.97452242498</v>
      </c>
      <c r="P43" s="268" t="s">
        <v>17</v>
      </c>
      <c r="Q43" s="269">
        <v>1.4999999999999999E-2</v>
      </c>
      <c r="R43" s="266">
        <f>O43*Q43</f>
        <v>10364.069617836374</v>
      </c>
      <c r="S43" s="268" t="s">
        <v>17</v>
      </c>
      <c r="T43" s="271" t="s">
        <v>17</v>
      </c>
      <c r="U43" s="266">
        <f>AB43*AC43</f>
        <v>812868.20532049995</v>
      </c>
      <c r="V43" s="266">
        <v>0.85</v>
      </c>
      <c r="W43" s="266"/>
      <c r="X43" s="272">
        <v>120</v>
      </c>
      <c r="Y43" s="273">
        <f>(O43/1000)*X43</f>
        <v>82912.556942690993</v>
      </c>
      <c r="Z43" s="273">
        <f t="shared" si="73"/>
        <v>120</v>
      </c>
      <c r="AA43" s="273">
        <f t="shared" si="60"/>
        <v>8</v>
      </c>
      <c r="AB43" s="274">
        <v>1903618</v>
      </c>
      <c r="AC43" s="275">
        <v>0.42701224999999998</v>
      </c>
      <c r="AE43" s="260"/>
      <c r="AF43" s="261">
        <v>0.44</v>
      </c>
      <c r="AG43" s="260"/>
      <c r="AJ43" s="346">
        <f t="shared" si="55"/>
        <v>230312.65817414166</v>
      </c>
      <c r="AK43" s="346">
        <f t="shared" si="55"/>
        <v>230312.65817414166</v>
      </c>
      <c r="AL43" s="346">
        <f t="shared" si="55"/>
        <v>230312.65817414166</v>
      </c>
      <c r="AN43" s="346">
        <f t="shared" si="74"/>
        <v>3454.6898726121249</v>
      </c>
      <c r="AO43" s="346">
        <f t="shared" si="72"/>
        <v>3454.6898726121249</v>
      </c>
      <c r="AP43" s="346">
        <f t="shared" si="72"/>
        <v>3454.6898726121249</v>
      </c>
    </row>
    <row r="44" spans="2:42" ht="18.649999999999999" customHeight="1" x14ac:dyDescent="0.35">
      <c r="B44" s="292" t="s">
        <v>119</v>
      </c>
      <c r="C44" s="293" t="s">
        <v>97</v>
      </c>
      <c r="D44" s="310" t="s">
        <v>106</v>
      </c>
      <c r="E44" s="311" t="s">
        <v>46</v>
      </c>
      <c r="F44" s="311" t="s">
        <v>91</v>
      </c>
      <c r="G44" s="263" t="s">
        <v>98</v>
      </c>
      <c r="H44" s="310" t="s">
        <v>88</v>
      </c>
      <c r="I44" s="263" t="s">
        <v>107</v>
      </c>
      <c r="J44" s="553" t="s">
        <v>96</v>
      </c>
      <c r="K44" s="263" t="s">
        <v>89</v>
      </c>
      <c r="L44" s="266">
        <f t="shared" si="67"/>
        <v>21</v>
      </c>
      <c r="M44" s="267">
        <v>45460</v>
      </c>
      <c r="N44" s="267">
        <v>45480</v>
      </c>
      <c r="O44" s="266">
        <f t="shared" si="68"/>
        <v>558471.38569885527</v>
      </c>
      <c r="P44" s="268" t="s">
        <v>17</v>
      </c>
      <c r="Q44" s="312">
        <v>0.01</v>
      </c>
      <c r="R44" s="266">
        <f t="shared" ref="R44:R45" si="75">O44*Q44</f>
        <v>5584.7138569885528</v>
      </c>
      <c r="S44" s="268" t="s">
        <v>17</v>
      </c>
      <c r="T44" s="271" t="s">
        <v>17</v>
      </c>
      <c r="U44" s="266">
        <f>AB44*AC44</f>
        <v>657025.15964571212</v>
      </c>
      <c r="V44" s="266">
        <v>0.85</v>
      </c>
      <c r="W44" s="266"/>
      <c r="X44" s="272">
        <v>200</v>
      </c>
      <c r="Y44" s="273">
        <f>O44*X44/1000</f>
        <v>111694.27713977106</v>
      </c>
      <c r="Z44" s="273">
        <f t="shared" si="73"/>
        <v>200</v>
      </c>
      <c r="AA44" s="273">
        <f t="shared" si="60"/>
        <v>20</v>
      </c>
      <c r="AB44" s="274">
        <v>2781662</v>
      </c>
      <c r="AC44" s="275">
        <v>0.23619877600000003</v>
      </c>
      <c r="AE44" s="260"/>
      <c r="AF44" s="261">
        <v>0.17600000000000002</v>
      </c>
      <c r="AG44" s="260"/>
      <c r="AH44" s="562"/>
      <c r="AJ44" s="346">
        <f t="shared" ref="AJ44:AL45" si="76">$O44/$L44*7</f>
        <v>186157.12856628507</v>
      </c>
      <c r="AK44" s="346">
        <f t="shared" si="76"/>
        <v>186157.12856628507</v>
      </c>
      <c r="AL44" s="346">
        <f t="shared" si="76"/>
        <v>186157.12856628507</v>
      </c>
      <c r="AN44" s="346">
        <f t="shared" si="74"/>
        <v>1861.5712856628506</v>
      </c>
      <c r="AO44" s="346">
        <f t="shared" si="72"/>
        <v>1861.5712856628506</v>
      </c>
      <c r="AP44" s="346">
        <f t="shared" si="72"/>
        <v>1861.5712856628506</v>
      </c>
    </row>
    <row r="45" spans="2:42" ht="18.649999999999999" customHeight="1" x14ac:dyDescent="0.35">
      <c r="B45" s="292" t="s">
        <v>119</v>
      </c>
      <c r="C45" s="293" t="s">
        <v>97</v>
      </c>
      <c r="D45" s="314" t="s">
        <v>528</v>
      </c>
      <c r="E45" s="263" t="s">
        <v>46</v>
      </c>
      <c r="F45" s="310" t="s">
        <v>91</v>
      </c>
      <c r="G45" s="263" t="s">
        <v>101</v>
      </c>
      <c r="H45" s="265" t="s">
        <v>88</v>
      </c>
      <c r="I45" s="265" t="s">
        <v>527</v>
      </c>
      <c r="J45" s="552" t="s">
        <v>96</v>
      </c>
      <c r="K45" s="263" t="s">
        <v>89</v>
      </c>
      <c r="L45" s="266">
        <f t="shared" si="67"/>
        <v>21</v>
      </c>
      <c r="M45" s="267">
        <v>45460</v>
      </c>
      <c r="N45" s="267">
        <v>45480</v>
      </c>
      <c r="O45" s="266">
        <f>Y45/X45*1000</f>
        <v>4615384.615384615</v>
      </c>
      <c r="P45" s="268" t="s">
        <v>17</v>
      </c>
      <c r="Q45" s="315">
        <v>3.0000000000000001E-3</v>
      </c>
      <c r="R45" s="266">
        <f t="shared" si="75"/>
        <v>13846.153846153846</v>
      </c>
      <c r="S45" s="268" t="s">
        <v>17</v>
      </c>
      <c r="T45" s="271" t="s">
        <v>17</v>
      </c>
      <c r="U45" s="266">
        <f>O45/V45</f>
        <v>923076.92307692301</v>
      </c>
      <c r="V45" s="266">
        <v>5</v>
      </c>
      <c r="W45" s="266"/>
      <c r="X45" s="272">
        <v>65</v>
      </c>
      <c r="Y45" s="273">
        <v>300000</v>
      </c>
      <c r="Z45" s="273">
        <f t="shared" si="73"/>
        <v>65</v>
      </c>
      <c r="AA45" s="273">
        <f t="shared" si="60"/>
        <v>21.666666666666668</v>
      </c>
      <c r="AB45" s="274">
        <f>499352.890846154*300%</f>
        <v>1498058.6725384621</v>
      </c>
      <c r="AC45" s="275">
        <f>U45/AB45</f>
        <v>0.61618208952575149</v>
      </c>
      <c r="AE45" s="260"/>
      <c r="AF45" s="261">
        <v>0.72298698504354841</v>
      </c>
      <c r="AG45" s="260"/>
      <c r="AH45" s="320"/>
      <c r="AJ45" s="346">
        <f t="shared" si="76"/>
        <v>1538461.5384615385</v>
      </c>
      <c r="AK45" s="346">
        <f t="shared" si="76"/>
        <v>1538461.5384615385</v>
      </c>
      <c r="AL45" s="346">
        <f t="shared" si="76"/>
        <v>1538461.5384615385</v>
      </c>
      <c r="AN45" s="346">
        <f t="shared" si="74"/>
        <v>4615.3846153846152</v>
      </c>
      <c r="AO45" s="346">
        <f t="shared" si="72"/>
        <v>4615.3846153846152</v>
      </c>
      <c r="AP45" s="346">
        <f t="shared" si="72"/>
        <v>4615.3846153846152</v>
      </c>
    </row>
    <row r="46" spans="2:42" ht="18.649999999999999" customHeight="1" x14ac:dyDescent="0.35">
      <c r="B46" s="277" t="str">
        <f>B45</f>
        <v>Bangalore - Seg B</v>
      </c>
      <c r="C46" s="278"/>
      <c r="D46" s="279" t="s">
        <v>18</v>
      </c>
      <c r="E46" s="280"/>
      <c r="F46" s="279"/>
      <c r="G46" s="280"/>
      <c r="H46" s="280"/>
      <c r="I46" s="281"/>
      <c r="J46" s="546"/>
      <c r="K46" s="283"/>
      <c r="L46" s="284"/>
      <c r="M46" s="284"/>
      <c r="N46" s="284"/>
      <c r="O46" s="284">
        <f>SUM(O40:O45)</f>
        <v>17743418.375821896</v>
      </c>
      <c r="P46" s="284"/>
      <c r="Q46" s="285">
        <f>R46/O46</f>
        <v>3.4529164420312479E-3</v>
      </c>
      <c r="R46" s="284">
        <f>SUM(R40:R45)</f>
        <v>61266.541047714803</v>
      </c>
      <c r="S46" s="286"/>
      <c r="T46" s="316">
        <f>SUM(T40:T45)</f>
        <v>8542218.3822118007</v>
      </c>
      <c r="U46" s="284">
        <f>U41+(SUM(U40,U42:U45)*15%)</f>
        <v>3732408.4865606884</v>
      </c>
      <c r="V46" s="284">
        <f>O46/U46</f>
        <v>4.7538790139693328</v>
      </c>
      <c r="W46" s="284"/>
      <c r="X46" s="287"/>
      <c r="Y46" s="317">
        <f>SUM(Y40:Y45)</f>
        <v>1817036.2263895525</v>
      </c>
      <c r="Z46" s="288">
        <f t="shared" si="73"/>
        <v>102.40620989163737</v>
      </c>
      <c r="AA46" s="288">
        <f t="shared" si="60"/>
        <v>29.657888226045472</v>
      </c>
      <c r="AB46" s="284">
        <f>AB41+(SUM(AB40,AB42:AB45)*15%)</f>
        <v>6792129.5708807698</v>
      </c>
      <c r="AC46" s="289">
        <f>U46/AB46</f>
        <v>0.54951962379549957</v>
      </c>
      <c r="AD46" s="261"/>
      <c r="AE46" s="290"/>
      <c r="AF46" s="261">
        <v>0.72918033054744236</v>
      </c>
      <c r="AG46" s="290"/>
    </row>
    <row r="47" spans="2:42" ht="18.649999999999999" customHeight="1" x14ac:dyDescent="0.35">
      <c r="B47" s="321" t="s">
        <v>120</v>
      </c>
      <c r="C47" s="293" t="s">
        <v>93</v>
      </c>
      <c r="D47" s="294" t="s">
        <v>94</v>
      </c>
      <c r="E47" s="294" t="s">
        <v>45</v>
      </c>
      <c r="F47" s="295" t="s">
        <v>87</v>
      </c>
      <c r="G47" s="295" t="s">
        <v>50</v>
      </c>
      <c r="H47" s="296" t="s">
        <v>95</v>
      </c>
      <c r="I47" s="296" t="s">
        <v>572</v>
      </c>
      <c r="J47" s="551" t="s">
        <v>96</v>
      </c>
      <c r="K47" s="295" t="s">
        <v>89</v>
      </c>
      <c r="L47" s="298">
        <f t="shared" ref="L47:L55" si="77">N47-(M47-1)</f>
        <v>21</v>
      </c>
      <c r="M47" s="299">
        <v>45460</v>
      </c>
      <c r="N47" s="299">
        <v>45480</v>
      </c>
      <c r="O47" s="298">
        <f t="shared" ref="O47:O55" si="78">U47*V47</f>
        <v>934917.70063999994</v>
      </c>
      <c r="P47" s="300" t="s">
        <v>17</v>
      </c>
      <c r="Q47" s="301"/>
      <c r="R47" s="298"/>
      <c r="S47" s="302">
        <v>0.85</v>
      </c>
      <c r="T47" s="303">
        <f t="shared" ref="T47:T48" si="79">O47*S47</f>
        <v>794680.04554399988</v>
      </c>
      <c r="U47" s="298">
        <f>AB47*AC47</f>
        <v>186983.54012799999</v>
      </c>
      <c r="V47" s="298">
        <v>5</v>
      </c>
      <c r="W47" s="298"/>
      <c r="X47" s="304">
        <v>170</v>
      </c>
      <c r="Y47" s="305">
        <f t="shared" ref="Y47:Y52" si="80">(O47/1000)*X47</f>
        <v>158936.00910879998</v>
      </c>
      <c r="Z47" s="305">
        <f t="shared" si="73"/>
        <v>169.99999999999997</v>
      </c>
      <c r="AA47" s="305"/>
      <c r="AB47" s="306">
        <v>217700</v>
      </c>
      <c r="AC47" s="307">
        <v>0.85890464</v>
      </c>
      <c r="AD47" s="261"/>
      <c r="AE47" s="260"/>
      <c r="AF47" s="261">
        <v>0.70400000000000007</v>
      </c>
      <c r="AG47" s="260"/>
      <c r="AJ47" s="346">
        <f t="shared" ref="AJ47:AL62" si="81">$O47/$L47*7</f>
        <v>311639.23354666663</v>
      </c>
      <c r="AK47" s="346">
        <f t="shared" si="81"/>
        <v>311639.23354666663</v>
      </c>
      <c r="AL47" s="346">
        <f t="shared" si="81"/>
        <v>311639.23354666663</v>
      </c>
      <c r="AN47" s="346">
        <f>$R47/$L47*7</f>
        <v>0</v>
      </c>
      <c r="AO47" s="346">
        <f t="shared" ref="AO47:AP55" si="82">$R47/$L47*7</f>
        <v>0</v>
      </c>
      <c r="AP47" s="346">
        <f t="shared" si="82"/>
        <v>0</v>
      </c>
    </row>
    <row r="48" spans="2:42" ht="18.649999999999999" customHeight="1" x14ac:dyDescent="0.35">
      <c r="B48" s="321" t="s">
        <v>120</v>
      </c>
      <c r="C48" s="293" t="s">
        <v>93</v>
      </c>
      <c r="D48" s="295" t="s">
        <v>86</v>
      </c>
      <c r="E48" s="295" t="s">
        <v>45</v>
      </c>
      <c r="F48" s="295" t="s">
        <v>87</v>
      </c>
      <c r="G48" s="296" t="s">
        <v>50</v>
      </c>
      <c r="H48" s="296" t="s">
        <v>95</v>
      </c>
      <c r="I48" s="296" t="s">
        <v>573</v>
      </c>
      <c r="J48" s="551" t="s">
        <v>96</v>
      </c>
      <c r="K48" s="295" t="s">
        <v>89</v>
      </c>
      <c r="L48" s="298">
        <f t="shared" si="77"/>
        <v>21</v>
      </c>
      <c r="M48" s="299">
        <v>45460</v>
      </c>
      <c r="N48" s="299">
        <v>45480</v>
      </c>
      <c r="O48" s="298">
        <f t="shared" si="78"/>
        <v>6330442.41480288</v>
      </c>
      <c r="P48" s="300" t="s">
        <v>17</v>
      </c>
      <c r="Q48" s="301"/>
      <c r="R48" s="298"/>
      <c r="S48" s="302">
        <v>0.8</v>
      </c>
      <c r="T48" s="303">
        <f t="shared" si="79"/>
        <v>5064353.9318423048</v>
      </c>
      <c r="U48" s="298">
        <f>AB48*AC48</f>
        <v>1055073.73580048</v>
      </c>
      <c r="V48" s="298">
        <v>6</v>
      </c>
      <c r="W48" s="298"/>
      <c r="X48" s="304">
        <v>150</v>
      </c>
      <c r="Y48" s="305">
        <f t="shared" si="80"/>
        <v>949566.36222043203</v>
      </c>
      <c r="Z48" s="305">
        <f t="shared" si="73"/>
        <v>150</v>
      </c>
      <c r="AA48" s="305"/>
      <c r="AB48" s="306">
        <v>1156136</v>
      </c>
      <c r="AC48" s="307">
        <v>0.91258618000000002</v>
      </c>
      <c r="AF48" s="261">
        <v>0.748</v>
      </c>
      <c r="AJ48" s="346">
        <f t="shared" si="81"/>
        <v>2110147.47160096</v>
      </c>
      <c r="AK48" s="346">
        <f t="shared" si="81"/>
        <v>2110147.47160096</v>
      </c>
      <c r="AL48" s="346">
        <f t="shared" si="81"/>
        <v>2110147.47160096</v>
      </c>
      <c r="AN48" s="346">
        <f t="shared" ref="AN48:AN55" si="83">$R48/$L48*7</f>
        <v>0</v>
      </c>
      <c r="AO48" s="346">
        <f t="shared" si="82"/>
        <v>0</v>
      </c>
      <c r="AP48" s="346">
        <f t="shared" si="82"/>
        <v>0</v>
      </c>
    </row>
    <row r="49" spans="2:42" ht="18.649999999999999" customHeight="1" x14ac:dyDescent="0.35">
      <c r="B49" s="321" t="s">
        <v>120</v>
      </c>
      <c r="C49" s="293" t="s">
        <v>97</v>
      </c>
      <c r="D49" s="264" t="s">
        <v>561</v>
      </c>
      <c r="E49" s="264" t="s">
        <v>45</v>
      </c>
      <c r="F49" s="263" t="s">
        <v>87</v>
      </c>
      <c r="G49" s="263" t="s">
        <v>98</v>
      </c>
      <c r="H49" s="265" t="s">
        <v>90</v>
      </c>
      <c r="I49" s="265" t="s">
        <v>574</v>
      </c>
      <c r="J49" s="552" t="s">
        <v>96</v>
      </c>
      <c r="K49" s="263" t="s">
        <v>89</v>
      </c>
      <c r="L49" s="266">
        <f t="shared" si="77"/>
        <v>21</v>
      </c>
      <c r="M49" s="267">
        <v>45460</v>
      </c>
      <c r="N49" s="267">
        <v>45480</v>
      </c>
      <c r="O49" s="266">
        <f t="shared" si="78"/>
        <v>1989633.7413940313</v>
      </c>
      <c r="P49" s="268" t="s">
        <v>17</v>
      </c>
      <c r="Q49" s="269">
        <v>1E-3</v>
      </c>
      <c r="R49" s="266">
        <f t="shared" ref="R49:R50" si="84">O49*Q49</f>
        <v>1989.6337413940314</v>
      </c>
      <c r="S49" s="270">
        <v>0.8</v>
      </c>
      <c r="T49" s="271">
        <f>O49*S49</f>
        <v>1591706.9931152251</v>
      </c>
      <c r="U49" s="266">
        <f t="shared" ref="U49:U50" si="85">AB49*AC49</f>
        <v>1136933.566510875</v>
      </c>
      <c r="V49" s="266">
        <v>1.75</v>
      </c>
      <c r="W49" s="266"/>
      <c r="X49" s="272">
        <v>70</v>
      </c>
      <c r="Y49" s="273">
        <f t="shared" si="80"/>
        <v>139274.36189758219</v>
      </c>
      <c r="Z49" s="273">
        <f t="shared" si="73"/>
        <v>69.999999999999986</v>
      </c>
      <c r="AA49" s="273">
        <f t="shared" ref="AA49:AA58" si="86">Y49/R49</f>
        <v>70</v>
      </c>
      <c r="AB49" s="274">
        <f>2192673*85%</f>
        <v>1863772.05</v>
      </c>
      <c r="AC49" s="275">
        <v>0.61001749999999999</v>
      </c>
      <c r="AE49" s="260"/>
      <c r="AF49" s="261">
        <v>0.66</v>
      </c>
      <c r="AG49" s="260"/>
      <c r="AJ49" s="346">
        <f t="shared" si="81"/>
        <v>663211.2471313437</v>
      </c>
      <c r="AK49" s="346">
        <f t="shared" si="81"/>
        <v>663211.2471313437</v>
      </c>
      <c r="AL49" s="346">
        <f t="shared" si="81"/>
        <v>663211.2471313437</v>
      </c>
      <c r="AN49" s="346">
        <f t="shared" si="83"/>
        <v>663.21124713134384</v>
      </c>
      <c r="AO49" s="346">
        <f t="shared" si="82"/>
        <v>663.21124713134384</v>
      </c>
      <c r="AP49" s="346">
        <f t="shared" si="82"/>
        <v>663.21124713134384</v>
      </c>
    </row>
    <row r="50" spans="2:42" ht="18.649999999999999" customHeight="1" x14ac:dyDescent="0.35">
      <c r="B50" s="321" t="s">
        <v>120</v>
      </c>
      <c r="C50" s="293" t="s">
        <v>97</v>
      </c>
      <c r="D50" s="264" t="s">
        <v>86</v>
      </c>
      <c r="E50" s="264" t="s">
        <v>45</v>
      </c>
      <c r="F50" s="263" t="s">
        <v>87</v>
      </c>
      <c r="G50" s="263" t="s">
        <v>98</v>
      </c>
      <c r="H50" s="265" t="s">
        <v>90</v>
      </c>
      <c r="I50" s="265" t="s">
        <v>571</v>
      </c>
      <c r="J50" s="552" t="s">
        <v>96</v>
      </c>
      <c r="K50" s="263" t="s">
        <v>89</v>
      </c>
      <c r="L50" s="266">
        <f t="shared" si="77"/>
        <v>21</v>
      </c>
      <c r="M50" s="267">
        <v>45460</v>
      </c>
      <c r="N50" s="267">
        <v>45480</v>
      </c>
      <c r="O50" s="266">
        <f t="shared" si="78"/>
        <v>2006353.35266625</v>
      </c>
      <c r="P50" s="268" t="s">
        <v>17</v>
      </c>
      <c r="Q50" s="269">
        <v>1E-3</v>
      </c>
      <c r="R50" s="266">
        <f t="shared" si="84"/>
        <v>2006.35335266625</v>
      </c>
      <c r="S50" s="270">
        <v>0.8</v>
      </c>
      <c r="T50" s="271">
        <f>O50*S50</f>
        <v>1605082.6821330001</v>
      </c>
      <c r="U50" s="266">
        <f t="shared" si="85"/>
        <v>1337568.9017775001</v>
      </c>
      <c r="V50" s="266">
        <v>1.5</v>
      </c>
      <c r="W50" s="266"/>
      <c r="X50" s="272">
        <v>110</v>
      </c>
      <c r="Y50" s="273">
        <f t="shared" si="80"/>
        <v>220698.86879328749</v>
      </c>
      <c r="Z50" s="273">
        <f t="shared" si="73"/>
        <v>110</v>
      </c>
      <c r="AA50" s="273">
        <f t="shared" si="86"/>
        <v>110</v>
      </c>
      <c r="AB50" s="274">
        <v>2192673</v>
      </c>
      <c r="AC50" s="275">
        <v>0.61001749999999999</v>
      </c>
      <c r="AE50" s="260"/>
      <c r="AF50" s="261">
        <v>0.66</v>
      </c>
      <c r="AG50" s="260"/>
      <c r="AH50" s="458"/>
      <c r="AI50" s="459"/>
      <c r="AJ50" s="346">
        <f t="shared" si="81"/>
        <v>668784.45088875003</v>
      </c>
      <c r="AK50" s="346">
        <f t="shared" si="81"/>
        <v>668784.45088875003</v>
      </c>
      <c r="AL50" s="346">
        <f t="shared" si="81"/>
        <v>668784.45088875003</v>
      </c>
      <c r="AN50" s="346">
        <f t="shared" si="83"/>
        <v>668.78445088874992</v>
      </c>
      <c r="AO50" s="346">
        <f t="shared" si="82"/>
        <v>668.78445088874992</v>
      </c>
      <c r="AP50" s="346">
        <f t="shared" si="82"/>
        <v>668.78445088874992</v>
      </c>
    </row>
    <row r="51" spans="2:42" ht="18.649999999999999" customHeight="1" x14ac:dyDescent="0.35">
      <c r="B51" s="321" t="s">
        <v>120</v>
      </c>
      <c r="C51" s="293" t="s">
        <v>97</v>
      </c>
      <c r="D51" s="263" t="s">
        <v>99</v>
      </c>
      <c r="E51" s="263" t="s">
        <v>46</v>
      </c>
      <c r="F51" s="263" t="s">
        <v>100</v>
      </c>
      <c r="G51" s="263" t="s">
        <v>101</v>
      </c>
      <c r="H51" s="265" t="s">
        <v>88</v>
      </c>
      <c r="I51" s="265" t="s">
        <v>102</v>
      </c>
      <c r="J51" s="553" t="s">
        <v>96</v>
      </c>
      <c r="K51" s="263" t="s">
        <v>89</v>
      </c>
      <c r="L51" s="266">
        <f t="shared" si="77"/>
        <v>21</v>
      </c>
      <c r="M51" s="267">
        <v>45460</v>
      </c>
      <c r="N51" s="267">
        <v>45480</v>
      </c>
      <c r="O51" s="266">
        <f t="shared" si="78"/>
        <v>1140571.7539237097</v>
      </c>
      <c r="P51" s="268" t="s">
        <v>17</v>
      </c>
      <c r="Q51" s="269">
        <v>1.4999999999999999E-2</v>
      </c>
      <c r="R51" s="266">
        <f>O51*Q51</f>
        <v>17108.576308855645</v>
      </c>
      <c r="S51" s="268" t="s">
        <v>17</v>
      </c>
      <c r="T51" s="271" t="s">
        <v>17</v>
      </c>
      <c r="U51" s="266">
        <f>AB51*AC51</f>
        <v>570285.87696185487</v>
      </c>
      <c r="V51" s="266">
        <v>2</v>
      </c>
      <c r="W51" s="266"/>
      <c r="X51" s="272">
        <v>105</v>
      </c>
      <c r="Y51" s="273">
        <f t="shared" si="80"/>
        <v>119760.03416198953</v>
      </c>
      <c r="Z51" s="273">
        <f t="shared" si="73"/>
        <v>105.00000000000001</v>
      </c>
      <c r="AA51" s="273">
        <f t="shared" si="86"/>
        <v>7.0000000000000009</v>
      </c>
      <c r="AB51" s="274">
        <f>AB49*95%</f>
        <v>1770583.4475</v>
      </c>
      <c r="AC51" s="275">
        <v>0.32208924</v>
      </c>
      <c r="AE51" s="260"/>
      <c r="AF51" s="261">
        <v>0.26400000000000001</v>
      </c>
      <c r="AG51" s="260"/>
      <c r="AI51" s="459"/>
      <c r="AJ51" s="346">
        <f t="shared" si="81"/>
        <v>380190.58464123658</v>
      </c>
      <c r="AK51" s="346">
        <f t="shared" si="81"/>
        <v>380190.58464123658</v>
      </c>
      <c r="AL51" s="346">
        <f t="shared" si="81"/>
        <v>380190.58464123658</v>
      </c>
      <c r="AN51" s="346">
        <f t="shared" si="83"/>
        <v>5702.8587696185477</v>
      </c>
      <c r="AO51" s="346">
        <f t="shared" si="82"/>
        <v>5702.8587696185477</v>
      </c>
      <c r="AP51" s="346">
        <f t="shared" si="82"/>
        <v>5702.8587696185477</v>
      </c>
    </row>
    <row r="52" spans="2:42" ht="18.649999999999999" customHeight="1" x14ac:dyDescent="0.35">
      <c r="B52" s="321" t="s">
        <v>120</v>
      </c>
      <c r="C52" s="293" t="s">
        <v>97</v>
      </c>
      <c r="D52" s="310" t="s">
        <v>103</v>
      </c>
      <c r="E52" s="263" t="s">
        <v>46</v>
      </c>
      <c r="F52" s="310" t="s">
        <v>100</v>
      </c>
      <c r="G52" s="263" t="s">
        <v>98</v>
      </c>
      <c r="H52" s="265" t="s">
        <v>88</v>
      </c>
      <c r="I52" s="265" t="s">
        <v>104</v>
      </c>
      <c r="J52" s="553" t="s">
        <v>96</v>
      </c>
      <c r="K52" s="263" t="s">
        <v>105</v>
      </c>
      <c r="L52" s="266">
        <f t="shared" si="77"/>
        <v>21</v>
      </c>
      <c r="M52" s="267">
        <v>45460</v>
      </c>
      <c r="N52" s="267">
        <v>45480</v>
      </c>
      <c r="O52" s="266">
        <f t="shared" si="78"/>
        <v>1229635.7970248</v>
      </c>
      <c r="P52" s="268" t="s">
        <v>17</v>
      </c>
      <c r="Q52" s="269">
        <v>1.4999999999999999E-2</v>
      </c>
      <c r="R52" s="266">
        <f>O52*Q52</f>
        <v>18444.536955371997</v>
      </c>
      <c r="S52" s="268" t="s">
        <v>17</v>
      </c>
      <c r="T52" s="271" t="s">
        <v>17</v>
      </c>
      <c r="U52" s="266">
        <f>AB52*AC52</f>
        <v>614817.89851239999</v>
      </c>
      <c r="V52" s="266">
        <v>2</v>
      </c>
      <c r="W52" s="266"/>
      <c r="X52" s="272">
        <v>120</v>
      </c>
      <c r="Y52" s="273">
        <f t="shared" si="80"/>
        <v>147556.29564297601</v>
      </c>
      <c r="Z52" s="273">
        <f t="shared" si="73"/>
        <v>120.00000000000001</v>
      </c>
      <c r="AA52" s="273">
        <f t="shared" si="86"/>
        <v>8.0000000000000018</v>
      </c>
      <c r="AB52" s="274">
        <v>1145306</v>
      </c>
      <c r="AC52" s="275">
        <v>0.53681539999999994</v>
      </c>
      <c r="AE52" s="260"/>
      <c r="AF52" s="261">
        <v>0.44</v>
      </c>
      <c r="AG52" s="260"/>
      <c r="AH52" s="320"/>
      <c r="AJ52" s="346">
        <f t="shared" si="81"/>
        <v>409878.5990082667</v>
      </c>
      <c r="AK52" s="346">
        <f t="shared" si="81"/>
        <v>409878.5990082667</v>
      </c>
      <c r="AL52" s="346">
        <f t="shared" si="81"/>
        <v>409878.5990082667</v>
      </c>
      <c r="AN52" s="346">
        <f t="shared" si="83"/>
        <v>6148.1789851239992</v>
      </c>
      <c r="AO52" s="346">
        <f t="shared" si="82"/>
        <v>6148.1789851239992</v>
      </c>
      <c r="AP52" s="346">
        <f t="shared" si="82"/>
        <v>6148.1789851239992</v>
      </c>
    </row>
    <row r="53" spans="2:42" ht="18.649999999999999" customHeight="1" x14ac:dyDescent="0.35">
      <c r="B53" s="321" t="s">
        <v>120</v>
      </c>
      <c r="C53" s="293" t="s">
        <v>97</v>
      </c>
      <c r="D53" s="310" t="s">
        <v>106</v>
      </c>
      <c r="E53" s="311" t="s">
        <v>46</v>
      </c>
      <c r="F53" s="311" t="s">
        <v>91</v>
      </c>
      <c r="G53" s="263" t="s">
        <v>98</v>
      </c>
      <c r="H53" s="310" t="s">
        <v>88</v>
      </c>
      <c r="I53" s="263" t="s">
        <v>107</v>
      </c>
      <c r="J53" s="553" t="s">
        <v>96</v>
      </c>
      <c r="K53" s="263" t="s">
        <v>89</v>
      </c>
      <c r="L53" s="266">
        <f t="shared" si="77"/>
        <v>21</v>
      </c>
      <c r="M53" s="267">
        <v>45460</v>
      </c>
      <c r="N53" s="267">
        <v>45480</v>
      </c>
      <c r="O53" s="266">
        <f t="shared" si="78"/>
        <v>991214.3046521761</v>
      </c>
      <c r="P53" s="268" t="s">
        <v>17</v>
      </c>
      <c r="Q53" s="312">
        <v>0.01</v>
      </c>
      <c r="R53" s="266">
        <f t="shared" ref="R53:R54" si="87">O53*Q53</f>
        <v>9912.1430465217618</v>
      </c>
      <c r="S53" s="268" t="s">
        <v>17</v>
      </c>
      <c r="T53" s="271" t="s">
        <v>17</v>
      </c>
      <c r="U53" s="266">
        <f t="shared" ref="U53" si="88">AB53*AC53</f>
        <v>495607.15232608805</v>
      </c>
      <c r="V53" s="266">
        <v>2</v>
      </c>
      <c r="W53" s="266"/>
      <c r="X53" s="272">
        <v>200</v>
      </c>
      <c r="Y53" s="273">
        <f>O53*X53/1000</f>
        <v>198242.86093043521</v>
      </c>
      <c r="Z53" s="273">
        <f t="shared" si="73"/>
        <v>199.99999999999997</v>
      </c>
      <c r="AA53" s="273">
        <f t="shared" si="86"/>
        <v>19.999999999999996</v>
      </c>
      <c r="AB53" s="274">
        <v>1398842</v>
      </c>
      <c r="AC53" s="275">
        <v>0.35429816400000003</v>
      </c>
      <c r="AE53" s="260"/>
      <c r="AF53" s="261">
        <v>0.26400000000000001</v>
      </c>
      <c r="AG53" s="260"/>
      <c r="AH53" s="562"/>
      <c r="AJ53" s="346">
        <f t="shared" si="81"/>
        <v>330404.76821739203</v>
      </c>
      <c r="AK53" s="346">
        <f t="shared" si="81"/>
        <v>330404.76821739203</v>
      </c>
      <c r="AL53" s="346">
        <f t="shared" si="81"/>
        <v>330404.76821739203</v>
      </c>
      <c r="AN53" s="346">
        <f t="shared" si="83"/>
        <v>3304.0476821739207</v>
      </c>
      <c r="AO53" s="346">
        <f t="shared" si="82"/>
        <v>3304.0476821739207</v>
      </c>
      <c r="AP53" s="346">
        <f t="shared" si="82"/>
        <v>3304.0476821739207</v>
      </c>
    </row>
    <row r="54" spans="2:42" ht="18.649999999999999" customHeight="1" x14ac:dyDescent="0.35">
      <c r="B54" s="321" t="s">
        <v>120</v>
      </c>
      <c r="C54" s="293" t="s">
        <v>97</v>
      </c>
      <c r="D54" s="310" t="s">
        <v>588</v>
      </c>
      <c r="E54" s="263" t="s">
        <v>46</v>
      </c>
      <c r="F54" s="310" t="s">
        <v>589</v>
      </c>
      <c r="G54" s="263" t="s">
        <v>98</v>
      </c>
      <c r="H54" s="265" t="s">
        <v>88</v>
      </c>
      <c r="I54" s="265" t="s">
        <v>590</v>
      </c>
      <c r="J54" s="553" t="s">
        <v>591</v>
      </c>
      <c r="K54" s="263" t="s">
        <v>592</v>
      </c>
      <c r="L54" s="266">
        <f t="shared" si="77"/>
        <v>21</v>
      </c>
      <c r="M54" s="267">
        <v>45460</v>
      </c>
      <c r="N54" s="267">
        <v>45480</v>
      </c>
      <c r="O54" s="266">
        <f>U54*3</f>
        <v>101177.79000000001</v>
      </c>
      <c r="P54" s="268" t="s">
        <v>17</v>
      </c>
      <c r="Q54" s="269">
        <v>1.4999999999999999E-2</v>
      </c>
      <c r="R54" s="266">
        <f t="shared" si="87"/>
        <v>1517.6668500000001</v>
      </c>
      <c r="S54" s="268" t="s">
        <v>17</v>
      </c>
      <c r="T54" s="271" t="s">
        <v>17</v>
      </c>
      <c r="U54" s="266">
        <f>AB54*AC54</f>
        <v>33725.93</v>
      </c>
      <c r="V54" s="266">
        <f>O54/U54</f>
        <v>3</v>
      </c>
      <c r="W54" s="266"/>
      <c r="X54" s="272">
        <v>2</v>
      </c>
      <c r="Y54" s="273">
        <f>O54/3*X54</f>
        <v>67451.86</v>
      </c>
      <c r="Z54" s="273">
        <f t="shared" si="73"/>
        <v>666.66666666666663</v>
      </c>
      <c r="AA54" s="273">
        <f t="shared" si="86"/>
        <v>44.444444444444443</v>
      </c>
      <c r="AB54" s="274">
        <v>481799</v>
      </c>
      <c r="AC54" s="275">
        <v>7.0000000000000007E-2</v>
      </c>
      <c r="AE54" s="260"/>
      <c r="AF54" s="261">
        <v>0.26400000000000001</v>
      </c>
      <c r="AG54" s="260"/>
      <c r="AJ54" s="346">
        <f t="shared" si="81"/>
        <v>33725.930000000008</v>
      </c>
      <c r="AK54" s="346">
        <f t="shared" si="81"/>
        <v>33725.930000000008</v>
      </c>
      <c r="AL54" s="346">
        <f t="shared" si="81"/>
        <v>33725.930000000008</v>
      </c>
      <c r="AN54" s="346">
        <f t="shared" si="83"/>
        <v>505.88895000000002</v>
      </c>
      <c r="AO54" s="346">
        <f t="shared" si="82"/>
        <v>505.88895000000002</v>
      </c>
      <c r="AP54" s="346">
        <f t="shared" si="82"/>
        <v>505.88895000000002</v>
      </c>
    </row>
    <row r="55" spans="2:42" ht="18.649999999999999" customHeight="1" x14ac:dyDescent="0.35">
      <c r="B55" s="321" t="s">
        <v>120</v>
      </c>
      <c r="C55" s="293" t="s">
        <v>97</v>
      </c>
      <c r="D55" s="310" t="s">
        <v>109</v>
      </c>
      <c r="E55" s="263" t="s">
        <v>46</v>
      </c>
      <c r="F55" s="310" t="s">
        <v>100</v>
      </c>
      <c r="G55" s="263" t="s">
        <v>98</v>
      </c>
      <c r="H55" s="265" t="s">
        <v>88</v>
      </c>
      <c r="I55" s="265" t="s">
        <v>110</v>
      </c>
      <c r="J55" s="553" t="s">
        <v>96</v>
      </c>
      <c r="K55" s="263" t="s">
        <v>111</v>
      </c>
      <c r="L55" s="266">
        <f t="shared" si="77"/>
        <v>21</v>
      </c>
      <c r="M55" s="267">
        <v>45460</v>
      </c>
      <c r="N55" s="267">
        <v>45480</v>
      </c>
      <c r="O55" s="266">
        <f t="shared" si="78"/>
        <v>2125760.0000000005</v>
      </c>
      <c r="P55" s="268" t="s">
        <v>17</v>
      </c>
      <c r="Q55" s="269">
        <v>0.02</v>
      </c>
      <c r="R55" s="266">
        <f>O55*Q55</f>
        <v>42515.200000000012</v>
      </c>
      <c r="S55" s="268" t="s">
        <v>17</v>
      </c>
      <c r="T55" s="271" t="s">
        <v>17</v>
      </c>
      <c r="U55" s="266">
        <f>AB55*AC55</f>
        <v>2125760.0000000005</v>
      </c>
      <c r="V55" s="266">
        <v>1</v>
      </c>
      <c r="W55" s="266"/>
      <c r="X55" s="272">
        <v>4.5</v>
      </c>
      <c r="Y55" s="273">
        <f>R55*X55</f>
        <v>191318.40000000005</v>
      </c>
      <c r="Z55" s="273">
        <f t="shared" si="73"/>
        <v>90.000000000000014</v>
      </c>
      <c r="AA55" s="273">
        <f t="shared" si="86"/>
        <v>4.5</v>
      </c>
      <c r="AB55" s="274">
        <v>3270400.0000000005</v>
      </c>
      <c r="AC55" s="275">
        <v>0.65</v>
      </c>
      <c r="AE55" s="260"/>
      <c r="AF55" s="261">
        <v>0.61599999999999999</v>
      </c>
      <c r="AG55" s="260"/>
      <c r="AJ55" s="346">
        <f t="shared" si="81"/>
        <v>708586.66666666674</v>
      </c>
      <c r="AK55" s="346">
        <f t="shared" si="81"/>
        <v>708586.66666666674</v>
      </c>
      <c r="AL55" s="346">
        <f t="shared" si="81"/>
        <v>708586.66666666674</v>
      </c>
      <c r="AN55" s="346">
        <f t="shared" si="83"/>
        <v>14171.733333333337</v>
      </c>
      <c r="AO55" s="346">
        <f t="shared" si="82"/>
        <v>14171.733333333337</v>
      </c>
      <c r="AP55" s="346">
        <f t="shared" si="82"/>
        <v>14171.733333333337</v>
      </c>
    </row>
    <row r="56" spans="2:42" ht="18.649999999999999" customHeight="1" x14ac:dyDescent="0.35">
      <c r="B56" s="321" t="s">
        <v>120</v>
      </c>
      <c r="C56" s="293" t="s">
        <v>97</v>
      </c>
      <c r="D56" s="310" t="s">
        <v>600</v>
      </c>
      <c r="E56" s="314" t="s">
        <v>46</v>
      </c>
      <c r="F56" s="311" t="s">
        <v>565</v>
      </c>
      <c r="G56" s="263" t="s">
        <v>101</v>
      </c>
      <c r="H56" s="265" t="s">
        <v>88</v>
      </c>
      <c r="I56" s="265" t="s">
        <v>527</v>
      </c>
      <c r="J56" s="552" t="s">
        <v>566</v>
      </c>
      <c r="K56" s="263" t="s">
        <v>89</v>
      </c>
      <c r="L56" s="266">
        <f>N56-M56+1</f>
        <v>13</v>
      </c>
      <c r="M56" s="267">
        <v>45460</v>
      </c>
      <c r="N56" s="267">
        <v>45472</v>
      </c>
      <c r="O56" s="266">
        <f>U56*V56</f>
        <v>640126.4</v>
      </c>
      <c r="P56" s="315" t="s">
        <v>17</v>
      </c>
      <c r="Q56" s="315">
        <v>5.0000000000000001E-3</v>
      </c>
      <c r="R56" s="266">
        <f>O56*Q56</f>
        <v>3200.6320000000001</v>
      </c>
      <c r="S56" s="271" t="s">
        <v>17</v>
      </c>
      <c r="T56" s="266" t="s">
        <v>17</v>
      </c>
      <c r="U56" s="266">
        <f>AB56*AC56</f>
        <v>320063.2</v>
      </c>
      <c r="V56" s="266">
        <v>2</v>
      </c>
      <c r="W56" s="266"/>
      <c r="X56" s="273">
        <v>105</v>
      </c>
      <c r="Y56" s="273">
        <f>O56/1000*X56</f>
        <v>67213.271999999997</v>
      </c>
      <c r="Z56" s="273">
        <f t="shared" si="73"/>
        <v>105</v>
      </c>
      <c r="AA56" s="273">
        <f t="shared" si="86"/>
        <v>21</v>
      </c>
      <c r="AB56" s="274">
        <v>800158</v>
      </c>
      <c r="AC56" s="275">
        <v>0.4</v>
      </c>
      <c r="AD56" s="313"/>
      <c r="AE56" s="260"/>
      <c r="AF56" s="260">
        <v>0.28941776903702171</v>
      </c>
      <c r="AG56" s="260"/>
      <c r="AH56" s="260"/>
      <c r="AJ56" s="346">
        <f t="shared" si="81"/>
        <v>344683.44615384616</v>
      </c>
      <c r="AK56" s="346">
        <f>$O56/$L56*6</f>
        <v>295442.95384615386</v>
      </c>
      <c r="AL56" s="346"/>
      <c r="AN56" s="346">
        <f>R56/$L56*7</f>
        <v>1723.4172307692306</v>
      </c>
      <c r="AO56" s="346">
        <f>$R$56/$L56*6</f>
        <v>1477.2147692307692</v>
      </c>
      <c r="AP56" s="346"/>
    </row>
    <row r="57" spans="2:42" ht="18.649999999999999" customHeight="1" x14ac:dyDescent="0.35">
      <c r="B57" s="321" t="s">
        <v>120</v>
      </c>
      <c r="C57" s="293" t="s">
        <v>97</v>
      </c>
      <c r="D57" s="311" t="s">
        <v>116</v>
      </c>
      <c r="E57" s="263" t="s">
        <v>46</v>
      </c>
      <c r="F57" s="311" t="s">
        <v>114</v>
      </c>
      <c r="G57" s="263" t="s">
        <v>98</v>
      </c>
      <c r="H57" s="265" t="s">
        <v>88</v>
      </c>
      <c r="I57" s="265" t="s">
        <v>115</v>
      </c>
      <c r="J57" s="552" t="s">
        <v>96</v>
      </c>
      <c r="K57" s="263" t="s">
        <v>105</v>
      </c>
      <c r="L57" s="266">
        <f>N57-M57+1</f>
        <v>6</v>
      </c>
      <c r="M57" s="267">
        <v>45471</v>
      </c>
      <c r="N57" s="267">
        <v>45476</v>
      </c>
      <c r="O57" s="266">
        <f>362315/14*6</f>
        <v>155277.85714285716</v>
      </c>
      <c r="P57" s="268" t="s">
        <v>17</v>
      </c>
      <c r="Q57" s="315">
        <v>0.01</v>
      </c>
      <c r="R57" s="266">
        <f>O57*Q57</f>
        <v>1552.7785714285717</v>
      </c>
      <c r="S57" s="268" t="s">
        <v>17</v>
      </c>
      <c r="T57" s="271" t="s">
        <v>17</v>
      </c>
      <c r="U57" s="266">
        <f>O57/V57</f>
        <v>62111.142857142862</v>
      </c>
      <c r="V57" s="266">
        <v>2.5</v>
      </c>
      <c r="W57" s="266"/>
      <c r="X57" s="272">
        <v>260</v>
      </c>
      <c r="Y57" s="273">
        <f>(O57/1000)*X57</f>
        <v>40372.242857142861</v>
      </c>
      <c r="Z57" s="273">
        <f t="shared" si="73"/>
        <v>260</v>
      </c>
      <c r="AA57" s="273">
        <f t="shared" si="86"/>
        <v>25.999999999999996</v>
      </c>
      <c r="AB57" s="274">
        <v>169080</v>
      </c>
      <c r="AC57" s="275">
        <f>U57/AB57</f>
        <v>0.36734766298286531</v>
      </c>
      <c r="AE57" s="260"/>
      <c r="AF57" s="261">
        <v>0.37714360066240832</v>
      </c>
      <c r="AG57" s="260"/>
      <c r="AJ57" s="346"/>
      <c r="AK57" s="346">
        <f>$O57/$L57*3</f>
        <v>77638.92857142858</v>
      </c>
      <c r="AL57" s="346">
        <f>$O57/$L57*3</f>
        <v>77638.92857142858</v>
      </c>
      <c r="AN57" s="346"/>
      <c r="AO57" s="346">
        <f>$R$57/$L57*3</f>
        <v>776.38928571428596</v>
      </c>
      <c r="AP57" s="346">
        <f>$R$57/$L57*3</f>
        <v>776.38928571428596</v>
      </c>
    </row>
    <row r="58" spans="2:42" ht="18.649999999999999" customHeight="1" x14ac:dyDescent="0.35">
      <c r="B58" s="277" t="str">
        <f>B57</f>
        <v>Ahmedabad</v>
      </c>
      <c r="C58" s="278"/>
      <c r="D58" s="279" t="s">
        <v>18</v>
      </c>
      <c r="E58" s="280"/>
      <c r="F58" s="279"/>
      <c r="G58" s="280"/>
      <c r="H58" s="280"/>
      <c r="I58" s="281"/>
      <c r="J58" s="546"/>
      <c r="K58" s="283"/>
      <c r="L58" s="284"/>
      <c r="M58" s="284"/>
      <c r="N58" s="284"/>
      <c r="O58" s="284">
        <f>SUM(O47:O57)</f>
        <v>17645111.112246703</v>
      </c>
      <c r="P58" s="284"/>
      <c r="Q58" s="285">
        <f>R58/O58</f>
        <v>5.56797405248692E-3</v>
      </c>
      <c r="R58" s="284">
        <f>SUM(R47:R57)</f>
        <v>98247.520826238266</v>
      </c>
      <c r="S58" s="286"/>
      <c r="T58" s="316">
        <f>SUM(T47:T57)</f>
        <v>9055823.6526345294</v>
      </c>
      <c r="U58" s="284">
        <f>U55+(SUM(U47:U47,U56:U57,U48:U49,U50:U54)*10%)</f>
        <v>2707077.0944874347</v>
      </c>
      <c r="V58" s="284">
        <f>O58/U58</f>
        <v>6.5181413370821186</v>
      </c>
      <c r="W58" s="284"/>
      <c r="X58" s="287"/>
      <c r="Y58" s="317">
        <f>SUM(Y47:Y57)</f>
        <v>2300390.5676126452</v>
      </c>
      <c r="Z58" s="288">
        <f t="shared" si="73"/>
        <v>130.36985445878233</v>
      </c>
      <c r="AA58" s="288">
        <f t="shared" si="86"/>
        <v>23.414235272981017</v>
      </c>
      <c r="AB58" s="284">
        <f>AB55+(SUM(AB47:AB54,AB56:AB57)*2%)</f>
        <v>3494320.9899500003</v>
      </c>
      <c r="AC58" s="289">
        <f>U58/AB58</f>
        <v>0.77470761909774344</v>
      </c>
      <c r="AD58" s="261"/>
      <c r="AE58" s="290"/>
      <c r="AF58" s="261">
        <v>0.71765482548306614</v>
      </c>
      <c r="AG58" s="290"/>
      <c r="AH58" s="460"/>
      <c r="AI58" s="459"/>
    </row>
    <row r="59" spans="2:42" ht="18.649999999999999" customHeight="1" x14ac:dyDescent="0.35">
      <c r="B59" s="321" t="s">
        <v>25</v>
      </c>
      <c r="C59" s="293" t="s">
        <v>93</v>
      </c>
      <c r="D59" s="294" t="s">
        <v>94</v>
      </c>
      <c r="E59" s="294" t="s">
        <v>45</v>
      </c>
      <c r="F59" s="295" t="s">
        <v>87</v>
      </c>
      <c r="G59" s="295" t="s">
        <v>50</v>
      </c>
      <c r="H59" s="296" t="s">
        <v>95</v>
      </c>
      <c r="I59" s="296" t="s">
        <v>572</v>
      </c>
      <c r="J59" s="551" t="s">
        <v>96</v>
      </c>
      <c r="K59" s="295" t="s">
        <v>89</v>
      </c>
      <c r="L59" s="298">
        <f t="shared" ref="L59:L67" si="89">N59-(M59-1)</f>
        <v>21</v>
      </c>
      <c r="M59" s="299">
        <v>45460</v>
      </c>
      <c r="N59" s="299">
        <v>45480</v>
      </c>
      <c r="O59" s="298">
        <f t="shared" ref="O59:O68" si="90">U59*V59</f>
        <v>2447470.2442959999</v>
      </c>
      <c r="P59" s="300" t="s">
        <v>17</v>
      </c>
      <c r="Q59" s="301"/>
      <c r="R59" s="298"/>
      <c r="S59" s="302">
        <v>0.85</v>
      </c>
      <c r="T59" s="303">
        <f t="shared" ref="T59:T60" si="91">O59*S59</f>
        <v>2080349.7076515998</v>
      </c>
      <c r="U59" s="298">
        <f>AB59*AC59</f>
        <v>489494.04885919997</v>
      </c>
      <c r="V59" s="298">
        <v>5</v>
      </c>
      <c r="W59" s="298"/>
      <c r="X59" s="304">
        <v>170</v>
      </c>
      <c r="Y59" s="305">
        <f t="shared" ref="Y59:Y64" si="92">(O59/1000)*X59</f>
        <v>416069.94153031992</v>
      </c>
      <c r="Z59" s="305">
        <f t="shared" si="73"/>
        <v>169.99999999999997</v>
      </c>
      <c r="AA59" s="305"/>
      <c r="AB59" s="306">
        <v>569905</v>
      </c>
      <c r="AC59" s="307">
        <v>0.85890464</v>
      </c>
      <c r="AD59" s="261"/>
      <c r="AE59" s="260"/>
      <c r="AF59" s="261">
        <v>0.70400000000000007</v>
      </c>
      <c r="AG59" s="260"/>
      <c r="AJ59" s="346">
        <f t="shared" si="81"/>
        <v>815823.41476533329</v>
      </c>
      <c r="AK59" s="346">
        <f t="shared" si="81"/>
        <v>815823.41476533329</v>
      </c>
      <c r="AL59" s="346">
        <f t="shared" si="81"/>
        <v>815823.41476533329</v>
      </c>
      <c r="AN59" s="346">
        <f>$R59/$L59*7</f>
        <v>0</v>
      </c>
      <c r="AO59" s="346">
        <f t="shared" ref="AO59:AP67" si="93">$R59/$L59*7</f>
        <v>0</v>
      </c>
      <c r="AP59" s="346">
        <f t="shared" si="93"/>
        <v>0</v>
      </c>
    </row>
    <row r="60" spans="2:42" ht="18.649999999999999" customHeight="1" x14ac:dyDescent="0.35">
      <c r="B60" s="321" t="s">
        <v>25</v>
      </c>
      <c r="C60" s="293" t="s">
        <v>93</v>
      </c>
      <c r="D60" s="295" t="s">
        <v>86</v>
      </c>
      <c r="E60" s="295" t="s">
        <v>45</v>
      </c>
      <c r="F60" s="295" t="s">
        <v>87</v>
      </c>
      <c r="G60" s="296" t="s">
        <v>50</v>
      </c>
      <c r="H60" s="296" t="s">
        <v>95</v>
      </c>
      <c r="I60" s="296" t="s">
        <v>573</v>
      </c>
      <c r="J60" s="551" t="s">
        <v>96</v>
      </c>
      <c r="K60" s="295" t="s">
        <v>89</v>
      </c>
      <c r="L60" s="298">
        <f t="shared" si="89"/>
        <v>21</v>
      </c>
      <c r="M60" s="299">
        <v>45460</v>
      </c>
      <c r="N60" s="299">
        <v>45480</v>
      </c>
      <c r="O60" s="298">
        <f t="shared" si="90"/>
        <v>7901171.1464400012</v>
      </c>
      <c r="P60" s="300" t="s">
        <v>17</v>
      </c>
      <c r="Q60" s="301"/>
      <c r="R60" s="298"/>
      <c r="S60" s="302">
        <v>0.8</v>
      </c>
      <c r="T60" s="303">
        <f t="shared" si="91"/>
        <v>6320936.9171520015</v>
      </c>
      <c r="U60" s="298">
        <f>AB60*AC60</f>
        <v>1316861.8577400001</v>
      </c>
      <c r="V60" s="298">
        <v>6</v>
      </c>
      <c r="W60" s="298"/>
      <c r="X60" s="304">
        <v>150</v>
      </c>
      <c r="Y60" s="305">
        <f t="shared" si="92"/>
        <v>1185175.6719660002</v>
      </c>
      <c r="Z60" s="305">
        <f t="shared" si="73"/>
        <v>150</v>
      </c>
      <c r="AA60" s="305"/>
      <c r="AB60" s="306">
        <v>1443000</v>
      </c>
      <c r="AC60" s="307">
        <v>0.91258618000000002</v>
      </c>
      <c r="AF60" s="261">
        <v>0.748</v>
      </c>
      <c r="AJ60" s="346">
        <f t="shared" si="81"/>
        <v>2633723.7154800002</v>
      </c>
      <c r="AK60" s="346">
        <f t="shared" si="81"/>
        <v>2633723.7154800002</v>
      </c>
      <c r="AL60" s="346">
        <f t="shared" si="81"/>
        <v>2633723.7154800002</v>
      </c>
      <c r="AN60" s="346">
        <f t="shared" ref="AN60:AN67" si="94">$R60/$L60*7</f>
        <v>0</v>
      </c>
      <c r="AO60" s="346">
        <f t="shared" si="93"/>
        <v>0</v>
      </c>
      <c r="AP60" s="346">
        <f t="shared" si="93"/>
        <v>0</v>
      </c>
    </row>
    <row r="61" spans="2:42" ht="18.649999999999999" customHeight="1" x14ac:dyDescent="0.35">
      <c r="B61" s="321" t="s">
        <v>25</v>
      </c>
      <c r="C61" s="293" t="s">
        <v>97</v>
      </c>
      <c r="D61" s="264" t="s">
        <v>561</v>
      </c>
      <c r="E61" s="264" t="s">
        <v>45</v>
      </c>
      <c r="F61" s="263" t="s">
        <v>87</v>
      </c>
      <c r="G61" s="263" t="s">
        <v>98</v>
      </c>
      <c r="H61" s="265" t="s">
        <v>90</v>
      </c>
      <c r="I61" s="265" t="s">
        <v>574</v>
      </c>
      <c r="J61" s="552" t="s">
        <v>96</v>
      </c>
      <c r="K61" s="263" t="s">
        <v>89</v>
      </c>
      <c r="L61" s="266">
        <f t="shared" si="89"/>
        <v>21</v>
      </c>
      <c r="M61" s="267">
        <v>45460</v>
      </c>
      <c r="N61" s="267">
        <v>45480</v>
      </c>
      <c r="O61" s="266">
        <f t="shared" si="90"/>
        <v>2880635.3138062498</v>
      </c>
      <c r="P61" s="268" t="s">
        <v>17</v>
      </c>
      <c r="Q61" s="269">
        <v>1E-3</v>
      </c>
      <c r="R61" s="266">
        <f t="shared" ref="R61:R62" si="95">O61*Q61</f>
        <v>2880.63531380625</v>
      </c>
      <c r="S61" s="270">
        <v>0.8</v>
      </c>
      <c r="T61" s="271">
        <f>O61*S61</f>
        <v>2304508.2510449998</v>
      </c>
      <c r="U61" s="266">
        <f t="shared" ref="U61:U62" si="96">AB61*AC61</f>
        <v>1646077.3221749999</v>
      </c>
      <c r="V61" s="266">
        <v>1.75</v>
      </c>
      <c r="W61" s="266"/>
      <c r="X61" s="272">
        <v>70</v>
      </c>
      <c r="Y61" s="273">
        <f t="shared" si="92"/>
        <v>201644.47196643747</v>
      </c>
      <c r="Z61" s="273">
        <f t="shared" si="73"/>
        <v>69.999999999999986</v>
      </c>
      <c r="AA61" s="273">
        <f t="shared" ref="AA61:AA68" si="97">Y61/R61</f>
        <v>69.999999999999986</v>
      </c>
      <c r="AB61" s="274">
        <f>3174600*85%</f>
        <v>2698410</v>
      </c>
      <c r="AC61" s="275">
        <v>0.61001749999999999</v>
      </c>
      <c r="AE61" s="260"/>
      <c r="AF61" s="261">
        <v>0.66</v>
      </c>
      <c r="AG61" s="260"/>
      <c r="AJ61" s="346">
        <f t="shared" si="81"/>
        <v>960211.77126874996</v>
      </c>
      <c r="AK61" s="346">
        <f t="shared" si="81"/>
        <v>960211.77126874996</v>
      </c>
      <c r="AL61" s="346">
        <f t="shared" si="81"/>
        <v>960211.77126874996</v>
      </c>
      <c r="AN61" s="346">
        <f t="shared" si="94"/>
        <v>960.21177126875</v>
      </c>
      <c r="AO61" s="346">
        <f t="shared" si="93"/>
        <v>960.21177126875</v>
      </c>
      <c r="AP61" s="346">
        <f t="shared" si="93"/>
        <v>960.21177126875</v>
      </c>
    </row>
    <row r="62" spans="2:42" ht="18.649999999999999" customHeight="1" x14ac:dyDescent="0.35">
      <c r="B62" s="321" t="s">
        <v>25</v>
      </c>
      <c r="C62" s="293" t="s">
        <v>97</v>
      </c>
      <c r="D62" s="264" t="s">
        <v>86</v>
      </c>
      <c r="E62" s="264" t="s">
        <v>45</v>
      </c>
      <c r="F62" s="263" t="s">
        <v>87</v>
      </c>
      <c r="G62" s="263" t="s">
        <v>98</v>
      </c>
      <c r="H62" s="265" t="s">
        <v>90</v>
      </c>
      <c r="I62" s="265" t="s">
        <v>571</v>
      </c>
      <c r="J62" s="552" t="s">
        <v>96</v>
      </c>
      <c r="K62" s="263" t="s">
        <v>89</v>
      </c>
      <c r="L62" s="266">
        <f t="shared" si="89"/>
        <v>21</v>
      </c>
      <c r="M62" s="267">
        <v>45460</v>
      </c>
      <c r="N62" s="267">
        <v>45480</v>
      </c>
      <c r="O62" s="266">
        <f t="shared" si="90"/>
        <v>3095235</v>
      </c>
      <c r="P62" s="268" t="s">
        <v>17</v>
      </c>
      <c r="Q62" s="269">
        <v>1E-3</v>
      </c>
      <c r="R62" s="266">
        <f t="shared" si="95"/>
        <v>3095.2350000000001</v>
      </c>
      <c r="S62" s="270">
        <v>0.8</v>
      </c>
      <c r="T62" s="271">
        <f>O62*S62</f>
        <v>2476188</v>
      </c>
      <c r="U62" s="266">
        <f t="shared" si="96"/>
        <v>2063490</v>
      </c>
      <c r="V62" s="266">
        <v>1.5</v>
      </c>
      <c r="W62" s="266"/>
      <c r="X62" s="272">
        <v>110</v>
      </c>
      <c r="Y62" s="273">
        <f t="shared" si="92"/>
        <v>340475.85000000003</v>
      </c>
      <c r="Z62" s="273">
        <f t="shared" si="73"/>
        <v>110.00000000000001</v>
      </c>
      <c r="AA62" s="273">
        <f t="shared" si="97"/>
        <v>110</v>
      </c>
      <c r="AB62" s="274">
        <v>3174600</v>
      </c>
      <c r="AC62" s="275">
        <v>0.65</v>
      </c>
      <c r="AE62" s="260"/>
      <c r="AF62" s="261">
        <v>0.66</v>
      </c>
      <c r="AG62" s="260"/>
      <c r="AH62" s="458"/>
      <c r="AI62" s="459"/>
      <c r="AJ62" s="346">
        <f t="shared" si="81"/>
        <v>1031745.0000000001</v>
      </c>
      <c r="AK62" s="346">
        <f t="shared" si="81"/>
        <v>1031745.0000000001</v>
      </c>
      <c r="AL62" s="346">
        <f t="shared" si="81"/>
        <v>1031745.0000000001</v>
      </c>
      <c r="AN62" s="346">
        <f t="shared" si="94"/>
        <v>1031.7449999999999</v>
      </c>
      <c r="AO62" s="346">
        <f t="shared" si="93"/>
        <v>1031.7449999999999</v>
      </c>
      <c r="AP62" s="346">
        <f t="shared" si="93"/>
        <v>1031.7449999999999</v>
      </c>
    </row>
    <row r="63" spans="2:42" ht="18.649999999999999" customHeight="1" x14ac:dyDescent="0.35">
      <c r="B63" s="321" t="s">
        <v>25</v>
      </c>
      <c r="C63" s="293" t="s">
        <v>97</v>
      </c>
      <c r="D63" s="263" t="s">
        <v>99</v>
      </c>
      <c r="E63" s="263" t="s">
        <v>46</v>
      </c>
      <c r="F63" s="263" t="s">
        <v>100</v>
      </c>
      <c r="G63" s="263" t="s">
        <v>101</v>
      </c>
      <c r="H63" s="265" t="s">
        <v>88</v>
      </c>
      <c r="I63" s="265" t="s">
        <v>102</v>
      </c>
      <c r="J63" s="553" t="s">
        <v>96</v>
      </c>
      <c r="K63" s="263" t="s">
        <v>89</v>
      </c>
      <c r="L63" s="266">
        <f t="shared" si="89"/>
        <v>21</v>
      </c>
      <c r="M63" s="267">
        <v>45460</v>
      </c>
      <c r="N63" s="267">
        <v>45480</v>
      </c>
      <c r="O63" s="266">
        <f t="shared" si="90"/>
        <v>1651344.76960596</v>
      </c>
      <c r="P63" s="268" t="s">
        <v>17</v>
      </c>
      <c r="Q63" s="269">
        <v>1.4999999999999999E-2</v>
      </c>
      <c r="R63" s="266">
        <f>O63*Q63</f>
        <v>24770.1715440894</v>
      </c>
      <c r="S63" s="268" t="s">
        <v>17</v>
      </c>
      <c r="T63" s="271" t="s">
        <v>17</v>
      </c>
      <c r="U63" s="266">
        <f>AB63*AC63</f>
        <v>825672.38480298</v>
      </c>
      <c r="V63" s="266">
        <v>2</v>
      </c>
      <c r="W63" s="266"/>
      <c r="X63" s="272">
        <v>105</v>
      </c>
      <c r="Y63" s="273">
        <f t="shared" si="92"/>
        <v>173391.20080862578</v>
      </c>
      <c r="Z63" s="273">
        <f t="shared" si="73"/>
        <v>105</v>
      </c>
      <c r="AA63" s="273">
        <f t="shared" si="97"/>
        <v>6.9999999999999991</v>
      </c>
      <c r="AB63" s="274">
        <f>AB61*95%</f>
        <v>2563489.5</v>
      </c>
      <c r="AC63" s="275">
        <v>0.32208924</v>
      </c>
      <c r="AE63" s="260"/>
      <c r="AF63" s="261">
        <v>0.26400000000000001</v>
      </c>
      <c r="AG63" s="260"/>
      <c r="AI63" s="459"/>
      <c r="AJ63" s="346">
        <f t="shared" ref="AJ63:AL68" si="98">$O63/$L63*7</f>
        <v>550448.25653531996</v>
      </c>
      <c r="AK63" s="346">
        <f t="shared" si="98"/>
        <v>550448.25653531996</v>
      </c>
      <c r="AL63" s="346">
        <f t="shared" si="98"/>
        <v>550448.25653531996</v>
      </c>
      <c r="AN63" s="346">
        <f t="shared" si="94"/>
        <v>8256.7238480298001</v>
      </c>
      <c r="AO63" s="346">
        <f t="shared" si="93"/>
        <v>8256.7238480298001</v>
      </c>
      <c r="AP63" s="346">
        <f t="shared" si="93"/>
        <v>8256.7238480298001</v>
      </c>
    </row>
    <row r="64" spans="2:42" ht="18.649999999999999" customHeight="1" x14ac:dyDescent="0.35">
      <c r="B64" s="321" t="str">
        <f>B63</f>
        <v>Chennai</v>
      </c>
      <c r="C64" s="293" t="s">
        <v>97</v>
      </c>
      <c r="D64" s="310" t="s">
        <v>103</v>
      </c>
      <c r="E64" s="263" t="s">
        <v>46</v>
      </c>
      <c r="F64" s="310" t="s">
        <v>100</v>
      </c>
      <c r="G64" s="263" t="s">
        <v>98</v>
      </c>
      <c r="H64" s="265" t="s">
        <v>88</v>
      </c>
      <c r="I64" s="265" t="s">
        <v>104</v>
      </c>
      <c r="J64" s="553" t="s">
        <v>96</v>
      </c>
      <c r="K64" s="263" t="s">
        <v>105</v>
      </c>
      <c r="L64" s="266">
        <f t="shared" si="89"/>
        <v>21</v>
      </c>
      <c r="M64" s="267">
        <v>45460</v>
      </c>
      <c r="N64" s="267">
        <v>45480</v>
      </c>
      <c r="O64" s="266">
        <f t="shared" si="90"/>
        <v>1804924.7567427999</v>
      </c>
      <c r="P64" s="268" t="s">
        <v>17</v>
      </c>
      <c r="Q64" s="269">
        <v>1.4999999999999999E-2</v>
      </c>
      <c r="R64" s="266">
        <f>O64*Q64</f>
        <v>27073.871351141996</v>
      </c>
      <c r="S64" s="268" t="s">
        <v>17</v>
      </c>
      <c r="T64" s="271" t="s">
        <v>17</v>
      </c>
      <c r="U64" s="266">
        <f>AB64*AC64</f>
        <v>902462.37837139994</v>
      </c>
      <c r="V64" s="266">
        <v>2</v>
      </c>
      <c r="W64" s="266"/>
      <c r="X64" s="272">
        <v>120</v>
      </c>
      <c r="Y64" s="273">
        <f t="shared" si="92"/>
        <v>216590.97080913599</v>
      </c>
      <c r="Z64" s="273">
        <f t="shared" si="73"/>
        <v>120.00000000000001</v>
      </c>
      <c r="AA64" s="273">
        <f t="shared" si="97"/>
        <v>8.0000000000000018</v>
      </c>
      <c r="AB64" s="274">
        <v>1681141</v>
      </c>
      <c r="AC64" s="275">
        <v>0.53681539999999994</v>
      </c>
      <c r="AE64" s="260"/>
      <c r="AF64" s="261">
        <v>0.44</v>
      </c>
      <c r="AG64" s="260"/>
      <c r="AH64" s="320"/>
      <c r="AJ64" s="346">
        <f t="shared" si="98"/>
        <v>601641.58558093326</v>
      </c>
      <c r="AK64" s="346">
        <f t="shared" si="98"/>
        <v>601641.58558093326</v>
      </c>
      <c r="AL64" s="346">
        <f t="shared" si="98"/>
        <v>601641.58558093326</v>
      </c>
      <c r="AN64" s="346">
        <f t="shared" si="94"/>
        <v>9024.6237837139979</v>
      </c>
      <c r="AO64" s="346">
        <f t="shared" si="93"/>
        <v>9024.6237837139979</v>
      </c>
      <c r="AP64" s="346">
        <f t="shared" si="93"/>
        <v>9024.6237837139979</v>
      </c>
    </row>
    <row r="65" spans="2:42" ht="16.5" customHeight="1" x14ac:dyDescent="0.35">
      <c r="B65" s="321" t="str">
        <f>B64</f>
        <v>Chennai</v>
      </c>
      <c r="C65" s="293" t="s">
        <v>97</v>
      </c>
      <c r="D65" s="310" t="s">
        <v>106</v>
      </c>
      <c r="E65" s="311" t="s">
        <v>46</v>
      </c>
      <c r="F65" s="311" t="s">
        <v>91</v>
      </c>
      <c r="G65" s="263" t="s">
        <v>98</v>
      </c>
      <c r="H65" s="310" t="s">
        <v>88</v>
      </c>
      <c r="I65" s="263" t="s">
        <v>107</v>
      </c>
      <c r="J65" s="553" t="s">
        <v>96</v>
      </c>
      <c r="K65" s="263" t="s">
        <v>89</v>
      </c>
      <c r="L65" s="266">
        <f t="shared" si="89"/>
        <v>21</v>
      </c>
      <c r="M65" s="267">
        <v>45460</v>
      </c>
      <c r="N65" s="267">
        <v>45480</v>
      </c>
      <c r="O65" s="266">
        <f t="shared" si="90"/>
        <v>650280.26739825611</v>
      </c>
      <c r="P65" s="268" t="s">
        <v>17</v>
      </c>
      <c r="Q65" s="312">
        <v>0.01</v>
      </c>
      <c r="R65" s="266">
        <f t="shared" ref="R65:R66" si="99">O65*Q65</f>
        <v>6502.8026739825609</v>
      </c>
      <c r="S65" s="268" t="s">
        <v>17</v>
      </c>
      <c r="T65" s="271" t="s">
        <v>17</v>
      </c>
      <c r="U65" s="266">
        <f t="shared" ref="U65" si="100">AB65*AC65</f>
        <v>325140.13369912806</v>
      </c>
      <c r="V65" s="266">
        <v>2</v>
      </c>
      <c r="W65" s="266"/>
      <c r="X65" s="272">
        <v>200</v>
      </c>
      <c r="Y65" s="273">
        <f>O65*X65/1000</f>
        <v>130056.05347965122</v>
      </c>
      <c r="Z65" s="273">
        <f t="shared" si="73"/>
        <v>200</v>
      </c>
      <c r="AA65" s="273">
        <f t="shared" si="97"/>
        <v>20</v>
      </c>
      <c r="AB65" s="274">
        <v>1376553</v>
      </c>
      <c r="AC65" s="275">
        <v>0.23619877600000003</v>
      </c>
      <c r="AE65" s="260"/>
      <c r="AF65" s="261">
        <v>0.17600000000000002</v>
      </c>
      <c r="AG65" s="260"/>
      <c r="AH65" s="562"/>
      <c r="AJ65" s="346">
        <f t="shared" si="98"/>
        <v>216760.08913275204</v>
      </c>
      <c r="AK65" s="346">
        <f t="shared" si="98"/>
        <v>216760.08913275204</v>
      </c>
      <c r="AL65" s="346">
        <f t="shared" si="98"/>
        <v>216760.08913275204</v>
      </c>
      <c r="AN65" s="346">
        <f t="shared" si="94"/>
        <v>2167.6008913275205</v>
      </c>
      <c r="AO65" s="346">
        <f t="shared" si="93"/>
        <v>2167.6008913275205</v>
      </c>
      <c r="AP65" s="346">
        <f t="shared" si="93"/>
        <v>2167.6008913275205</v>
      </c>
    </row>
    <row r="66" spans="2:42" ht="18.649999999999999" customHeight="1" x14ac:dyDescent="0.35">
      <c r="B66" s="321" t="str">
        <f>B65</f>
        <v>Chennai</v>
      </c>
      <c r="C66" s="293" t="s">
        <v>97</v>
      </c>
      <c r="D66" s="310" t="s">
        <v>588</v>
      </c>
      <c r="E66" s="263" t="s">
        <v>46</v>
      </c>
      <c r="F66" s="310" t="s">
        <v>589</v>
      </c>
      <c r="G66" s="263" t="s">
        <v>98</v>
      </c>
      <c r="H66" s="265" t="s">
        <v>88</v>
      </c>
      <c r="I66" s="265" t="s">
        <v>590</v>
      </c>
      <c r="J66" s="553" t="s">
        <v>591</v>
      </c>
      <c r="K66" s="263" t="s">
        <v>592</v>
      </c>
      <c r="L66" s="266">
        <f t="shared" si="89"/>
        <v>21</v>
      </c>
      <c r="M66" s="267">
        <v>45460</v>
      </c>
      <c r="N66" s="267">
        <v>45480</v>
      </c>
      <c r="O66" s="266">
        <f>U66*3</f>
        <v>215845.77000000002</v>
      </c>
      <c r="P66" s="268" t="s">
        <v>17</v>
      </c>
      <c r="Q66" s="269">
        <v>1.4999999999999999E-2</v>
      </c>
      <c r="R66" s="266">
        <f t="shared" si="99"/>
        <v>3237.6865500000004</v>
      </c>
      <c r="S66" s="268" t="s">
        <v>17</v>
      </c>
      <c r="T66" s="271" t="s">
        <v>17</v>
      </c>
      <c r="U66" s="266">
        <f>AB66*AC66</f>
        <v>71948.590000000011</v>
      </c>
      <c r="V66" s="266">
        <f>O66/U66</f>
        <v>3</v>
      </c>
      <c r="W66" s="266"/>
      <c r="X66" s="272">
        <v>2</v>
      </c>
      <c r="Y66" s="273">
        <f>O66/3*X66</f>
        <v>143897.18000000002</v>
      </c>
      <c r="Z66" s="273">
        <f t="shared" si="73"/>
        <v>666.66666666666674</v>
      </c>
      <c r="AA66" s="273">
        <f t="shared" si="97"/>
        <v>44.44444444444445</v>
      </c>
      <c r="AB66" s="274">
        <v>1027837</v>
      </c>
      <c r="AC66" s="275">
        <v>7.0000000000000007E-2</v>
      </c>
      <c r="AE66" s="260"/>
      <c r="AF66" s="261">
        <v>0.26400000000000001</v>
      </c>
      <c r="AG66" s="260"/>
      <c r="AJ66" s="346">
        <f t="shared" si="98"/>
        <v>71948.590000000011</v>
      </c>
      <c r="AK66" s="346">
        <f t="shared" si="98"/>
        <v>71948.590000000011</v>
      </c>
      <c r="AL66" s="346">
        <f t="shared" si="98"/>
        <v>71948.590000000011</v>
      </c>
      <c r="AN66" s="346">
        <f t="shared" si="94"/>
        <v>1079.2288500000002</v>
      </c>
      <c r="AO66" s="346">
        <f t="shared" si="93"/>
        <v>1079.2288500000002</v>
      </c>
      <c r="AP66" s="346">
        <f t="shared" si="93"/>
        <v>1079.2288500000002</v>
      </c>
    </row>
    <row r="67" spans="2:42" ht="18.649999999999999" customHeight="1" x14ac:dyDescent="0.35">
      <c r="B67" s="321" t="str">
        <f>B66</f>
        <v>Chennai</v>
      </c>
      <c r="C67" s="293" t="s">
        <v>97</v>
      </c>
      <c r="D67" s="310" t="s">
        <v>109</v>
      </c>
      <c r="E67" s="263" t="s">
        <v>46</v>
      </c>
      <c r="F67" s="310" t="s">
        <v>100</v>
      </c>
      <c r="G67" s="263" t="s">
        <v>98</v>
      </c>
      <c r="H67" s="265" t="s">
        <v>88</v>
      </c>
      <c r="I67" s="265" t="s">
        <v>110</v>
      </c>
      <c r="J67" s="553" t="s">
        <v>96</v>
      </c>
      <c r="K67" s="263" t="s">
        <v>111</v>
      </c>
      <c r="L67" s="266">
        <f t="shared" si="89"/>
        <v>21</v>
      </c>
      <c r="M67" s="267">
        <v>45460</v>
      </c>
      <c r="N67" s="267">
        <v>45480</v>
      </c>
      <c r="O67" s="266">
        <f t="shared" si="90"/>
        <v>578407.85719199991</v>
      </c>
      <c r="P67" s="268" t="s">
        <v>17</v>
      </c>
      <c r="Q67" s="269">
        <v>0.02</v>
      </c>
      <c r="R67" s="266">
        <f>O67*Q67</f>
        <v>11568.157143839999</v>
      </c>
      <c r="S67" s="268" t="s">
        <v>17</v>
      </c>
      <c r="T67" s="271" t="s">
        <v>17</v>
      </c>
      <c r="U67" s="266">
        <f>AB67*AC67</f>
        <v>578407.85719199991</v>
      </c>
      <c r="V67" s="266">
        <v>1</v>
      </c>
      <c r="W67" s="266"/>
      <c r="X67" s="272">
        <v>4.5</v>
      </c>
      <c r="Y67" s="273">
        <f>R67*X67</f>
        <v>52056.707147279994</v>
      </c>
      <c r="Z67" s="273">
        <f t="shared" si="73"/>
        <v>90.000000000000014</v>
      </c>
      <c r="AA67" s="273">
        <f t="shared" si="97"/>
        <v>4.5</v>
      </c>
      <c r="AB67" s="274">
        <v>897899.99999999988</v>
      </c>
      <c r="AC67" s="275">
        <v>0.64417848</v>
      </c>
      <c r="AE67" s="260"/>
      <c r="AF67" s="261">
        <v>0.52800000000000002</v>
      </c>
      <c r="AG67" s="260"/>
      <c r="AJ67" s="346">
        <f t="shared" si="98"/>
        <v>192802.61906399997</v>
      </c>
      <c r="AK67" s="346">
        <f t="shared" si="98"/>
        <v>192802.61906399997</v>
      </c>
      <c r="AL67" s="346">
        <f t="shared" si="98"/>
        <v>192802.61906399997</v>
      </c>
      <c r="AN67" s="346">
        <f t="shared" si="94"/>
        <v>3856.0523812799993</v>
      </c>
      <c r="AO67" s="346">
        <f t="shared" si="93"/>
        <v>3856.0523812799993</v>
      </c>
      <c r="AP67" s="346">
        <f t="shared" si="93"/>
        <v>3856.0523812799993</v>
      </c>
    </row>
    <row r="68" spans="2:42" ht="18.649999999999999" customHeight="1" x14ac:dyDescent="0.35">
      <c r="B68" s="321" t="s">
        <v>25</v>
      </c>
      <c r="C68" s="293" t="s">
        <v>97</v>
      </c>
      <c r="D68" s="310" t="s">
        <v>600</v>
      </c>
      <c r="E68" s="314" t="s">
        <v>46</v>
      </c>
      <c r="F68" s="311" t="s">
        <v>565</v>
      </c>
      <c r="G68" s="263" t="s">
        <v>101</v>
      </c>
      <c r="H68" s="265" t="s">
        <v>88</v>
      </c>
      <c r="I68" s="265" t="s">
        <v>527</v>
      </c>
      <c r="J68" s="552" t="s">
        <v>566</v>
      </c>
      <c r="K68" s="263" t="s">
        <v>89</v>
      </c>
      <c r="L68" s="266">
        <f t="shared" ref="L68" si="101">N68-M68+1</f>
        <v>13</v>
      </c>
      <c r="M68" s="267">
        <v>45460</v>
      </c>
      <c r="N68" s="267">
        <v>45472</v>
      </c>
      <c r="O68" s="266">
        <f t="shared" si="90"/>
        <v>478691.04000000004</v>
      </c>
      <c r="P68" s="268" t="s">
        <v>17</v>
      </c>
      <c r="Q68" s="315">
        <v>5.0000000000000001E-3</v>
      </c>
      <c r="R68" s="266">
        <f t="shared" ref="R68" si="102">O68*Q68</f>
        <v>2393.4552000000003</v>
      </c>
      <c r="S68" s="268" t="s">
        <v>17</v>
      </c>
      <c r="T68" s="271" t="s">
        <v>17</v>
      </c>
      <c r="U68" s="266">
        <f t="shared" ref="U68" si="103">AB68*AC68</f>
        <v>239345.52000000002</v>
      </c>
      <c r="V68" s="266">
        <v>2</v>
      </c>
      <c r="W68" s="266"/>
      <c r="X68" s="272">
        <v>105</v>
      </c>
      <c r="Y68" s="273">
        <f t="shared" ref="Y68" si="104">O68/1000*X68</f>
        <v>50262.559200000003</v>
      </c>
      <c r="Z68" s="273">
        <f t="shared" si="73"/>
        <v>105</v>
      </c>
      <c r="AA68" s="273">
        <f t="shared" si="97"/>
        <v>21</v>
      </c>
      <c r="AB68" s="274">
        <v>598363.80000000005</v>
      </c>
      <c r="AC68" s="275">
        <v>0.4</v>
      </c>
      <c r="AE68" s="260"/>
      <c r="AF68" s="261">
        <v>0.41878320671681585</v>
      </c>
      <c r="AG68" s="260"/>
      <c r="AJ68" s="346">
        <f t="shared" si="98"/>
        <v>257756.71384615387</v>
      </c>
      <c r="AK68" s="346">
        <f>$O68/$L68*6</f>
        <v>220934.32615384617</v>
      </c>
      <c r="AL68" s="346"/>
      <c r="AN68" s="346">
        <f>$R68/$L68*7</f>
        <v>1288.7835692307694</v>
      </c>
      <c r="AO68" s="346">
        <f>$R68/$L68*6</f>
        <v>1104.6716307692309</v>
      </c>
      <c r="AP68" s="346"/>
    </row>
    <row r="69" spans="2:42" ht="18.649999999999999" customHeight="1" x14ac:dyDescent="0.35">
      <c r="B69" s="321" t="s">
        <v>25</v>
      </c>
      <c r="C69" s="293" t="s">
        <v>97</v>
      </c>
      <c r="D69" s="311" t="s">
        <v>116</v>
      </c>
      <c r="E69" s="263" t="s">
        <v>46</v>
      </c>
      <c r="F69" s="311" t="s">
        <v>114</v>
      </c>
      <c r="G69" s="263" t="s">
        <v>98</v>
      </c>
      <c r="H69" s="265" t="s">
        <v>88</v>
      </c>
      <c r="I69" s="265" t="s">
        <v>115</v>
      </c>
      <c r="J69" s="552" t="s">
        <v>96</v>
      </c>
      <c r="K69" s="263" t="s">
        <v>105</v>
      </c>
      <c r="L69" s="266">
        <f>N69-M69+1</f>
        <v>6</v>
      </c>
      <c r="M69" s="267">
        <v>45471</v>
      </c>
      <c r="N69" s="267">
        <v>45476</v>
      </c>
      <c r="O69" s="266">
        <f>361607/14*6</f>
        <v>154974.42857142858</v>
      </c>
      <c r="P69" s="268" t="s">
        <v>17</v>
      </c>
      <c r="Q69" s="315">
        <v>0.01</v>
      </c>
      <c r="R69" s="266">
        <f>O69*Q69</f>
        <v>1549.7442857142858</v>
      </c>
      <c r="S69" s="268" t="s">
        <v>17</v>
      </c>
      <c r="T69" s="271" t="s">
        <v>17</v>
      </c>
      <c r="U69" s="266">
        <f>O69/V69</f>
        <v>61989.771428571432</v>
      </c>
      <c r="V69" s="266">
        <v>2.5</v>
      </c>
      <c r="W69" s="266"/>
      <c r="X69" s="272">
        <v>260</v>
      </c>
      <c r="Y69" s="273">
        <f>(O69/1000)*X69</f>
        <v>40293.351428571426</v>
      </c>
      <c r="Z69" s="273">
        <f t="shared" si="73"/>
        <v>259.99999999999994</v>
      </c>
      <c r="AA69" s="273">
        <f>Y69/R69</f>
        <v>25.999999999999996</v>
      </c>
      <c r="AB69" s="274">
        <v>168750</v>
      </c>
      <c r="AC69" s="275">
        <f>U69/AB69</f>
        <v>0.36734679365079365</v>
      </c>
      <c r="AE69" s="260"/>
      <c r="AF69" s="261">
        <v>0.3771427081481481</v>
      </c>
      <c r="AG69" s="260"/>
      <c r="AJ69" s="346"/>
      <c r="AK69" s="346">
        <f>$O69/$L69*3</f>
        <v>77487.21428571429</v>
      </c>
      <c r="AL69" s="346">
        <f>$O69/$L69*3</f>
        <v>77487.21428571429</v>
      </c>
      <c r="AN69" s="346"/>
      <c r="AO69" s="346">
        <f>$R69/$L69*3</f>
        <v>774.87214285714276</v>
      </c>
      <c r="AP69" s="346">
        <f>$R69/$L69*3</f>
        <v>774.87214285714276</v>
      </c>
    </row>
    <row r="70" spans="2:42" ht="18.649999999999999" customHeight="1" x14ac:dyDescent="0.35">
      <c r="B70" s="277" t="str">
        <f>B69</f>
        <v>Chennai</v>
      </c>
      <c r="C70" s="278"/>
      <c r="D70" s="279" t="s">
        <v>18</v>
      </c>
      <c r="E70" s="280"/>
      <c r="F70" s="279"/>
      <c r="G70" s="280"/>
      <c r="H70" s="280"/>
      <c r="I70" s="281"/>
      <c r="J70" s="546"/>
      <c r="K70" s="283"/>
      <c r="L70" s="284"/>
      <c r="M70" s="284"/>
      <c r="N70" s="284"/>
      <c r="O70" s="284">
        <f>SUM(O59:O69)</f>
        <v>21858980.594052695</v>
      </c>
      <c r="P70" s="284"/>
      <c r="Q70" s="285">
        <f>R70/O70</f>
        <v>3.8003491839494257E-3</v>
      </c>
      <c r="R70" s="284">
        <f>SUM(R59:R69)</f>
        <v>83071.759062574492</v>
      </c>
      <c r="S70" s="286"/>
      <c r="T70" s="316">
        <f>SUM(T59:T69)</f>
        <v>13181982.875848601</v>
      </c>
      <c r="U70" s="284">
        <f>U62+(SUM(U59:U59,U63:U69,U60:U61)*8%)</f>
        <v>2580081.9891414624</v>
      </c>
      <c r="V70" s="284">
        <f>O70/U70</f>
        <v>8.4722038625316713</v>
      </c>
      <c r="W70" s="284"/>
      <c r="X70" s="287"/>
      <c r="Y70" s="317">
        <f>SUM(Y59:Y69)</f>
        <v>2949913.9583360222</v>
      </c>
      <c r="Z70" s="288">
        <f t="shared" si="73"/>
        <v>134.95203701944928</v>
      </c>
      <c r="AA70" s="288">
        <f>Y70/R70</f>
        <v>35.510430880775921</v>
      </c>
      <c r="AB70" s="284">
        <f>AB62+(SUM(AB59:AB61,AB63:AB69)*2%)</f>
        <v>3435106.986</v>
      </c>
      <c r="AC70" s="289">
        <f>U70/AB70</f>
        <v>0.75109217839699105</v>
      </c>
      <c r="AD70" s="261"/>
      <c r="AE70" s="290"/>
      <c r="AF70" s="261">
        <v>0.7495176177392302</v>
      </c>
      <c r="AG70" s="290"/>
      <c r="AH70" s="460"/>
      <c r="AI70" s="459"/>
    </row>
    <row r="71" spans="2:42" ht="18.649999999999999" customHeight="1" x14ac:dyDescent="0.35">
      <c r="B71" s="321" t="s">
        <v>121</v>
      </c>
      <c r="C71" s="293" t="s">
        <v>93</v>
      </c>
      <c r="D71" s="294" t="s">
        <v>94</v>
      </c>
      <c r="E71" s="294" t="s">
        <v>45</v>
      </c>
      <c r="F71" s="295" t="s">
        <v>87</v>
      </c>
      <c r="G71" s="295" t="s">
        <v>50</v>
      </c>
      <c r="H71" s="296" t="s">
        <v>95</v>
      </c>
      <c r="I71" s="296" t="s">
        <v>572</v>
      </c>
      <c r="J71" s="551" t="s">
        <v>96</v>
      </c>
      <c r="K71" s="295" t="s">
        <v>89</v>
      </c>
      <c r="L71" s="298">
        <f t="shared" ref="L71:L79" si="105">N71-(M71-1)</f>
        <v>21</v>
      </c>
      <c r="M71" s="299">
        <v>45460</v>
      </c>
      <c r="N71" s="299">
        <v>45480</v>
      </c>
      <c r="O71" s="298">
        <f t="shared" ref="O71:O74" si="106">U71*V71</f>
        <v>4123429.3957119999</v>
      </c>
      <c r="P71" s="300" t="s">
        <v>17</v>
      </c>
      <c r="Q71" s="301"/>
      <c r="R71" s="298"/>
      <c r="S71" s="302">
        <v>0.85</v>
      </c>
      <c r="T71" s="303">
        <f t="shared" ref="T71:T72" si="107">O71*S71</f>
        <v>3504914.9863551999</v>
      </c>
      <c r="U71" s="298">
        <f>AB71*AC71</f>
        <v>824685.87914239999</v>
      </c>
      <c r="V71" s="298">
        <v>5</v>
      </c>
      <c r="W71" s="298"/>
      <c r="X71" s="304">
        <v>170</v>
      </c>
      <c r="Y71" s="305">
        <f t="shared" ref="Y71:Y76" si="108">(O71/1000)*X71</f>
        <v>700982.99727103999</v>
      </c>
      <c r="Z71" s="305">
        <f t="shared" si="73"/>
        <v>170</v>
      </c>
      <c r="AA71" s="305"/>
      <c r="AB71" s="306">
        <v>960160</v>
      </c>
      <c r="AC71" s="307">
        <v>0.85890464</v>
      </c>
      <c r="AD71" s="261"/>
      <c r="AE71" s="260"/>
      <c r="AF71" s="261">
        <v>0.70400000000000007</v>
      </c>
      <c r="AG71" s="260"/>
      <c r="AJ71" s="346">
        <f t="shared" ref="AJ71:AL86" si="109">$O71/$L71*7</f>
        <v>1374476.4652373334</v>
      </c>
      <c r="AK71" s="346">
        <f t="shared" si="109"/>
        <v>1374476.4652373334</v>
      </c>
      <c r="AL71" s="346">
        <f t="shared" si="109"/>
        <v>1374476.4652373334</v>
      </c>
      <c r="AN71" s="346">
        <f>$R71/$L71*7</f>
        <v>0</v>
      </c>
      <c r="AO71" s="346">
        <f t="shared" ref="AO71:AP79" si="110">$R71/$L71*7</f>
        <v>0</v>
      </c>
      <c r="AP71" s="346">
        <f t="shared" si="110"/>
        <v>0</v>
      </c>
    </row>
    <row r="72" spans="2:42" ht="18.649999999999999" customHeight="1" x14ac:dyDescent="0.35">
      <c r="B72" s="321" t="s">
        <v>121</v>
      </c>
      <c r="C72" s="293" t="s">
        <v>93</v>
      </c>
      <c r="D72" s="295" t="s">
        <v>86</v>
      </c>
      <c r="E72" s="295" t="s">
        <v>45</v>
      </c>
      <c r="F72" s="295" t="s">
        <v>87</v>
      </c>
      <c r="G72" s="296" t="s">
        <v>50</v>
      </c>
      <c r="H72" s="296" t="s">
        <v>95</v>
      </c>
      <c r="I72" s="296" t="s">
        <v>573</v>
      </c>
      <c r="J72" s="551" t="s">
        <v>96</v>
      </c>
      <c r="K72" s="295" t="s">
        <v>89</v>
      </c>
      <c r="L72" s="298">
        <f t="shared" si="105"/>
        <v>21</v>
      </c>
      <c r="M72" s="299">
        <v>45460</v>
      </c>
      <c r="N72" s="299">
        <v>45480</v>
      </c>
      <c r="O72" s="298">
        <f t="shared" si="106"/>
        <v>63847661.148569763</v>
      </c>
      <c r="P72" s="300" t="s">
        <v>17</v>
      </c>
      <c r="Q72" s="301"/>
      <c r="R72" s="298"/>
      <c r="S72" s="302">
        <v>0.8</v>
      </c>
      <c r="T72" s="303">
        <f t="shared" si="107"/>
        <v>51078128.918855816</v>
      </c>
      <c r="U72" s="298">
        <f>AB72*AC72</f>
        <v>10641276.85809496</v>
      </c>
      <c r="V72" s="298">
        <v>6</v>
      </c>
      <c r="W72" s="298"/>
      <c r="X72" s="304">
        <v>150</v>
      </c>
      <c r="Y72" s="305">
        <f t="shared" si="108"/>
        <v>9577149.1722854655</v>
      </c>
      <c r="Z72" s="305">
        <f t="shared" si="73"/>
        <v>150.00000000000003</v>
      </c>
      <c r="AA72" s="305"/>
      <c r="AB72" s="306">
        <v>11660572</v>
      </c>
      <c r="AC72" s="307">
        <v>0.91258618000000002</v>
      </c>
      <c r="AF72" s="261">
        <v>0.748</v>
      </c>
      <c r="AJ72" s="346">
        <f t="shared" si="109"/>
        <v>21282553.716189921</v>
      </c>
      <c r="AK72" s="346">
        <f t="shared" si="109"/>
        <v>21282553.716189921</v>
      </c>
      <c r="AL72" s="346">
        <f t="shared" si="109"/>
        <v>21282553.716189921</v>
      </c>
      <c r="AN72" s="346">
        <f t="shared" ref="AN72:AN80" si="111">$R72/$L72*7</f>
        <v>0</v>
      </c>
      <c r="AO72" s="346">
        <f t="shared" si="110"/>
        <v>0</v>
      </c>
      <c r="AP72" s="346">
        <f t="shared" si="110"/>
        <v>0</v>
      </c>
    </row>
    <row r="73" spans="2:42" ht="18.649999999999999" customHeight="1" x14ac:dyDescent="0.35">
      <c r="B73" s="321" t="s">
        <v>121</v>
      </c>
      <c r="C73" s="293" t="s">
        <v>97</v>
      </c>
      <c r="D73" s="264" t="s">
        <v>561</v>
      </c>
      <c r="E73" s="264" t="s">
        <v>45</v>
      </c>
      <c r="F73" s="263" t="s">
        <v>87</v>
      </c>
      <c r="G73" s="263" t="s">
        <v>98</v>
      </c>
      <c r="H73" s="265" t="s">
        <v>90</v>
      </c>
      <c r="I73" s="265" t="s">
        <v>574</v>
      </c>
      <c r="J73" s="552" t="s">
        <v>96</v>
      </c>
      <c r="K73" s="263" t="s">
        <v>89</v>
      </c>
      <c r="L73" s="266">
        <f t="shared" si="105"/>
        <v>21</v>
      </c>
      <c r="M73" s="267">
        <v>45460</v>
      </c>
      <c r="N73" s="267">
        <v>45480</v>
      </c>
      <c r="O73" s="266">
        <f t="shared" si="106"/>
        <v>17193824.015167404</v>
      </c>
      <c r="P73" s="268" t="s">
        <v>17</v>
      </c>
      <c r="Q73" s="269">
        <v>1E-3</v>
      </c>
      <c r="R73" s="266">
        <f t="shared" ref="R73:R74" si="112">O73*Q73</f>
        <v>17193.824015167404</v>
      </c>
      <c r="S73" s="270">
        <v>0.8</v>
      </c>
      <c r="T73" s="271">
        <f>O73*S73</f>
        <v>13755059.212133924</v>
      </c>
      <c r="U73" s="266">
        <f t="shared" ref="U73:U74" si="113">AB73*AC73</f>
        <v>9825042.2943813745</v>
      </c>
      <c r="V73" s="266">
        <v>1.75</v>
      </c>
      <c r="W73" s="266"/>
      <c r="X73" s="272">
        <v>70</v>
      </c>
      <c r="Y73" s="273">
        <f t="shared" si="108"/>
        <v>1203567.6810617181</v>
      </c>
      <c r="Z73" s="273">
        <f t="shared" si="73"/>
        <v>69.999999999999986</v>
      </c>
      <c r="AA73" s="273">
        <f t="shared" ref="AA73:AA80" si="114">Y73/R73</f>
        <v>70</v>
      </c>
      <c r="AB73" s="274">
        <f>18948429*85%</f>
        <v>16106164.65</v>
      </c>
      <c r="AC73" s="275">
        <v>0.61001749999999999</v>
      </c>
      <c r="AE73" s="260"/>
      <c r="AF73" s="261">
        <v>0.61599999999999999</v>
      </c>
      <c r="AG73" s="260"/>
      <c r="AJ73" s="346">
        <f t="shared" si="109"/>
        <v>5731274.671722468</v>
      </c>
      <c r="AK73" s="346">
        <f t="shared" si="109"/>
        <v>5731274.671722468</v>
      </c>
      <c r="AL73" s="346">
        <f t="shared" si="109"/>
        <v>5731274.671722468</v>
      </c>
      <c r="AN73" s="346">
        <f t="shared" si="111"/>
        <v>5731.2746717224672</v>
      </c>
      <c r="AO73" s="346">
        <f t="shared" si="110"/>
        <v>5731.2746717224672</v>
      </c>
      <c r="AP73" s="346">
        <f t="shared" si="110"/>
        <v>5731.2746717224672</v>
      </c>
    </row>
    <row r="74" spans="2:42" ht="18.649999999999999" customHeight="1" x14ac:dyDescent="0.35">
      <c r="B74" s="321" t="s">
        <v>121</v>
      </c>
      <c r="C74" s="293" t="s">
        <v>97</v>
      </c>
      <c r="D74" s="264" t="s">
        <v>86</v>
      </c>
      <c r="E74" s="264" t="s">
        <v>45</v>
      </c>
      <c r="F74" s="263" t="s">
        <v>87</v>
      </c>
      <c r="G74" s="263" t="s">
        <v>98</v>
      </c>
      <c r="H74" s="265" t="s">
        <v>90</v>
      </c>
      <c r="I74" s="265" t="s">
        <v>571</v>
      </c>
      <c r="J74" s="552" t="s">
        <v>96</v>
      </c>
      <c r="K74" s="263" t="s">
        <v>89</v>
      </c>
      <c r="L74" s="266">
        <f t="shared" si="105"/>
        <v>21</v>
      </c>
      <c r="M74" s="267">
        <v>45460</v>
      </c>
      <c r="N74" s="267">
        <v>45480</v>
      </c>
      <c r="O74" s="266">
        <f t="shared" si="106"/>
        <v>18474718.274999999</v>
      </c>
      <c r="P74" s="268" t="s">
        <v>17</v>
      </c>
      <c r="Q74" s="269">
        <v>1E-3</v>
      </c>
      <c r="R74" s="266">
        <f t="shared" si="112"/>
        <v>18474.718274999999</v>
      </c>
      <c r="S74" s="270">
        <v>0.8</v>
      </c>
      <c r="T74" s="271">
        <f>O74*S74</f>
        <v>14779774.619999999</v>
      </c>
      <c r="U74" s="266">
        <f t="shared" si="113"/>
        <v>12316478.85</v>
      </c>
      <c r="V74" s="266">
        <v>1.5</v>
      </c>
      <c r="W74" s="266"/>
      <c r="X74" s="272">
        <v>110</v>
      </c>
      <c r="Y74" s="273">
        <f t="shared" si="108"/>
        <v>2032219.0102499998</v>
      </c>
      <c r="Z74" s="273">
        <f t="shared" si="73"/>
        <v>110</v>
      </c>
      <c r="AA74" s="273">
        <f t="shared" si="114"/>
        <v>110</v>
      </c>
      <c r="AB74" s="274">
        <v>18948429</v>
      </c>
      <c r="AC74" s="275">
        <v>0.65</v>
      </c>
      <c r="AE74" s="260"/>
      <c r="AF74" s="261">
        <v>0.61599999999999999</v>
      </c>
      <c r="AG74" s="260"/>
      <c r="AJ74" s="346">
        <f t="shared" si="109"/>
        <v>6158239.4249999998</v>
      </c>
      <c r="AK74" s="346">
        <f t="shared" si="109"/>
        <v>6158239.4249999998</v>
      </c>
      <c r="AL74" s="346">
        <f t="shared" si="109"/>
        <v>6158239.4249999998</v>
      </c>
      <c r="AN74" s="346">
        <f t="shared" si="111"/>
        <v>6158.2394249999998</v>
      </c>
      <c r="AO74" s="346">
        <f t="shared" si="110"/>
        <v>6158.2394249999998</v>
      </c>
      <c r="AP74" s="346">
        <f t="shared" si="110"/>
        <v>6158.2394249999998</v>
      </c>
    </row>
    <row r="75" spans="2:42" ht="18.649999999999999" customHeight="1" x14ac:dyDescent="0.35">
      <c r="B75" s="321" t="s">
        <v>121</v>
      </c>
      <c r="C75" s="293" t="s">
        <v>97</v>
      </c>
      <c r="D75" s="263" t="s">
        <v>99</v>
      </c>
      <c r="E75" s="263" t="s">
        <v>46</v>
      </c>
      <c r="F75" s="263" t="s">
        <v>100</v>
      </c>
      <c r="G75" s="263" t="s">
        <v>101</v>
      </c>
      <c r="H75" s="265" t="s">
        <v>88</v>
      </c>
      <c r="I75" s="265" t="s">
        <v>102</v>
      </c>
      <c r="J75" s="553" t="s">
        <v>96</v>
      </c>
      <c r="K75" s="263" t="s">
        <v>89</v>
      </c>
      <c r="L75" s="266">
        <f t="shared" si="105"/>
        <v>21</v>
      </c>
      <c r="M75" s="267">
        <v>45460</v>
      </c>
      <c r="N75" s="267">
        <v>45480</v>
      </c>
      <c r="O75" s="266">
        <f>U75*V75</f>
        <v>9856482.429723395</v>
      </c>
      <c r="P75" s="268" t="s">
        <v>17</v>
      </c>
      <c r="Q75" s="269">
        <v>1.4999999999999999E-2</v>
      </c>
      <c r="R75" s="266">
        <f>O75*Q75</f>
        <v>147847.23644585093</v>
      </c>
      <c r="S75" s="268" t="s">
        <v>17</v>
      </c>
      <c r="T75" s="271" t="s">
        <v>17</v>
      </c>
      <c r="U75" s="266">
        <f>AB75*AC75</f>
        <v>4928241.2148616975</v>
      </c>
      <c r="V75" s="266">
        <v>2</v>
      </c>
      <c r="W75" s="266"/>
      <c r="X75" s="272">
        <v>105</v>
      </c>
      <c r="Y75" s="273">
        <f t="shared" si="108"/>
        <v>1034930.6551209565</v>
      </c>
      <c r="Z75" s="273">
        <f t="shared" si="73"/>
        <v>105</v>
      </c>
      <c r="AA75" s="273">
        <f t="shared" si="114"/>
        <v>7</v>
      </c>
      <c r="AB75" s="274">
        <f>AB73*95%</f>
        <v>15300856.4175</v>
      </c>
      <c r="AC75" s="275">
        <v>0.32208924</v>
      </c>
      <c r="AE75" s="260"/>
      <c r="AF75" s="261">
        <v>0.26400000000000001</v>
      </c>
      <c r="AG75" s="260"/>
      <c r="AJ75" s="346">
        <f t="shared" si="109"/>
        <v>3285494.1432411317</v>
      </c>
      <c r="AK75" s="346">
        <f t="shared" si="109"/>
        <v>3285494.1432411317</v>
      </c>
      <c r="AL75" s="346">
        <f t="shared" si="109"/>
        <v>3285494.1432411317</v>
      </c>
      <c r="AN75" s="346">
        <f t="shared" si="111"/>
        <v>49282.412148616975</v>
      </c>
      <c r="AO75" s="346">
        <f t="shared" si="110"/>
        <v>49282.412148616975</v>
      </c>
      <c r="AP75" s="346">
        <f t="shared" si="110"/>
        <v>49282.412148616975</v>
      </c>
    </row>
    <row r="76" spans="2:42" ht="18.649999999999999" customHeight="1" x14ac:dyDescent="0.35">
      <c r="B76" s="321" t="str">
        <f>B75</f>
        <v>Delhi + NCR</v>
      </c>
      <c r="C76" s="293" t="s">
        <v>97</v>
      </c>
      <c r="D76" s="310" t="s">
        <v>103</v>
      </c>
      <c r="E76" s="263" t="s">
        <v>46</v>
      </c>
      <c r="F76" s="310" t="s">
        <v>100</v>
      </c>
      <c r="G76" s="263" t="s">
        <v>98</v>
      </c>
      <c r="H76" s="265" t="s">
        <v>88</v>
      </c>
      <c r="I76" s="265" t="s">
        <v>104</v>
      </c>
      <c r="J76" s="553" t="s">
        <v>96</v>
      </c>
      <c r="K76" s="263" t="s">
        <v>105</v>
      </c>
      <c r="L76" s="266">
        <f t="shared" si="105"/>
        <v>21</v>
      </c>
      <c r="M76" s="267">
        <v>45460</v>
      </c>
      <c r="N76" s="267">
        <v>45480</v>
      </c>
      <c r="O76" s="266">
        <f>U76*V76</f>
        <v>3187356.4683311996</v>
      </c>
      <c r="P76" s="268" t="s">
        <v>17</v>
      </c>
      <c r="Q76" s="269">
        <v>1.4999999999999999E-2</v>
      </c>
      <c r="R76" s="266">
        <f>O76*Q76</f>
        <v>47810.347024967996</v>
      </c>
      <c r="S76" s="268" t="s">
        <v>17</v>
      </c>
      <c r="T76" s="271" t="s">
        <v>17</v>
      </c>
      <c r="U76" s="266">
        <f>AB76*AC76</f>
        <v>1593678.2341655998</v>
      </c>
      <c r="V76" s="266">
        <v>2</v>
      </c>
      <c r="W76" s="266"/>
      <c r="X76" s="272">
        <v>120</v>
      </c>
      <c r="Y76" s="273">
        <f t="shared" si="108"/>
        <v>382482.77619974397</v>
      </c>
      <c r="Z76" s="273">
        <f t="shared" si="73"/>
        <v>120.00000000000001</v>
      </c>
      <c r="AA76" s="273">
        <f t="shared" si="114"/>
        <v>8</v>
      </c>
      <c r="AB76" s="274">
        <v>2968764</v>
      </c>
      <c r="AC76" s="275">
        <v>0.53681539999999994</v>
      </c>
      <c r="AE76" s="260"/>
      <c r="AF76" s="261">
        <v>0.44</v>
      </c>
      <c r="AG76" s="260"/>
      <c r="AH76" s="320"/>
      <c r="AJ76" s="346">
        <f t="shared" si="109"/>
        <v>1062452.1561103999</v>
      </c>
      <c r="AK76" s="346">
        <f t="shared" si="109"/>
        <v>1062452.1561103999</v>
      </c>
      <c r="AL76" s="346">
        <f t="shared" si="109"/>
        <v>1062452.1561103999</v>
      </c>
      <c r="AN76" s="346">
        <f t="shared" si="111"/>
        <v>15936.782341655999</v>
      </c>
      <c r="AO76" s="346">
        <f t="shared" si="110"/>
        <v>15936.782341655999</v>
      </c>
      <c r="AP76" s="346">
        <f t="shared" si="110"/>
        <v>15936.782341655999</v>
      </c>
    </row>
    <row r="77" spans="2:42" ht="18.649999999999999" customHeight="1" x14ac:dyDescent="0.35">
      <c r="B77" s="321" t="str">
        <f>B76</f>
        <v>Delhi + NCR</v>
      </c>
      <c r="C77" s="293" t="s">
        <v>97</v>
      </c>
      <c r="D77" s="310" t="s">
        <v>106</v>
      </c>
      <c r="E77" s="311" t="s">
        <v>46</v>
      </c>
      <c r="F77" s="311" t="s">
        <v>91</v>
      </c>
      <c r="G77" s="263" t="s">
        <v>98</v>
      </c>
      <c r="H77" s="310" t="s">
        <v>88</v>
      </c>
      <c r="I77" s="263" t="s">
        <v>107</v>
      </c>
      <c r="J77" s="553" t="s">
        <v>96</v>
      </c>
      <c r="K77" s="263" t="s">
        <v>89</v>
      </c>
      <c r="L77" s="266">
        <f t="shared" si="105"/>
        <v>21</v>
      </c>
      <c r="M77" s="267">
        <v>45460</v>
      </c>
      <c r="N77" s="267">
        <v>45480</v>
      </c>
      <c r="O77" s="266">
        <f>U77*V77</f>
        <v>4844861.581159248</v>
      </c>
      <c r="P77" s="268" t="s">
        <v>17</v>
      </c>
      <c r="Q77" s="312">
        <v>0.01</v>
      </c>
      <c r="R77" s="266">
        <f t="shared" ref="R77:R78" si="115">O77*Q77</f>
        <v>48448.615811592485</v>
      </c>
      <c r="S77" s="268" t="s">
        <v>17</v>
      </c>
      <c r="T77" s="271" t="s">
        <v>17</v>
      </c>
      <c r="U77" s="266">
        <f t="shared" ref="U77" si="116">AB77*AC77</f>
        <v>2422430.790579624</v>
      </c>
      <c r="V77" s="266">
        <v>2</v>
      </c>
      <c r="W77" s="266"/>
      <c r="X77" s="272">
        <v>200</v>
      </c>
      <c r="Y77" s="273">
        <f>O77*X77/1000</f>
        <v>968972.3162318496</v>
      </c>
      <c r="Z77" s="273">
        <f t="shared" si="73"/>
        <v>200</v>
      </c>
      <c r="AA77" s="273">
        <f t="shared" si="114"/>
        <v>19.999999999999996</v>
      </c>
      <c r="AB77" s="274">
        <v>6837266</v>
      </c>
      <c r="AC77" s="275">
        <v>0.35429816400000003</v>
      </c>
      <c r="AE77" s="260"/>
      <c r="AF77" s="261">
        <v>0.26400000000000001</v>
      </c>
      <c r="AG77" s="260"/>
      <c r="AH77" s="562"/>
      <c r="AJ77" s="346">
        <f t="shared" si="109"/>
        <v>1614953.8603864161</v>
      </c>
      <c r="AK77" s="346">
        <f t="shared" si="109"/>
        <v>1614953.8603864161</v>
      </c>
      <c r="AL77" s="346">
        <f t="shared" si="109"/>
        <v>1614953.8603864161</v>
      </c>
      <c r="AN77" s="346">
        <f t="shared" si="111"/>
        <v>16149.538603864161</v>
      </c>
      <c r="AO77" s="346">
        <f t="shared" si="110"/>
        <v>16149.538603864161</v>
      </c>
      <c r="AP77" s="346">
        <f t="shared" si="110"/>
        <v>16149.538603864161</v>
      </c>
    </row>
    <row r="78" spans="2:42" ht="18.649999999999999" customHeight="1" x14ac:dyDescent="0.35">
      <c r="B78" s="321" t="str">
        <f>B77</f>
        <v>Delhi + NCR</v>
      </c>
      <c r="C78" s="293" t="s">
        <v>97</v>
      </c>
      <c r="D78" s="310" t="s">
        <v>588</v>
      </c>
      <c r="E78" s="263" t="s">
        <v>46</v>
      </c>
      <c r="F78" s="310" t="s">
        <v>589</v>
      </c>
      <c r="G78" s="263" t="s">
        <v>98</v>
      </c>
      <c r="H78" s="265" t="s">
        <v>88</v>
      </c>
      <c r="I78" s="265" t="s">
        <v>590</v>
      </c>
      <c r="J78" s="553" t="s">
        <v>591</v>
      </c>
      <c r="K78" s="263" t="s">
        <v>592</v>
      </c>
      <c r="L78" s="266">
        <f t="shared" si="105"/>
        <v>21</v>
      </c>
      <c r="M78" s="267">
        <v>45460</v>
      </c>
      <c r="N78" s="267">
        <v>45480</v>
      </c>
      <c r="O78" s="266">
        <f>U78*3</f>
        <v>809421.90000000014</v>
      </c>
      <c r="P78" s="268" t="s">
        <v>17</v>
      </c>
      <c r="Q78" s="269">
        <v>1.4999999999999999E-2</v>
      </c>
      <c r="R78" s="266">
        <f t="shared" si="115"/>
        <v>12141.328500000001</v>
      </c>
      <c r="S78" s="268" t="s">
        <v>17</v>
      </c>
      <c r="T78" s="271" t="s">
        <v>17</v>
      </c>
      <c r="U78" s="266">
        <f>AB78*AC78</f>
        <v>269807.30000000005</v>
      </c>
      <c r="V78" s="266">
        <f>O78/U78</f>
        <v>3</v>
      </c>
      <c r="W78" s="266"/>
      <c r="X78" s="272">
        <v>2</v>
      </c>
      <c r="Y78" s="273">
        <f>O78/3*X78</f>
        <v>539614.60000000009</v>
      </c>
      <c r="Z78" s="273">
        <f t="shared" si="73"/>
        <v>666.66666666666663</v>
      </c>
      <c r="AA78" s="273">
        <f t="shared" si="114"/>
        <v>44.44444444444445</v>
      </c>
      <c r="AB78" s="274">
        <v>3854390</v>
      </c>
      <c r="AC78" s="275">
        <v>7.0000000000000007E-2</v>
      </c>
      <c r="AE78" s="260"/>
      <c r="AF78" s="261">
        <v>0.26400000000000001</v>
      </c>
      <c r="AG78" s="260"/>
      <c r="AJ78" s="346">
        <f t="shared" si="109"/>
        <v>269807.30000000005</v>
      </c>
      <c r="AK78" s="346">
        <f t="shared" si="109"/>
        <v>269807.30000000005</v>
      </c>
      <c r="AL78" s="346">
        <f t="shared" si="109"/>
        <v>269807.30000000005</v>
      </c>
      <c r="AN78" s="346">
        <f t="shared" si="111"/>
        <v>4047.1095000000009</v>
      </c>
      <c r="AO78" s="346">
        <f t="shared" si="110"/>
        <v>4047.1095000000009</v>
      </c>
      <c r="AP78" s="346">
        <f t="shared" si="110"/>
        <v>4047.1095000000009</v>
      </c>
    </row>
    <row r="79" spans="2:42" ht="18.649999999999999" customHeight="1" x14ac:dyDescent="0.35">
      <c r="B79" s="321" t="str">
        <f>B78</f>
        <v>Delhi + NCR</v>
      </c>
      <c r="C79" s="293" t="s">
        <v>97</v>
      </c>
      <c r="D79" s="310" t="s">
        <v>109</v>
      </c>
      <c r="E79" s="263" t="s">
        <v>46</v>
      </c>
      <c r="F79" s="310" t="s">
        <v>100</v>
      </c>
      <c r="G79" s="263" t="s">
        <v>98</v>
      </c>
      <c r="H79" s="265" t="s">
        <v>88</v>
      </c>
      <c r="I79" s="265" t="s">
        <v>110</v>
      </c>
      <c r="J79" s="553" t="s">
        <v>96</v>
      </c>
      <c r="K79" s="263" t="s">
        <v>111</v>
      </c>
      <c r="L79" s="266">
        <f t="shared" si="105"/>
        <v>21</v>
      </c>
      <c r="M79" s="267">
        <v>45460</v>
      </c>
      <c r="N79" s="267">
        <v>45480</v>
      </c>
      <c r="O79" s="266">
        <f>U79*V79</f>
        <v>5266803.2524800003</v>
      </c>
      <c r="P79" s="268" t="s">
        <v>17</v>
      </c>
      <c r="Q79" s="269">
        <v>0.02</v>
      </c>
      <c r="R79" s="266">
        <f>O79*Q79</f>
        <v>105336.0650496</v>
      </c>
      <c r="S79" s="268" t="s">
        <v>17</v>
      </c>
      <c r="T79" s="271" t="s">
        <v>17</v>
      </c>
      <c r="U79" s="266">
        <f>AB79*AC79</f>
        <v>5266803.2524800003</v>
      </c>
      <c r="V79" s="266">
        <v>1</v>
      </c>
      <c r="W79" s="266"/>
      <c r="X79" s="272">
        <v>4.5</v>
      </c>
      <c r="Y79" s="273">
        <f>R79*X79</f>
        <v>474012.29272319999</v>
      </c>
      <c r="Z79" s="273">
        <f t="shared" si="73"/>
        <v>90</v>
      </c>
      <c r="AA79" s="273">
        <f t="shared" si="114"/>
        <v>4.5</v>
      </c>
      <c r="AB79" s="274">
        <v>8176000</v>
      </c>
      <c r="AC79" s="275">
        <v>0.64417848</v>
      </c>
      <c r="AE79" s="260"/>
      <c r="AF79" s="261">
        <v>0.52800000000000002</v>
      </c>
      <c r="AG79" s="260"/>
      <c r="AJ79" s="346">
        <f t="shared" si="109"/>
        <v>1755601.0841600001</v>
      </c>
      <c r="AK79" s="346">
        <f t="shared" si="109"/>
        <v>1755601.0841600001</v>
      </c>
      <c r="AL79" s="346">
        <f t="shared" si="109"/>
        <v>1755601.0841600001</v>
      </c>
      <c r="AN79" s="346">
        <f t="shared" si="111"/>
        <v>35112.021683200001</v>
      </c>
      <c r="AO79" s="346">
        <f t="shared" si="110"/>
        <v>35112.021683200001</v>
      </c>
      <c r="AP79" s="346">
        <f t="shared" si="110"/>
        <v>35112.021683200001</v>
      </c>
    </row>
    <row r="80" spans="2:42" ht="18.649999999999999" customHeight="1" x14ac:dyDescent="0.35">
      <c r="B80" s="321" t="s">
        <v>567</v>
      </c>
      <c r="C80" s="293" t="s">
        <v>97</v>
      </c>
      <c r="D80" s="310" t="s">
        <v>600</v>
      </c>
      <c r="E80" s="314" t="s">
        <v>46</v>
      </c>
      <c r="F80" s="311" t="s">
        <v>565</v>
      </c>
      <c r="G80" s="263" t="s">
        <v>101</v>
      </c>
      <c r="H80" s="265" t="s">
        <v>88</v>
      </c>
      <c r="I80" s="265" t="s">
        <v>527</v>
      </c>
      <c r="J80" s="552" t="s">
        <v>566</v>
      </c>
      <c r="K80" s="263" t="s">
        <v>89</v>
      </c>
      <c r="L80" s="266">
        <f t="shared" ref="L80" si="117">N80-M80+1</f>
        <v>13</v>
      </c>
      <c r="M80" s="267">
        <v>45460</v>
      </c>
      <c r="N80" s="267">
        <v>45472</v>
      </c>
      <c r="O80" s="266">
        <f t="shared" ref="O80" si="118">U80*V80</f>
        <v>1195356.06</v>
      </c>
      <c r="P80" s="268" t="s">
        <v>17</v>
      </c>
      <c r="Q80" s="315">
        <v>5.0000000000000001E-3</v>
      </c>
      <c r="R80" s="266">
        <f t="shared" ref="R80" si="119">O80*Q80</f>
        <v>5976.7803000000004</v>
      </c>
      <c r="S80" s="268" t="s">
        <v>17</v>
      </c>
      <c r="T80" s="271" t="s">
        <v>17</v>
      </c>
      <c r="U80" s="266">
        <f t="shared" ref="U80" si="120">AB80*AC80</f>
        <v>597678.03</v>
      </c>
      <c r="V80" s="266">
        <v>2</v>
      </c>
      <c r="W80" s="266"/>
      <c r="X80" s="272">
        <v>105</v>
      </c>
      <c r="Y80" s="273">
        <f t="shared" ref="Y80" si="121">O80/1000*X80</f>
        <v>125512.38630000001</v>
      </c>
      <c r="Z80" s="273">
        <f t="shared" si="73"/>
        <v>105.00000000000001</v>
      </c>
      <c r="AA80" s="273">
        <f t="shared" si="114"/>
        <v>21</v>
      </c>
      <c r="AB80" s="274">
        <v>1328173.4000000001</v>
      </c>
      <c r="AC80" s="275">
        <v>0.45</v>
      </c>
      <c r="AE80" s="260"/>
      <c r="AF80" s="261">
        <v>0.61122534753372715</v>
      </c>
      <c r="AG80" s="260"/>
      <c r="AJ80" s="346">
        <f t="shared" si="109"/>
        <v>643653.26307692309</v>
      </c>
      <c r="AK80" s="346">
        <f>$O80/$L80*6</f>
        <v>551702.79692307697</v>
      </c>
      <c r="AL80" s="346"/>
      <c r="AN80" s="346">
        <f t="shared" si="111"/>
        <v>3218.2663153846156</v>
      </c>
      <c r="AO80" s="346">
        <f>$R80/$L80*6</f>
        <v>2758.5139846153847</v>
      </c>
      <c r="AP80" s="346"/>
    </row>
    <row r="81" spans="2:42" ht="18.649999999999999" customHeight="1" x14ac:dyDescent="0.35">
      <c r="B81" s="321" t="s">
        <v>121</v>
      </c>
      <c r="C81" s="293" t="s">
        <v>97</v>
      </c>
      <c r="D81" s="311" t="s">
        <v>116</v>
      </c>
      <c r="E81" s="263" t="s">
        <v>46</v>
      </c>
      <c r="F81" s="311" t="s">
        <v>114</v>
      </c>
      <c r="G81" s="263" t="s">
        <v>98</v>
      </c>
      <c r="H81" s="265" t="s">
        <v>88</v>
      </c>
      <c r="I81" s="265" t="s">
        <v>115</v>
      </c>
      <c r="J81" s="552" t="s">
        <v>96</v>
      </c>
      <c r="K81" s="263" t="s">
        <v>105</v>
      </c>
      <c r="L81" s="266">
        <f>N81-M81+1</f>
        <v>6</v>
      </c>
      <c r="M81" s="267">
        <v>45471</v>
      </c>
      <c r="N81" s="267">
        <v>45476</v>
      </c>
      <c r="O81" s="266">
        <f>1714285/14*6</f>
        <v>734693.57142857136</v>
      </c>
      <c r="P81" s="268" t="s">
        <v>17</v>
      </c>
      <c r="Q81" s="315">
        <v>0.01</v>
      </c>
      <c r="R81" s="266">
        <f>O81*Q81</f>
        <v>7346.9357142857134</v>
      </c>
      <c r="S81" s="268" t="s">
        <v>17</v>
      </c>
      <c r="T81" s="271" t="s">
        <v>17</v>
      </c>
      <c r="U81" s="266">
        <f>O81/V81</f>
        <v>146938.71428571426</v>
      </c>
      <c r="V81" s="266">
        <v>5</v>
      </c>
      <c r="W81" s="266"/>
      <c r="X81" s="272">
        <v>260</v>
      </c>
      <c r="Y81" s="273">
        <f>(O81/1000)*X81</f>
        <v>191020.32857142854</v>
      </c>
      <c r="Z81" s="273">
        <f t="shared" si="73"/>
        <v>260</v>
      </c>
      <c r="AA81" s="273">
        <f>Y81/R81</f>
        <v>26</v>
      </c>
      <c r="AB81" s="274">
        <v>400000</v>
      </c>
      <c r="AC81" s="275">
        <f>U81/AB81</f>
        <v>0.36734678571428564</v>
      </c>
      <c r="AE81" s="260"/>
      <c r="AF81" s="261">
        <v>0.3771427</v>
      </c>
      <c r="AG81" s="260"/>
      <c r="AJ81" s="346"/>
      <c r="AK81" s="346">
        <f>$O81/$L81*3</f>
        <v>367346.78571428568</v>
      </c>
      <c r="AL81" s="346">
        <f>$O81/$L81*3</f>
        <v>367346.78571428568</v>
      </c>
      <c r="AN81" s="346"/>
      <c r="AO81" s="346">
        <f>$R81/$L81*3</f>
        <v>3673.4678571428567</v>
      </c>
      <c r="AP81" s="346">
        <f>$R81/$L81*3</f>
        <v>3673.4678571428567</v>
      </c>
    </row>
    <row r="82" spans="2:42" ht="18.649999999999999" customHeight="1" x14ac:dyDescent="0.35">
      <c r="B82" s="277" t="str">
        <f>B81</f>
        <v>Delhi + NCR</v>
      </c>
      <c r="C82" s="278"/>
      <c r="D82" s="279" t="s">
        <v>18</v>
      </c>
      <c r="E82" s="280"/>
      <c r="F82" s="279"/>
      <c r="G82" s="280"/>
      <c r="H82" s="280"/>
      <c r="I82" s="281"/>
      <c r="J82" s="546"/>
      <c r="K82" s="283"/>
      <c r="L82" s="284"/>
      <c r="M82" s="284"/>
      <c r="N82" s="284"/>
      <c r="O82" s="284">
        <f>SUM(O71:O81)</f>
        <v>129534608.0975716</v>
      </c>
      <c r="P82" s="284"/>
      <c r="Q82" s="285">
        <f>R82/O82</f>
        <v>3.1696228302725039E-3</v>
      </c>
      <c r="R82" s="284">
        <f>SUM(R71:R81)</f>
        <v>410575.85113646451</v>
      </c>
      <c r="S82" s="286"/>
      <c r="T82" s="316">
        <f>SUM(T71:T81)</f>
        <v>83117877.73734495</v>
      </c>
      <c r="U82" s="284">
        <f>U74+(SUM(U71:U71,U75:U81,U72:U73)*9%)</f>
        <v>15602971.281119224</v>
      </c>
      <c r="V82" s="284">
        <f>O82/U82</f>
        <v>8.3019192795873611</v>
      </c>
      <c r="W82" s="284"/>
      <c r="X82" s="287"/>
      <c r="Y82" s="317">
        <f>SUM(Y71:Y81)</f>
        <v>17230464.216015402</v>
      </c>
      <c r="Z82" s="288">
        <f t="shared" si="73"/>
        <v>133.01822940658917</v>
      </c>
      <c r="AA82" s="288">
        <f>Y82/R82</f>
        <v>41.966579788659935</v>
      </c>
      <c r="AB82" s="284">
        <f>AB74+(SUM(AB71:AB73,AB75:AB81)*2%)</f>
        <v>20300275.92935</v>
      </c>
      <c r="AC82" s="289">
        <f>U82/AB82</f>
        <v>0.76860882755591287</v>
      </c>
      <c r="AD82" s="261"/>
      <c r="AE82" s="290"/>
      <c r="AF82" s="261">
        <v>0.72852745208800074</v>
      </c>
      <c r="AG82" s="290"/>
      <c r="AH82" s="460"/>
      <c r="AI82" s="459"/>
    </row>
    <row r="83" spans="2:42" ht="18.649999999999999" customHeight="1" x14ac:dyDescent="0.35">
      <c r="B83" s="321" t="s">
        <v>122</v>
      </c>
      <c r="C83" s="293" t="s">
        <v>93</v>
      </c>
      <c r="D83" s="294" t="s">
        <v>94</v>
      </c>
      <c r="E83" s="294" t="s">
        <v>45</v>
      </c>
      <c r="F83" s="295" t="s">
        <v>87</v>
      </c>
      <c r="G83" s="295" t="s">
        <v>50</v>
      </c>
      <c r="H83" s="296" t="s">
        <v>95</v>
      </c>
      <c r="I83" s="296" t="s">
        <v>572</v>
      </c>
      <c r="J83" s="551" t="s">
        <v>96</v>
      </c>
      <c r="K83" s="295" t="s">
        <v>89</v>
      </c>
      <c r="L83" s="298">
        <f t="shared" ref="L83:L91" si="122">N83-(M83-1)</f>
        <v>21</v>
      </c>
      <c r="M83" s="299">
        <v>45460</v>
      </c>
      <c r="N83" s="299">
        <v>45480</v>
      </c>
      <c r="O83" s="298">
        <f t="shared" ref="O83:O92" si="123">U83*V83</f>
        <v>1200662.7962559999</v>
      </c>
      <c r="P83" s="300" t="s">
        <v>17</v>
      </c>
      <c r="Q83" s="301"/>
      <c r="R83" s="298"/>
      <c r="S83" s="302">
        <v>0.85</v>
      </c>
      <c r="T83" s="303">
        <f t="shared" ref="T83:T84" si="124">O83*S83</f>
        <v>1020563.3768175999</v>
      </c>
      <c r="U83" s="298">
        <f>AB83*AC83</f>
        <v>240132.5592512</v>
      </c>
      <c r="V83" s="298">
        <v>5</v>
      </c>
      <c r="W83" s="298"/>
      <c r="X83" s="304">
        <v>170</v>
      </c>
      <c r="Y83" s="305">
        <f t="shared" ref="Y83:Y88" si="125">(O83/1000)*X83</f>
        <v>204112.67536351999</v>
      </c>
      <c r="Z83" s="305">
        <f t="shared" si="73"/>
        <v>169.99999999999997</v>
      </c>
      <c r="AA83" s="305"/>
      <c r="AB83" s="306">
        <v>279580</v>
      </c>
      <c r="AC83" s="307">
        <v>0.85890464</v>
      </c>
      <c r="AD83" s="261"/>
      <c r="AE83" s="260"/>
      <c r="AF83" s="261">
        <v>0.70400000000000007</v>
      </c>
      <c r="AG83" s="260"/>
      <c r="AJ83" s="346">
        <f t="shared" si="109"/>
        <v>400220.93208533328</v>
      </c>
      <c r="AK83" s="346">
        <f t="shared" si="109"/>
        <v>400220.93208533328</v>
      </c>
      <c r="AL83" s="346">
        <f t="shared" si="109"/>
        <v>400220.93208533328</v>
      </c>
      <c r="AN83" s="346">
        <f>$R83/$L83*7</f>
        <v>0</v>
      </c>
      <c r="AO83" s="346">
        <f t="shared" ref="AO83:AP91" si="126">$R83/$L83*7</f>
        <v>0</v>
      </c>
      <c r="AP83" s="346">
        <f t="shared" si="126"/>
        <v>0</v>
      </c>
    </row>
    <row r="84" spans="2:42" ht="18.649999999999999" customHeight="1" x14ac:dyDescent="0.35">
      <c r="B84" s="321" t="s">
        <v>122</v>
      </c>
      <c r="C84" s="293" t="s">
        <v>93</v>
      </c>
      <c r="D84" s="295" t="s">
        <v>86</v>
      </c>
      <c r="E84" s="295" t="s">
        <v>45</v>
      </c>
      <c r="F84" s="295" t="s">
        <v>87</v>
      </c>
      <c r="G84" s="296" t="s">
        <v>50</v>
      </c>
      <c r="H84" s="296" t="s">
        <v>95</v>
      </c>
      <c r="I84" s="296" t="s">
        <v>573</v>
      </c>
      <c r="J84" s="551" t="s">
        <v>96</v>
      </c>
      <c r="K84" s="295" t="s">
        <v>89</v>
      </c>
      <c r="L84" s="298">
        <f t="shared" si="122"/>
        <v>21</v>
      </c>
      <c r="M84" s="299">
        <v>45460</v>
      </c>
      <c r="N84" s="299">
        <v>45480</v>
      </c>
      <c r="O84" s="298">
        <f t="shared" si="123"/>
        <v>15889786.300647601</v>
      </c>
      <c r="P84" s="300" t="s">
        <v>17</v>
      </c>
      <c r="Q84" s="301"/>
      <c r="R84" s="298"/>
      <c r="S84" s="302">
        <v>0.8</v>
      </c>
      <c r="T84" s="303">
        <f t="shared" si="124"/>
        <v>12711829.040518083</v>
      </c>
      <c r="U84" s="298">
        <f>AB84*AC84</f>
        <v>2648297.7167746001</v>
      </c>
      <c r="V84" s="298">
        <v>6</v>
      </c>
      <c r="W84" s="298"/>
      <c r="X84" s="304">
        <v>150</v>
      </c>
      <c r="Y84" s="305">
        <f t="shared" si="125"/>
        <v>2383467.9450971405</v>
      </c>
      <c r="Z84" s="305">
        <f t="shared" si="73"/>
        <v>150.00000000000003</v>
      </c>
      <c r="AA84" s="305"/>
      <c r="AB84" s="306">
        <v>2901970</v>
      </c>
      <c r="AC84" s="307">
        <v>0.91258618000000002</v>
      </c>
      <c r="AF84" s="261">
        <v>0.748</v>
      </c>
      <c r="AJ84" s="346">
        <f t="shared" si="109"/>
        <v>5296595.4335492002</v>
      </c>
      <c r="AK84" s="346">
        <f t="shared" si="109"/>
        <v>5296595.4335492002</v>
      </c>
      <c r="AL84" s="346">
        <f t="shared" si="109"/>
        <v>5296595.4335492002</v>
      </c>
      <c r="AN84" s="346">
        <f t="shared" ref="AN84:AN91" si="127">$R84/$L84*7</f>
        <v>0</v>
      </c>
      <c r="AO84" s="346">
        <f t="shared" si="126"/>
        <v>0</v>
      </c>
      <c r="AP84" s="346">
        <f t="shared" si="126"/>
        <v>0</v>
      </c>
    </row>
    <row r="85" spans="2:42" ht="18.649999999999999" customHeight="1" x14ac:dyDescent="0.35">
      <c r="B85" s="321" t="s">
        <v>122</v>
      </c>
      <c r="C85" s="293" t="s">
        <v>97</v>
      </c>
      <c r="D85" s="264" t="s">
        <v>561</v>
      </c>
      <c r="E85" s="264" t="s">
        <v>45</v>
      </c>
      <c r="F85" s="263" t="s">
        <v>87</v>
      </c>
      <c r="G85" s="263" t="s">
        <v>98</v>
      </c>
      <c r="H85" s="265" t="s">
        <v>90</v>
      </c>
      <c r="I85" s="265" t="s">
        <v>574</v>
      </c>
      <c r="J85" s="552" t="s">
        <v>96</v>
      </c>
      <c r="K85" s="263" t="s">
        <v>89</v>
      </c>
      <c r="L85" s="266">
        <f t="shared" si="122"/>
        <v>21</v>
      </c>
      <c r="M85" s="267">
        <v>45460</v>
      </c>
      <c r="N85" s="267">
        <v>45480</v>
      </c>
      <c r="O85" s="266">
        <f t="shared" si="123"/>
        <v>4388751.2535612807</v>
      </c>
      <c r="P85" s="268" t="s">
        <v>17</v>
      </c>
      <c r="Q85" s="269">
        <v>1E-3</v>
      </c>
      <c r="R85" s="266">
        <f t="shared" ref="R85:R86" si="128">O85*Q85</f>
        <v>4388.7512535612805</v>
      </c>
      <c r="S85" s="270">
        <v>0.8</v>
      </c>
      <c r="T85" s="271">
        <f>O85*S85</f>
        <v>3511001.0028490247</v>
      </c>
      <c r="U85" s="266">
        <f t="shared" ref="U85:U86" si="129">AB85*AC85</f>
        <v>2507857.8591778749</v>
      </c>
      <c r="V85" s="266">
        <v>1.75</v>
      </c>
      <c r="W85" s="266"/>
      <c r="X85" s="272">
        <v>70</v>
      </c>
      <c r="Y85" s="273">
        <f t="shared" si="125"/>
        <v>307212.58774928964</v>
      </c>
      <c r="Z85" s="273">
        <f t="shared" si="73"/>
        <v>69.999999999999986</v>
      </c>
      <c r="AA85" s="273">
        <f t="shared" ref="AA85:AA92" si="130">Y85/R85</f>
        <v>70</v>
      </c>
      <c r="AB85" s="274">
        <f>4836617*85%</f>
        <v>4111124.4499999997</v>
      </c>
      <c r="AC85" s="275">
        <v>0.61001749999999999</v>
      </c>
      <c r="AE85" s="260"/>
      <c r="AF85" s="261">
        <v>0.61599999999999999</v>
      </c>
      <c r="AG85" s="260"/>
      <c r="AJ85" s="346">
        <f t="shared" si="109"/>
        <v>1462917.0845204268</v>
      </c>
      <c r="AK85" s="346">
        <f t="shared" si="109"/>
        <v>1462917.0845204268</v>
      </c>
      <c r="AL85" s="346">
        <f t="shared" si="109"/>
        <v>1462917.0845204268</v>
      </c>
      <c r="AN85" s="346">
        <f t="shared" si="127"/>
        <v>1462.9170845204267</v>
      </c>
      <c r="AO85" s="346">
        <f t="shared" si="126"/>
        <v>1462.9170845204267</v>
      </c>
      <c r="AP85" s="346">
        <f t="shared" si="126"/>
        <v>1462.9170845204267</v>
      </c>
    </row>
    <row r="86" spans="2:42" ht="18.649999999999999" customHeight="1" x14ac:dyDescent="0.35">
      <c r="B86" s="321" t="s">
        <v>122</v>
      </c>
      <c r="C86" s="293" t="s">
        <v>97</v>
      </c>
      <c r="D86" s="264" t="s">
        <v>86</v>
      </c>
      <c r="E86" s="264" t="s">
        <v>45</v>
      </c>
      <c r="F86" s="263" t="s">
        <v>87</v>
      </c>
      <c r="G86" s="263" t="s">
        <v>98</v>
      </c>
      <c r="H86" s="265" t="s">
        <v>90</v>
      </c>
      <c r="I86" s="265" t="s">
        <v>571</v>
      </c>
      <c r="J86" s="552" t="s">
        <v>96</v>
      </c>
      <c r="K86" s="263" t="s">
        <v>89</v>
      </c>
      <c r="L86" s="266">
        <f t="shared" si="122"/>
        <v>21</v>
      </c>
      <c r="M86" s="267">
        <v>45460</v>
      </c>
      <c r="N86" s="267">
        <v>45480</v>
      </c>
      <c r="O86" s="266">
        <f t="shared" si="123"/>
        <v>4715701.5750000002</v>
      </c>
      <c r="P86" s="268" t="s">
        <v>17</v>
      </c>
      <c r="Q86" s="269">
        <v>1E-3</v>
      </c>
      <c r="R86" s="266">
        <f t="shared" si="128"/>
        <v>4715.701575</v>
      </c>
      <c r="S86" s="270">
        <v>0.8</v>
      </c>
      <c r="T86" s="271">
        <f>O86*S86</f>
        <v>3772561.2600000002</v>
      </c>
      <c r="U86" s="266">
        <f t="shared" si="129"/>
        <v>3143801.0500000003</v>
      </c>
      <c r="V86" s="266">
        <v>1.5</v>
      </c>
      <c r="W86" s="266"/>
      <c r="X86" s="272">
        <v>110</v>
      </c>
      <c r="Y86" s="273">
        <f t="shared" si="125"/>
        <v>518727.17324999999</v>
      </c>
      <c r="Z86" s="273">
        <f t="shared" si="73"/>
        <v>110</v>
      </c>
      <c r="AA86" s="273">
        <f t="shared" si="130"/>
        <v>110</v>
      </c>
      <c r="AB86" s="274">
        <v>4836617</v>
      </c>
      <c r="AC86" s="275">
        <v>0.65</v>
      </c>
      <c r="AE86" s="260"/>
      <c r="AF86" s="261">
        <v>0.61599999999999999</v>
      </c>
      <c r="AG86" s="260"/>
      <c r="AJ86" s="346">
        <f t="shared" si="109"/>
        <v>1571900.5249999999</v>
      </c>
      <c r="AK86" s="346">
        <f t="shared" si="109"/>
        <v>1571900.5249999999</v>
      </c>
      <c r="AL86" s="346">
        <f t="shared" si="109"/>
        <v>1571900.5249999999</v>
      </c>
      <c r="AN86" s="346">
        <f t="shared" si="127"/>
        <v>1571.900525</v>
      </c>
      <c r="AO86" s="346">
        <f t="shared" si="126"/>
        <v>1571.900525</v>
      </c>
      <c r="AP86" s="346">
        <f t="shared" si="126"/>
        <v>1571.900525</v>
      </c>
    </row>
    <row r="87" spans="2:42" ht="18.649999999999999" customHeight="1" x14ac:dyDescent="0.35">
      <c r="B87" s="321" t="s">
        <v>122</v>
      </c>
      <c r="C87" s="293" t="s">
        <v>97</v>
      </c>
      <c r="D87" s="263" t="s">
        <v>99</v>
      </c>
      <c r="E87" s="263" t="s">
        <v>46</v>
      </c>
      <c r="F87" s="263" t="s">
        <v>100</v>
      </c>
      <c r="G87" s="263" t="s">
        <v>101</v>
      </c>
      <c r="H87" s="265" t="s">
        <v>88</v>
      </c>
      <c r="I87" s="265" t="s">
        <v>102</v>
      </c>
      <c r="J87" s="553" t="s">
        <v>96</v>
      </c>
      <c r="K87" s="263" t="s">
        <v>89</v>
      </c>
      <c r="L87" s="266">
        <f t="shared" si="122"/>
        <v>21</v>
      </c>
      <c r="M87" s="267">
        <v>45460</v>
      </c>
      <c r="N87" s="267">
        <v>45480</v>
      </c>
      <c r="O87" s="266">
        <f t="shared" si="123"/>
        <v>2515883.0043272441</v>
      </c>
      <c r="P87" s="268" t="s">
        <v>17</v>
      </c>
      <c r="Q87" s="269">
        <v>1.4999999999999999E-2</v>
      </c>
      <c r="R87" s="266">
        <f>O87*Q87</f>
        <v>37738.24506490866</v>
      </c>
      <c r="S87" s="268" t="s">
        <v>17</v>
      </c>
      <c r="T87" s="271" t="s">
        <v>17</v>
      </c>
      <c r="U87" s="266">
        <f>AB87*AC87</f>
        <v>1257941.5021636221</v>
      </c>
      <c r="V87" s="266">
        <v>2</v>
      </c>
      <c r="W87" s="266"/>
      <c r="X87" s="272">
        <v>105</v>
      </c>
      <c r="Y87" s="273">
        <f t="shared" si="125"/>
        <v>264167.71545436064</v>
      </c>
      <c r="Z87" s="273">
        <f t="shared" si="73"/>
        <v>105.00000000000001</v>
      </c>
      <c r="AA87" s="273">
        <f t="shared" si="130"/>
        <v>7.0000000000000009</v>
      </c>
      <c r="AB87" s="274">
        <f>AB85*95%</f>
        <v>3905568.2274999996</v>
      </c>
      <c r="AC87" s="275">
        <v>0.32208924</v>
      </c>
      <c r="AE87" s="260"/>
      <c r="AF87" s="261">
        <v>0.26400000000000001</v>
      </c>
      <c r="AG87" s="260"/>
      <c r="AJ87" s="346">
        <f t="shared" ref="AJ87:AL92" si="131">$O87/$L87*7</f>
        <v>838627.66810908134</v>
      </c>
      <c r="AK87" s="346">
        <f t="shared" si="131"/>
        <v>838627.66810908134</v>
      </c>
      <c r="AL87" s="346">
        <f t="shared" si="131"/>
        <v>838627.66810908134</v>
      </c>
      <c r="AN87" s="346">
        <f t="shared" si="127"/>
        <v>12579.41502163622</v>
      </c>
      <c r="AO87" s="346">
        <f t="shared" si="126"/>
        <v>12579.41502163622</v>
      </c>
      <c r="AP87" s="346">
        <f t="shared" si="126"/>
        <v>12579.41502163622</v>
      </c>
    </row>
    <row r="88" spans="2:42" ht="18.649999999999999" customHeight="1" x14ac:dyDescent="0.35">
      <c r="B88" s="321" t="str">
        <f>B87</f>
        <v>Kolkata + Howrah</v>
      </c>
      <c r="C88" s="293" t="s">
        <v>97</v>
      </c>
      <c r="D88" s="310" t="s">
        <v>103</v>
      </c>
      <c r="E88" s="263" t="s">
        <v>46</v>
      </c>
      <c r="F88" s="310" t="s">
        <v>100</v>
      </c>
      <c r="G88" s="263" t="s">
        <v>98</v>
      </c>
      <c r="H88" s="265" t="s">
        <v>88</v>
      </c>
      <c r="I88" s="265" t="s">
        <v>104</v>
      </c>
      <c r="J88" s="553" t="s">
        <v>96</v>
      </c>
      <c r="K88" s="263" t="s">
        <v>105</v>
      </c>
      <c r="L88" s="266">
        <f t="shared" si="122"/>
        <v>21</v>
      </c>
      <c r="M88" s="267">
        <v>45460</v>
      </c>
      <c r="N88" s="267">
        <v>45480</v>
      </c>
      <c r="O88" s="266">
        <f t="shared" si="123"/>
        <v>1675103.4676683999</v>
      </c>
      <c r="P88" s="268" t="s">
        <v>17</v>
      </c>
      <c r="Q88" s="269">
        <v>1.4999999999999999E-2</v>
      </c>
      <c r="R88" s="266">
        <f>O88*Q88</f>
        <v>25126.552015025998</v>
      </c>
      <c r="S88" s="268" t="s">
        <v>17</v>
      </c>
      <c r="T88" s="271" t="s">
        <v>17</v>
      </c>
      <c r="U88" s="266">
        <f>AB88*AC88</f>
        <v>837551.73383419996</v>
      </c>
      <c r="V88" s="266">
        <v>2</v>
      </c>
      <c r="W88" s="266"/>
      <c r="X88" s="272">
        <v>120</v>
      </c>
      <c r="Y88" s="273">
        <f t="shared" si="125"/>
        <v>201012.41612020798</v>
      </c>
      <c r="Z88" s="273">
        <f t="shared" si="73"/>
        <v>120</v>
      </c>
      <c r="AA88" s="273">
        <f t="shared" si="130"/>
        <v>8</v>
      </c>
      <c r="AB88" s="274">
        <v>1560223</v>
      </c>
      <c r="AC88" s="275">
        <v>0.53681539999999994</v>
      </c>
      <c r="AE88" s="260"/>
      <c r="AF88" s="261">
        <v>0.44</v>
      </c>
      <c r="AG88" s="260"/>
      <c r="AH88" s="320"/>
      <c r="AJ88" s="346">
        <f t="shared" si="131"/>
        <v>558367.82255613338</v>
      </c>
      <c r="AK88" s="346">
        <f t="shared" si="131"/>
        <v>558367.82255613338</v>
      </c>
      <c r="AL88" s="346">
        <f t="shared" si="131"/>
        <v>558367.82255613338</v>
      </c>
      <c r="AN88" s="346">
        <f t="shared" si="127"/>
        <v>8375.5173383419988</v>
      </c>
      <c r="AO88" s="346">
        <f t="shared" si="126"/>
        <v>8375.5173383419988</v>
      </c>
      <c r="AP88" s="346">
        <f t="shared" si="126"/>
        <v>8375.5173383419988</v>
      </c>
    </row>
    <row r="89" spans="2:42" ht="18.649999999999999" customHeight="1" x14ac:dyDescent="0.35">
      <c r="B89" s="321" t="str">
        <f>B88</f>
        <v>Kolkata + Howrah</v>
      </c>
      <c r="C89" s="293" t="s">
        <v>97</v>
      </c>
      <c r="D89" s="310" t="s">
        <v>106</v>
      </c>
      <c r="E89" s="311" t="s">
        <v>46</v>
      </c>
      <c r="F89" s="311" t="s">
        <v>91</v>
      </c>
      <c r="G89" s="263" t="s">
        <v>98</v>
      </c>
      <c r="H89" s="310" t="s">
        <v>88</v>
      </c>
      <c r="I89" s="263" t="s">
        <v>107</v>
      </c>
      <c r="J89" s="553" t="s">
        <v>96</v>
      </c>
      <c r="K89" s="263" t="s">
        <v>89</v>
      </c>
      <c r="L89" s="266">
        <f t="shared" si="122"/>
        <v>21</v>
      </c>
      <c r="M89" s="267">
        <v>45460</v>
      </c>
      <c r="N89" s="267">
        <v>45480</v>
      </c>
      <c r="O89" s="266">
        <f t="shared" si="123"/>
        <v>1321712.8437836401</v>
      </c>
      <c r="P89" s="268" t="s">
        <v>17</v>
      </c>
      <c r="Q89" s="312">
        <v>0.01</v>
      </c>
      <c r="R89" s="266">
        <f t="shared" ref="R89:R90" si="132">O89*Q89</f>
        <v>13217.128437836402</v>
      </c>
      <c r="S89" s="268" t="s">
        <v>17</v>
      </c>
      <c r="T89" s="271" t="s">
        <v>17</v>
      </c>
      <c r="U89" s="266">
        <f t="shared" ref="U89" si="133">AB89*AC89</f>
        <v>660856.42189182003</v>
      </c>
      <c r="V89" s="266">
        <v>2</v>
      </c>
      <c r="W89" s="266"/>
      <c r="X89" s="272">
        <v>200</v>
      </c>
      <c r="Y89" s="273">
        <f>O89*X89/1000</f>
        <v>264342.56875672803</v>
      </c>
      <c r="Z89" s="273">
        <f t="shared" si="73"/>
        <v>200</v>
      </c>
      <c r="AA89" s="273">
        <f t="shared" si="130"/>
        <v>20</v>
      </c>
      <c r="AB89" s="274">
        <v>1865255</v>
      </c>
      <c r="AC89" s="275">
        <v>0.35429816400000003</v>
      </c>
      <c r="AE89" s="260"/>
      <c r="AF89" s="261">
        <v>0.26400000000000001</v>
      </c>
      <c r="AG89" s="260"/>
      <c r="AH89" s="562"/>
      <c r="AJ89" s="346">
        <f t="shared" si="131"/>
        <v>440570.94792788004</v>
      </c>
      <c r="AK89" s="346">
        <f t="shared" si="131"/>
        <v>440570.94792788004</v>
      </c>
      <c r="AL89" s="346">
        <f t="shared" si="131"/>
        <v>440570.94792788004</v>
      </c>
      <c r="AN89" s="346">
        <f t="shared" si="127"/>
        <v>4405.7094792788012</v>
      </c>
      <c r="AO89" s="346">
        <f t="shared" si="126"/>
        <v>4405.7094792788012</v>
      </c>
      <c r="AP89" s="346">
        <f t="shared" si="126"/>
        <v>4405.7094792788012</v>
      </c>
    </row>
    <row r="90" spans="2:42" ht="18.649999999999999" customHeight="1" x14ac:dyDescent="0.35">
      <c r="B90" s="321" t="str">
        <f>B89</f>
        <v>Kolkata + Howrah</v>
      </c>
      <c r="C90" s="293" t="s">
        <v>97</v>
      </c>
      <c r="D90" s="310" t="s">
        <v>588</v>
      </c>
      <c r="E90" s="263" t="s">
        <v>46</v>
      </c>
      <c r="F90" s="310" t="s">
        <v>589</v>
      </c>
      <c r="G90" s="263" t="s">
        <v>98</v>
      </c>
      <c r="H90" s="265" t="s">
        <v>88</v>
      </c>
      <c r="I90" s="265" t="s">
        <v>590</v>
      </c>
      <c r="J90" s="553" t="s">
        <v>591</v>
      </c>
      <c r="K90" s="263" t="s">
        <v>592</v>
      </c>
      <c r="L90" s="266">
        <f t="shared" si="122"/>
        <v>21</v>
      </c>
      <c r="M90" s="267">
        <v>45460</v>
      </c>
      <c r="N90" s="267">
        <v>45480</v>
      </c>
      <c r="O90" s="266">
        <f>U90*3</f>
        <v>202355.37000000002</v>
      </c>
      <c r="P90" s="268" t="s">
        <v>17</v>
      </c>
      <c r="Q90" s="269">
        <v>1.4999999999999999E-2</v>
      </c>
      <c r="R90" s="266">
        <f t="shared" si="132"/>
        <v>3035.3305500000001</v>
      </c>
      <c r="S90" s="268" t="s">
        <v>17</v>
      </c>
      <c r="T90" s="271" t="s">
        <v>17</v>
      </c>
      <c r="U90" s="266">
        <f>AB90*AC90</f>
        <v>67451.790000000008</v>
      </c>
      <c r="V90" s="266">
        <f>O90/U90</f>
        <v>3</v>
      </c>
      <c r="W90" s="266"/>
      <c r="X90" s="272">
        <v>2</v>
      </c>
      <c r="Y90" s="273">
        <f>O90/3*X90</f>
        <v>134903.58000000002</v>
      </c>
      <c r="Z90" s="273">
        <f t="shared" si="73"/>
        <v>666.66666666666663</v>
      </c>
      <c r="AA90" s="273">
        <f t="shared" si="130"/>
        <v>44.44444444444445</v>
      </c>
      <c r="AB90" s="274">
        <v>963597</v>
      </c>
      <c r="AC90" s="275">
        <v>7.0000000000000007E-2</v>
      </c>
      <c r="AE90" s="260"/>
      <c r="AF90" s="261">
        <v>0.26400000000000001</v>
      </c>
      <c r="AG90" s="260"/>
      <c r="AJ90" s="346">
        <f t="shared" si="131"/>
        <v>67451.790000000008</v>
      </c>
      <c r="AK90" s="346">
        <f t="shared" si="131"/>
        <v>67451.790000000008</v>
      </c>
      <c r="AL90" s="346">
        <f t="shared" si="131"/>
        <v>67451.790000000008</v>
      </c>
      <c r="AN90" s="346">
        <f t="shared" si="127"/>
        <v>1011.7768500000002</v>
      </c>
      <c r="AO90" s="346">
        <f t="shared" si="126"/>
        <v>1011.7768500000002</v>
      </c>
      <c r="AP90" s="346">
        <f t="shared" si="126"/>
        <v>1011.7768500000002</v>
      </c>
    </row>
    <row r="91" spans="2:42" ht="18.649999999999999" customHeight="1" x14ac:dyDescent="0.35">
      <c r="B91" s="321" t="str">
        <f>B90</f>
        <v>Kolkata + Howrah</v>
      </c>
      <c r="C91" s="293" t="s">
        <v>97</v>
      </c>
      <c r="D91" s="310" t="s">
        <v>109</v>
      </c>
      <c r="E91" s="263" t="s">
        <v>46</v>
      </c>
      <c r="F91" s="310" t="s">
        <v>100</v>
      </c>
      <c r="G91" s="263" t="s">
        <v>98</v>
      </c>
      <c r="H91" s="265" t="s">
        <v>88</v>
      </c>
      <c r="I91" s="265" t="s">
        <v>110</v>
      </c>
      <c r="J91" s="553" t="s">
        <v>96</v>
      </c>
      <c r="K91" s="263" t="s">
        <v>111</v>
      </c>
      <c r="L91" s="266">
        <f t="shared" si="122"/>
        <v>21</v>
      </c>
      <c r="M91" s="267">
        <v>45460</v>
      </c>
      <c r="N91" s="267">
        <v>45480</v>
      </c>
      <c r="O91" s="266">
        <f t="shared" si="123"/>
        <v>1843381.1383679996</v>
      </c>
      <c r="P91" s="268" t="s">
        <v>17</v>
      </c>
      <c r="Q91" s="269">
        <v>0.02</v>
      </c>
      <c r="R91" s="266">
        <f>O91*Q91</f>
        <v>36867.622767359993</v>
      </c>
      <c r="S91" s="268" t="s">
        <v>17</v>
      </c>
      <c r="T91" s="271" t="s">
        <v>17</v>
      </c>
      <c r="U91" s="266">
        <f>AB91*AC91</f>
        <v>1843381.1383679996</v>
      </c>
      <c r="V91" s="266">
        <v>1</v>
      </c>
      <c r="W91" s="266"/>
      <c r="X91" s="272">
        <v>4.5</v>
      </c>
      <c r="Y91" s="273">
        <f>R91*X91</f>
        <v>165904.30245311998</v>
      </c>
      <c r="Z91" s="273">
        <f t="shared" si="73"/>
        <v>90.000000000000014</v>
      </c>
      <c r="AA91" s="273">
        <f t="shared" si="130"/>
        <v>4.5</v>
      </c>
      <c r="AB91" s="274">
        <v>2861599.9999999995</v>
      </c>
      <c r="AC91" s="275">
        <v>0.64417848</v>
      </c>
      <c r="AE91" s="260"/>
      <c r="AF91" s="261">
        <v>0.52800000000000002</v>
      </c>
      <c r="AG91" s="260"/>
      <c r="AJ91" s="346">
        <f t="shared" si="131"/>
        <v>614460.37945599994</v>
      </c>
      <c r="AK91" s="346">
        <f t="shared" si="131"/>
        <v>614460.37945599994</v>
      </c>
      <c r="AL91" s="346">
        <f t="shared" si="131"/>
        <v>614460.37945599994</v>
      </c>
      <c r="AN91" s="346">
        <f t="shared" si="127"/>
        <v>12289.207589119997</v>
      </c>
      <c r="AO91" s="346">
        <f t="shared" si="126"/>
        <v>12289.207589119997</v>
      </c>
      <c r="AP91" s="346">
        <f t="shared" si="126"/>
        <v>12289.207589119997</v>
      </c>
    </row>
    <row r="92" spans="2:42" ht="18.649999999999999" customHeight="1" x14ac:dyDescent="0.35">
      <c r="B92" s="321" t="str">
        <f>B90</f>
        <v>Kolkata + Howrah</v>
      </c>
      <c r="C92" s="293" t="s">
        <v>97</v>
      </c>
      <c r="D92" s="310" t="s">
        <v>600</v>
      </c>
      <c r="E92" s="314" t="s">
        <v>46</v>
      </c>
      <c r="F92" s="311" t="s">
        <v>565</v>
      </c>
      <c r="G92" s="263" t="s">
        <v>101</v>
      </c>
      <c r="H92" s="265" t="s">
        <v>88</v>
      </c>
      <c r="I92" s="265" t="s">
        <v>527</v>
      </c>
      <c r="J92" s="552" t="s">
        <v>566</v>
      </c>
      <c r="K92" s="263" t="s">
        <v>89</v>
      </c>
      <c r="L92" s="266">
        <f t="shared" ref="L92" si="134">N92-M92+1</f>
        <v>13</v>
      </c>
      <c r="M92" s="267">
        <v>45460</v>
      </c>
      <c r="N92" s="267">
        <v>45472</v>
      </c>
      <c r="O92" s="266">
        <f t="shared" si="123"/>
        <v>327081.92000000004</v>
      </c>
      <c r="P92" s="268" t="s">
        <v>17</v>
      </c>
      <c r="Q92" s="315">
        <v>5.0000000000000001E-3</v>
      </c>
      <c r="R92" s="266">
        <f t="shared" ref="R92" si="135">O92*Q92</f>
        <v>1635.4096000000002</v>
      </c>
      <c r="S92" s="268" t="s">
        <v>17</v>
      </c>
      <c r="T92" s="271" t="s">
        <v>17</v>
      </c>
      <c r="U92" s="266">
        <f t="shared" ref="U92" si="136">AB92*AC92</f>
        <v>163540.96000000002</v>
      </c>
      <c r="V92" s="266">
        <v>2</v>
      </c>
      <c r="W92" s="266"/>
      <c r="X92" s="272">
        <v>105</v>
      </c>
      <c r="Y92" s="273">
        <f t="shared" ref="Y92" si="137">O92/1000*X92</f>
        <v>34343.601600000002</v>
      </c>
      <c r="Z92" s="273">
        <f t="shared" si="73"/>
        <v>105</v>
      </c>
      <c r="AA92" s="273">
        <f t="shared" si="130"/>
        <v>21</v>
      </c>
      <c r="AB92" s="274">
        <v>408852.4</v>
      </c>
      <c r="AC92" s="275">
        <v>0.4</v>
      </c>
      <c r="AE92" s="260"/>
      <c r="AF92" s="261">
        <v>0.74917341863057396</v>
      </c>
      <c r="AG92" s="260"/>
      <c r="AJ92" s="346">
        <f t="shared" si="131"/>
        <v>176121.03384615388</v>
      </c>
      <c r="AK92" s="346">
        <f>$O92/$L92*6</f>
        <v>150960.88615384616</v>
      </c>
      <c r="AL92" s="346"/>
      <c r="AN92" s="346">
        <f>R92/$L92*7</f>
        <v>880.60516923076932</v>
      </c>
      <c r="AO92" s="346">
        <f>R92/$L92*6</f>
        <v>754.80443076923086</v>
      </c>
      <c r="AP92" s="346"/>
    </row>
    <row r="93" spans="2:42" ht="18.649999999999999" customHeight="1" x14ac:dyDescent="0.35">
      <c r="B93" s="321" t="s">
        <v>122</v>
      </c>
      <c r="C93" s="293" t="s">
        <v>97</v>
      </c>
      <c r="D93" s="311" t="s">
        <v>116</v>
      </c>
      <c r="E93" s="263" t="s">
        <v>46</v>
      </c>
      <c r="F93" s="311" t="s">
        <v>114</v>
      </c>
      <c r="G93" s="263" t="s">
        <v>98</v>
      </c>
      <c r="H93" s="265" t="s">
        <v>88</v>
      </c>
      <c r="I93" s="265" t="s">
        <v>115</v>
      </c>
      <c r="J93" s="552" t="s">
        <v>96</v>
      </c>
      <c r="K93" s="263" t="s">
        <v>105</v>
      </c>
      <c r="L93" s="266">
        <f>N93-M93+1</f>
        <v>6</v>
      </c>
      <c r="M93" s="267">
        <v>45471</v>
      </c>
      <c r="N93" s="267">
        <v>45476</v>
      </c>
      <c r="O93" s="266">
        <f>220115/14*6</f>
        <v>94335</v>
      </c>
      <c r="P93" s="268" t="s">
        <v>17</v>
      </c>
      <c r="Q93" s="315">
        <v>0.01</v>
      </c>
      <c r="R93" s="266">
        <f>O93*Q93</f>
        <v>943.35</v>
      </c>
      <c r="S93" s="268" t="s">
        <v>17</v>
      </c>
      <c r="T93" s="271" t="s">
        <v>17</v>
      </c>
      <c r="U93" s="266">
        <f>O93/V93</f>
        <v>37734</v>
      </c>
      <c r="V93" s="266">
        <v>2.5</v>
      </c>
      <c r="W93" s="266"/>
      <c r="X93" s="272">
        <v>260</v>
      </c>
      <c r="Y93" s="273">
        <f>(O93/1000)*X93</f>
        <v>24527.1</v>
      </c>
      <c r="Z93" s="273">
        <f t="shared" si="73"/>
        <v>260</v>
      </c>
      <c r="AA93" s="273">
        <f>Y93/R93</f>
        <v>25.999999999999996</v>
      </c>
      <c r="AB93" s="274">
        <v>102720</v>
      </c>
      <c r="AC93" s="275">
        <f>U93/AB93</f>
        <v>0.3673481308411215</v>
      </c>
      <c r="AE93" s="260"/>
      <c r="AF93" s="261">
        <v>0.37714408099688473</v>
      </c>
      <c r="AG93" s="260"/>
      <c r="AJ93" s="346"/>
      <c r="AK93" s="346">
        <f>$O93/$L93*3</f>
        <v>47167.5</v>
      </c>
      <c r="AL93" s="346">
        <f>$O93/$L93*3</f>
        <v>47167.5</v>
      </c>
      <c r="AN93" s="346"/>
      <c r="AO93" s="346">
        <f>$R93/$L93*3</f>
        <v>471.67499999999995</v>
      </c>
      <c r="AP93" s="346">
        <f>$R93/$L93*3</f>
        <v>471.67499999999995</v>
      </c>
    </row>
    <row r="94" spans="2:42" ht="18.649999999999999" customHeight="1" x14ac:dyDescent="0.35">
      <c r="B94" s="277" t="str">
        <f>B93</f>
        <v>Kolkata + Howrah</v>
      </c>
      <c r="C94" s="278"/>
      <c r="D94" s="279" t="s">
        <v>18</v>
      </c>
      <c r="E94" s="280"/>
      <c r="F94" s="279"/>
      <c r="G94" s="280"/>
      <c r="H94" s="280"/>
      <c r="I94" s="281"/>
      <c r="J94" s="546"/>
      <c r="K94" s="283"/>
      <c r="L94" s="284"/>
      <c r="M94" s="284"/>
      <c r="N94" s="284"/>
      <c r="O94" s="284">
        <f>SUM(O83:O93)</f>
        <v>34174754.669612169</v>
      </c>
      <c r="P94" s="284"/>
      <c r="Q94" s="285">
        <f>R94/O94</f>
        <v>3.7357427287463005E-3</v>
      </c>
      <c r="R94" s="284">
        <f>SUM(R83:R93)</f>
        <v>127668.09126369235</v>
      </c>
      <c r="S94" s="286"/>
      <c r="T94" s="316">
        <f>SUM(T83:T93)</f>
        <v>21015954.680184707</v>
      </c>
      <c r="U94" s="284">
        <f>U86+(SUM(U83:U83,U87:U93,U84:U85)*18%)</f>
        <v>4991455.2726630373</v>
      </c>
      <c r="V94" s="284">
        <f>O94/U94</f>
        <v>6.8466514879495817</v>
      </c>
      <c r="W94" s="284"/>
      <c r="X94" s="287"/>
      <c r="Y94" s="317">
        <f>SUM(Y83:Y93)</f>
        <v>4502721.665844366</v>
      </c>
      <c r="Z94" s="288">
        <f t="shared" si="73"/>
        <v>131.755786087563</v>
      </c>
      <c r="AA94" s="288">
        <f>Y94/R94</f>
        <v>35.268966750228991</v>
      </c>
      <c r="AB94" s="284">
        <f>AB86+(SUM(AB83:AB83,AB87:AB93,AB84:AB85)*9%)</f>
        <v>6543061.1069750004</v>
      </c>
      <c r="AC94" s="289">
        <f>U94/AB94</f>
        <v>0.76286239591161265</v>
      </c>
      <c r="AD94" s="261"/>
      <c r="AE94" s="290"/>
      <c r="AF94" s="261">
        <v>0.75380651153512179</v>
      </c>
      <c r="AG94" s="290"/>
      <c r="AH94" s="460"/>
      <c r="AI94" s="459"/>
    </row>
    <row r="95" spans="2:42" ht="18.649999999999999" customHeight="1" x14ac:dyDescent="0.35">
      <c r="B95" s="321" t="s">
        <v>22</v>
      </c>
      <c r="C95" s="293" t="s">
        <v>93</v>
      </c>
      <c r="D95" s="294" t="s">
        <v>94</v>
      </c>
      <c r="E95" s="294" t="s">
        <v>45</v>
      </c>
      <c r="F95" s="295" t="s">
        <v>87</v>
      </c>
      <c r="G95" s="295" t="s">
        <v>50</v>
      </c>
      <c r="H95" s="296" t="s">
        <v>95</v>
      </c>
      <c r="I95" s="296" t="s">
        <v>572</v>
      </c>
      <c r="J95" s="551" t="s">
        <v>96</v>
      </c>
      <c r="K95" s="295" t="s">
        <v>89</v>
      </c>
      <c r="L95" s="298">
        <f t="shared" ref="L95:L103" si="138">N95-(M95-1)</f>
        <v>21</v>
      </c>
      <c r="M95" s="299">
        <v>45460</v>
      </c>
      <c r="N95" s="299">
        <v>45480</v>
      </c>
      <c r="O95" s="298">
        <f t="shared" ref="O95:O98" si="139">U95*V95</f>
        <v>2956714.8053519996</v>
      </c>
      <c r="P95" s="300" t="s">
        <v>17</v>
      </c>
      <c r="Q95" s="301"/>
      <c r="R95" s="298"/>
      <c r="S95" s="302">
        <v>0.85</v>
      </c>
      <c r="T95" s="303">
        <f t="shared" ref="T95:T96" si="140">O95*S95</f>
        <v>2513207.5845491998</v>
      </c>
      <c r="U95" s="298">
        <f>AB95*AC95</f>
        <v>591342.96107039996</v>
      </c>
      <c r="V95" s="298">
        <v>5</v>
      </c>
      <c r="W95" s="298"/>
      <c r="X95" s="304">
        <v>170</v>
      </c>
      <c r="Y95" s="305">
        <f t="shared" ref="Y95:Y100" si="141">(O95/1000)*X95</f>
        <v>502641.51690983993</v>
      </c>
      <c r="Z95" s="305">
        <f t="shared" si="73"/>
        <v>170</v>
      </c>
      <c r="AA95" s="305"/>
      <c r="AB95" s="306">
        <v>688485</v>
      </c>
      <c r="AC95" s="307">
        <v>0.85890464</v>
      </c>
      <c r="AD95" s="261"/>
      <c r="AE95" s="260"/>
      <c r="AF95" s="261">
        <v>0.70400000000000007</v>
      </c>
      <c r="AG95" s="260"/>
      <c r="AJ95" s="346">
        <f t="shared" ref="AJ95:AL110" si="142">$O95/$L95*7</f>
        <v>985571.60178399982</v>
      </c>
      <c r="AK95" s="346">
        <f t="shared" si="142"/>
        <v>985571.60178399982</v>
      </c>
      <c r="AL95" s="346">
        <f t="shared" si="142"/>
        <v>985571.60178399982</v>
      </c>
      <c r="AN95" s="346">
        <f>$R95/$L95*7</f>
        <v>0</v>
      </c>
      <c r="AO95" s="346">
        <f t="shared" ref="AO95:AP103" si="143">$R95/$L95*7</f>
        <v>0</v>
      </c>
      <c r="AP95" s="346">
        <f t="shared" si="143"/>
        <v>0</v>
      </c>
    </row>
    <row r="96" spans="2:42" ht="18.649999999999999" customHeight="1" x14ac:dyDescent="0.35">
      <c r="B96" s="321" t="s">
        <v>22</v>
      </c>
      <c r="C96" s="293" t="s">
        <v>93</v>
      </c>
      <c r="D96" s="295" t="s">
        <v>86</v>
      </c>
      <c r="E96" s="295" t="s">
        <v>45</v>
      </c>
      <c r="F96" s="295" t="s">
        <v>87</v>
      </c>
      <c r="G96" s="296" t="s">
        <v>50</v>
      </c>
      <c r="H96" s="296" t="s">
        <v>95</v>
      </c>
      <c r="I96" s="296" t="s">
        <v>573</v>
      </c>
      <c r="J96" s="551" t="s">
        <v>96</v>
      </c>
      <c r="K96" s="295" t="s">
        <v>89</v>
      </c>
      <c r="L96" s="298">
        <f t="shared" si="138"/>
        <v>21</v>
      </c>
      <c r="M96" s="299">
        <v>45460</v>
      </c>
      <c r="N96" s="299">
        <v>45480</v>
      </c>
      <c r="O96" s="298">
        <f t="shared" si="139"/>
        <v>17047535.107559878</v>
      </c>
      <c r="P96" s="300" t="s">
        <v>17</v>
      </c>
      <c r="Q96" s="301"/>
      <c r="R96" s="298"/>
      <c r="S96" s="302">
        <v>0.8</v>
      </c>
      <c r="T96" s="303">
        <f t="shared" si="140"/>
        <v>13638028.086047903</v>
      </c>
      <c r="U96" s="298">
        <f>AB96*AC96</f>
        <v>2841255.8512599799</v>
      </c>
      <c r="V96" s="298">
        <v>6</v>
      </c>
      <c r="W96" s="298"/>
      <c r="X96" s="304">
        <v>150</v>
      </c>
      <c r="Y96" s="305">
        <f t="shared" si="141"/>
        <v>2557130.2661339818</v>
      </c>
      <c r="Z96" s="305">
        <f t="shared" si="73"/>
        <v>150</v>
      </c>
      <c r="AA96" s="305"/>
      <c r="AB96" s="306">
        <v>3113411</v>
      </c>
      <c r="AC96" s="307">
        <v>0.91258618000000002</v>
      </c>
      <c r="AF96" s="261">
        <v>0.748</v>
      </c>
      <c r="AJ96" s="346">
        <f t="shared" si="142"/>
        <v>5682511.7025199588</v>
      </c>
      <c r="AK96" s="346">
        <f t="shared" si="142"/>
        <v>5682511.7025199588</v>
      </c>
      <c r="AL96" s="346">
        <f t="shared" si="142"/>
        <v>5682511.7025199588</v>
      </c>
      <c r="AN96" s="346">
        <f t="shared" ref="AN96:AN103" si="144">$R96/$L96*7</f>
        <v>0</v>
      </c>
      <c r="AO96" s="346">
        <f t="shared" si="143"/>
        <v>0</v>
      </c>
      <c r="AP96" s="346">
        <f t="shared" si="143"/>
        <v>0</v>
      </c>
    </row>
    <row r="97" spans="2:42" ht="18.649999999999999" customHeight="1" x14ac:dyDescent="0.35">
      <c r="B97" s="321" t="s">
        <v>22</v>
      </c>
      <c r="C97" s="293" t="s">
        <v>97</v>
      </c>
      <c r="D97" s="264" t="s">
        <v>561</v>
      </c>
      <c r="E97" s="264" t="s">
        <v>45</v>
      </c>
      <c r="F97" s="263" t="s">
        <v>87</v>
      </c>
      <c r="G97" s="263" t="s">
        <v>98</v>
      </c>
      <c r="H97" s="265" t="s">
        <v>90</v>
      </c>
      <c r="I97" s="265" t="s">
        <v>574</v>
      </c>
      <c r="J97" s="552" t="s">
        <v>96</v>
      </c>
      <c r="K97" s="263" t="s">
        <v>89</v>
      </c>
      <c r="L97" s="266">
        <f t="shared" si="138"/>
        <v>21</v>
      </c>
      <c r="M97" s="267">
        <v>45460</v>
      </c>
      <c r="N97" s="267">
        <v>45480</v>
      </c>
      <c r="O97" s="266">
        <f t="shared" si="139"/>
        <v>5541567.9677231563</v>
      </c>
      <c r="P97" s="268" t="s">
        <v>17</v>
      </c>
      <c r="Q97" s="269">
        <v>1E-3</v>
      </c>
      <c r="R97" s="266">
        <f t="shared" ref="R97:R98" si="145">O97*Q97</f>
        <v>5541.5679677231565</v>
      </c>
      <c r="S97" s="270">
        <v>0.8</v>
      </c>
      <c r="T97" s="271">
        <f>O97*S97</f>
        <v>4433254.3741785251</v>
      </c>
      <c r="U97" s="266">
        <f t="shared" ref="U97:U98" si="146">AB97*AC97</f>
        <v>3166610.267270375</v>
      </c>
      <c r="V97" s="266">
        <v>1.75</v>
      </c>
      <c r="W97" s="266"/>
      <c r="X97" s="272">
        <v>70</v>
      </c>
      <c r="Y97" s="273">
        <f t="shared" si="141"/>
        <v>387909.75774062093</v>
      </c>
      <c r="Z97" s="273">
        <f t="shared" si="73"/>
        <v>69.999999999999986</v>
      </c>
      <c r="AA97" s="273">
        <f t="shared" ref="AA97:AA104" si="147">Y97/R97</f>
        <v>70</v>
      </c>
      <c r="AB97" s="274">
        <f>6107077*85%</f>
        <v>5191015.45</v>
      </c>
      <c r="AC97" s="275">
        <v>0.61001749999999999</v>
      </c>
      <c r="AE97" s="260"/>
      <c r="AF97" s="261">
        <v>0.61599999999999999</v>
      </c>
      <c r="AG97" s="260"/>
      <c r="AJ97" s="346">
        <f t="shared" si="142"/>
        <v>1847189.3225743854</v>
      </c>
      <c r="AK97" s="346">
        <f t="shared" si="142"/>
        <v>1847189.3225743854</v>
      </c>
      <c r="AL97" s="346">
        <f t="shared" si="142"/>
        <v>1847189.3225743854</v>
      </c>
      <c r="AN97" s="346">
        <f t="shared" si="144"/>
        <v>1847.1893225743856</v>
      </c>
      <c r="AO97" s="346">
        <f t="shared" si="143"/>
        <v>1847.1893225743856</v>
      </c>
      <c r="AP97" s="346">
        <f t="shared" si="143"/>
        <v>1847.1893225743856</v>
      </c>
    </row>
    <row r="98" spans="2:42" ht="18.649999999999999" customHeight="1" x14ac:dyDescent="0.35">
      <c r="B98" s="321" t="s">
        <v>22</v>
      </c>
      <c r="C98" s="293" t="s">
        <v>97</v>
      </c>
      <c r="D98" s="264" t="s">
        <v>86</v>
      </c>
      <c r="E98" s="264" t="s">
        <v>45</v>
      </c>
      <c r="F98" s="263" t="s">
        <v>87</v>
      </c>
      <c r="G98" s="263" t="s">
        <v>98</v>
      </c>
      <c r="H98" s="265" t="s">
        <v>90</v>
      </c>
      <c r="I98" s="265" t="s">
        <v>571</v>
      </c>
      <c r="J98" s="552" t="s">
        <v>96</v>
      </c>
      <c r="K98" s="263" t="s">
        <v>89</v>
      </c>
      <c r="L98" s="266">
        <f t="shared" si="138"/>
        <v>21</v>
      </c>
      <c r="M98" s="267">
        <v>45460</v>
      </c>
      <c r="N98" s="267">
        <v>45480</v>
      </c>
      <c r="O98" s="266">
        <f t="shared" si="139"/>
        <v>5954400.0750000002</v>
      </c>
      <c r="P98" s="268" t="s">
        <v>17</v>
      </c>
      <c r="Q98" s="269">
        <v>1E-3</v>
      </c>
      <c r="R98" s="266">
        <f t="shared" si="145"/>
        <v>5954.4000750000005</v>
      </c>
      <c r="S98" s="270">
        <v>0.8</v>
      </c>
      <c r="T98" s="271">
        <f>O98*S98</f>
        <v>4763520.0600000005</v>
      </c>
      <c r="U98" s="266">
        <f t="shared" si="146"/>
        <v>3969600.0500000003</v>
      </c>
      <c r="V98" s="266">
        <v>1.5</v>
      </c>
      <c r="W98" s="266"/>
      <c r="X98" s="272">
        <v>110</v>
      </c>
      <c r="Y98" s="273">
        <f t="shared" si="141"/>
        <v>654984.00825000007</v>
      </c>
      <c r="Z98" s="273">
        <f t="shared" si="73"/>
        <v>110.00000000000001</v>
      </c>
      <c r="AA98" s="273">
        <f t="shared" si="147"/>
        <v>110</v>
      </c>
      <c r="AB98" s="274">
        <v>6107077</v>
      </c>
      <c r="AC98" s="275">
        <v>0.65</v>
      </c>
      <c r="AE98" s="260"/>
      <c r="AF98" s="261">
        <v>0.61599999999999999</v>
      </c>
      <c r="AG98" s="260"/>
      <c r="AJ98" s="346">
        <f t="shared" si="142"/>
        <v>1984800.0250000004</v>
      </c>
      <c r="AK98" s="346">
        <f t="shared" si="142"/>
        <v>1984800.0250000004</v>
      </c>
      <c r="AL98" s="346">
        <f t="shared" si="142"/>
        <v>1984800.0250000004</v>
      </c>
      <c r="AN98" s="346">
        <f t="shared" si="144"/>
        <v>1984.800025</v>
      </c>
      <c r="AO98" s="346">
        <f t="shared" si="143"/>
        <v>1984.800025</v>
      </c>
      <c r="AP98" s="346">
        <f t="shared" si="143"/>
        <v>1984.800025</v>
      </c>
    </row>
    <row r="99" spans="2:42" ht="18.649999999999999" customHeight="1" x14ac:dyDescent="0.35">
      <c r="B99" s="321" t="s">
        <v>22</v>
      </c>
      <c r="C99" s="293" t="s">
        <v>97</v>
      </c>
      <c r="D99" s="263" t="s">
        <v>99</v>
      </c>
      <c r="E99" s="263" t="s">
        <v>46</v>
      </c>
      <c r="F99" s="263" t="s">
        <v>100</v>
      </c>
      <c r="G99" s="263" t="s">
        <v>101</v>
      </c>
      <c r="H99" s="265" t="s">
        <v>88</v>
      </c>
      <c r="I99" s="265" t="s">
        <v>102</v>
      </c>
      <c r="J99" s="553" t="s">
        <v>96</v>
      </c>
      <c r="K99" s="263" t="s">
        <v>89</v>
      </c>
      <c r="L99" s="266">
        <f t="shared" si="138"/>
        <v>21</v>
      </c>
      <c r="M99" s="267">
        <v>45460</v>
      </c>
      <c r="N99" s="267">
        <v>45480</v>
      </c>
      <c r="O99" s="266">
        <f>U99*V99</f>
        <v>3176743.4201256405</v>
      </c>
      <c r="P99" s="268" t="s">
        <v>17</v>
      </c>
      <c r="Q99" s="269">
        <v>1.4999999999999999E-2</v>
      </c>
      <c r="R99" s="266">
        <f>O99*Q99</f>
        <v>47651.151301884602</v>
      </c>
      <c r="S99" s="268" t="s">
        <v>17</v>
      </c>
      <c r="T99" s="271" t="s">
        <v>17</v>
      </c>
      <c r="U99" s="266">
        <f>AB99*AC99</f>
        <v>1588371.7100628202</v>
      </c>
      <c r="V99" s="266">
        <v>2</v>
      </c>
      <c r="W99" s="266"/>
      <c r="X99" s="272">
        <v>105</v>
      </c>
      <c r="Y99" s="273">
        <f t="shared" si="141"/>
        <v>333558.05911319226</v>
      </c>
      <c r="Z99" s="273">
        <f t="shared" si="73"/>
        <v>105</v>
      </c>
      <c r="AA99" s="273">
        <f t="shared" si="147"/>
        <v>7.0000000000000009</v>
      </c>
      <c r="AB99" s="274">
        <f>AB97*95%</f>
        <v>4931464.6775000002</v>
      </c>
      <c r="AC99" s="275">
        <v>0.32208924</v>
      </c>
      <c r="AE99" s="260"/>
      <c r="AF99" s="261">
        <v>0.26400000000000001</v>
      </c>
      <c r="AG99" s="260"/>
      <c r="AJ99" s="346">
        <f t="shared" si="142"/>
        <v>1058914.4733752136</v>
      </c>
      <c r="AK99" s="346">
        <f t="shared" si="142"/>
        <v>1058914.4733752136</v>
      </c>
      <c r="AL99" s="346">
        <f t="shared" si="142"/>
        <v>1058914.4733752136</v>
      </c>
      <c r="AN99" s="346">
        <f t="shared" si="144"/>
        <v>15883.717100628201</v>
      </c>
      <c r="AO99" s="346">
        <f t="shared" si="143"/>
        <v>15883.717100628201</v>
      </c>
      <c r="AP99" s="346">
        <f t="shared" si="143"/>
        <v>15883.717100628201</v>
      </c>
    </row>
    <row r="100" spans="2:42" ht="18.649999999999999" customHeight="1" x14ac:dyDescent="0.35">
      <c r="B100" s="321" t="str">
        <f>B99</f>
        <v>Mumbai</v>
      </c>
      <c r="C100" s="293" t="s">
        <v>97</v>
      </c>
      <c r="D100" s="310" t="s">
        <v>103</v>
      </c>
      <c r="E100" s="263" t="s">
        <v>46</v>
      </c>
      <c r="F100" s="310" t="s">
        <v>100</v>
      </c>
      <c r="G100" s="263" t="s">
        <v>98</v>
      </c>
      <c r="H100" s="265" t="s">
        <v>88</v>
      </c>
      <c r="I100" s="265" t="s">
        <v>104</v>
      </c>
      <c r="J100" s="553" t="s">
        <v>96</v>
      </c>
      <c r="K100" s="263" t="s">
        <v>105</v>
      </c>
      <c r="L100" s="266">
        <f t="shared" si="138"/>
        <v>21</v>
      </c>
      <c r="M100" s="267">
        <v>45460</v>
      </c>
      <c r="N100" s="267">
        <v>45480</v>
      </c>
      <c r="O100" s="266">
        <f>U100*V100</f>
        <v>2142707.2581463996</v>
      </c>
      <c r="P100" s="268" t="s">
        <v>17</v>
      </c>
      <c r="Q100" s="269">
        <v>1.4999999999999999E-2</v>
      </c>
      <c r="R100" s="266">
        <f>O100*Q100</f>
        <v>32140.608872195993</v>
      </c>
      <c r="S100" s="268" t="s">
        <v>17</v>
      </c>
      <c r="T100" s="271" t="s">
        <v>17</v>
      </c>
      <c r="U100" s="266">
        <f>AB100*AC100</f>
        <v>1071353.6290731998</v>
      </c>
      <c r="V100" s="266">
        <v>2</v>
      </c>
      <c r="W100" s="266"/>
      <c r="X100" s="272">
        <v>120</v>
      </c>
      <c r="Y100" s="273">
        <f t="shared" si="141"/>
        <v>257124.87097756795</v>
      </c>
      <c r="Z100" s="273">
        <f t="shared" si="73"/>
        <v>120</v>
      </c>
      <c r="AA100" s="273">
        <f t="shared" si="147"/>
        <v>8</v>
      </c>
      <c r="AB100" s="274">
        <v>1995758</v>
      </c>
      <c r="AC100" s="275">
        <v>0.53681539999999994</v>
      </c>
      <c r="AE100" s="260"/>
      <c r="AF100" s="261">
        <v>0.44</v>
      </c>
      <c r="AG100" s="260"/>
      <c r="AH100" s="320"/>
      <c r="AJ100" s="346">
        <f t="shared" si="142"/>
        <v>714235.75271546654</v>
      </c>
      <c r="AK100" s="346">
        <f t="shared" si="142"/>
        <v>714235.75271546654</v>
      </c>
      <c r="AL100" s="346">
        <f t="shared" si="142"/>
        <v>714235.75271546654</v>
      </c>
      <c r="AN100" s="346">
        <f t="shared" si="144"/>
        <v>10713.536290731998</v>
      </c>
      <c r="AO100" s="346">
        <f t="shared" si="143"/>
        <v>10713.536290731998</v>
      </c>
      <c r="AP100" s="346">
        <f t="shared" si="143"/>
        <v>10713.536290731998</v>
      </c>
    </row>
    <row r="101" spans="2:42" ht="18" customHeight="1" x14ac:dyDescent="0.35">
      <c r="B101" s="321" t="str">
        <f>B100</f>
        <v>Mumbai</v>
      </c>
      <c r="C101" s="293" t="s">
        <v>97</v>
      </c>
      <c r="D101" s="310" t="s">
        <v>106</v>
      </c>
      <c r="E101" s="311" t="s">
        <v>46</v>
      </c>
      <c r="F101" s="311" t="s">
        <v>91</v>
      </c>
      <c r="G101" s="263" t="s">
        <v>98</v>
      </c>
      <c r="H101" s="310" t="s">
        <v>88</v>
      </c>
      <c r="I101" s="263" t="s">
        <v>107</v>
      </c>
      <c r="J101" s="553" t="s">
        <v>96</v>
      </c>
      <c r="K101" s="263" t="s">
        <v>89</v>
      </c>
      <c r="L101" s="266">
        <f t="shared" si="138"/>
        <v>21</v>
      </c>
      <c r="M101" s="267">
        <v>45460</v>
      </c>
      <c r="N101" s="267">
        <v>45480</v>
      </c>
      <c r="O101" s="266">
        <f>U101*V101</f>
        <v>1311501.2621008321</v>
      </c>
      <c r="P101" s="268" t="s">
        <v>17</v>
      </c>
      <c r="Q101" s="312">
        <v>0.01</v>
      </c>
      <c r="R101" s="266">
        <f t="shared" ref="R101:R102" si="148">O101*Q101</f>
        <v>13115.012621008322</v>
      </c>
      <c r="S101" s="268" t="s">
        <v>17</v>
      </c>
      <c r="T101" s="271" t="s">
        <v>17</v>
      </c>
      <c r="U101" s="266">
        <f t="shared" ref="U101" si="149">AB101*AC101</f>
        <v>655750.63105041604</v>
      </c>
      <c r="V101" s="266">
        <v>2</v>
      </c>
      <c r="W101" s="266"/>
      <c r="X101" s="272">
        <v>200</v>
      </c>
      <c r="Y101" s="273">
        <f>O101*X101/1000</f>
        <v>262300.25242016639</v>
      </c>
      <c r="Z101" s="273">
        <f t="shared" si="73"/>
        <v>199.99999999999997</v>
      </c>
      <c r="AA101" s="273">
        <f t="shared" si="147"/>
        <v>19.999999999999996</v>
      </c>
      <c r="AB101" s="274">
        <v>2776266</v>
      </c>
      <c r="AC101" s="275">
        <v>0.23619877600000003</v>
      </c>
      <c r="AE101" s="260"/>
      <c r="AF101" s="261">
        <v>0.17600000000000002</v>
      </c>
      <c r="AG101" s="260"/>
      <c r="AH101" s="562"/>
      <c r="AJ101" s="346">
        <f t="shared" si="142"/>
        <v>437167.087366944</v>
      </c>
      <c r="AK101" s="346">
        <f t="shared" si="142"/>
        <v>437167.087366944</v>
      </c>
      <c r="AL101" s="346">
        <f t="shared" si="142"/>
        <v>437167.087366944</v>
      </c>
      <c r="AN101" s="346">
        <f t="shared" si="144"/>
        <v>4371.6708736694409</v>
      </c>
      <c r="AO101" s="346">
        <f t="shared" si="143"/>
        <v>4371.6708736694409</v>
      </c>
      <c r="AP101" s="346">
        <f t="shared" si="143"/>
        <v>4371.6708736694409</v>
      </c>
    </row>
    <row r="102" spans="2:42" ht="18.649999999999999" customHeight="1" x14ac:dyDescent="0.35">
      <c r="B102" s="321" t="str">
        <f>B101</f>
        <v>Mumbai</v>
      </c>
      <c r="C102" s="293" t="s">
        <v>97</v>
      </c>
      <c r="D102" s="310" t="s">
        <v>588</v>
      </c>
      <c r="E102" s="263" t="s">
        <v>46</v>
      </c>
      <c r="F102" s="310" t="s">
        <v>589</v>
      </c>
      <c r="G102" s="263" t="s">
        <v>98</v>
      </c>
      <c r="H102" s="265" t="s">
        <v>88</v>
      </c>
      <c r="I102" s="265" t="s">
        <v>590</v>
      </c>
      <c r="J102" s="553" t="s">
        <v>591</v>
      </c>
      <c r="K102" s="263" t="s">
        <v>592</v>
      </c>
      <c r="L102" s="266">
        <f t="shared" si="138"/>
        <v>21</v>
      </c>
      <c r="M102" s="267">
        <v>45460</v>
      </c>
      <c r="N102" s="267">
        <v>45480</v>
      </c>
      <c r="O102" s="266">
        <f>U102*3</f>
        <v>539614.53</v>
      </c>
      <c r="P102" s="268" t="s">
        <v>17</v>
      </c>
      <c r="Q102" s="269">
        <v>1.4999999999999999E-2</v>
      </c>
      <c r="R102" s="266">
        <f t="shared" si="148"/>
        <v>8094.2179500000002</v>
      </c>
      <c r="S102" s="268" t="s">
        <v>17</v>
      </c>
      <c r="T102" s="271" t="s">
        <v>17</v>
      </c>
      <c r="U102" s="266">
        <f>AB102*AC102</f>
        <v>179871.51</v>
      </c>
      <c r="V102" s="266">
        <f>O102/U102</f>
        <v>3</v>
      </c>
      <c r="W102" s="266"/>
      <c r="X102" s="272">
        <v>2</v>
      </c>
      <c r="Y102" s="273">
        <f>O102/3*X102</f>
        <v>359743.02</v>
      </c>
      <c r="Z102" s="273">
        <f t="shared" si="73"/>
        <v>666.66666666666663</v>
      </c>
      <c r="AA102" s="273">
        <f t="shared" si="147"/>
        <v>44.444444444444443</v>
      </c>
      <c r="AB102" s="274">
        <v>2569593</v>
      </c>
      <c r="AC102" s="275">
        <v>7.0000000000000007E-2</v>
      </c>
      <c r="AE102" s="260"/>
      <c r="AF102" s="261">
        <v>0.26400000000000001</v>
      </c>
      <c r="AG102" s="260"/>
      <c r="AJ102" s="346">
        <f t="shared" si="142"/>
        <v>179871.51</v>
      </c>
      <c r="AK102" s="346">
        <f t="shared" si="142"/>
        <v>179871.51</v>
      </c>
      <c r="AL102" s="346">
        <f t="shared" si="142"/>
        <v>179871.51</v>
      </c>
      <c r="AN102" s="346">
        <f t="shared" si="144"/>
        <v>2698.0726500000001</v>
      </c>
      <c r="AO102" s="346">
        <f t="shared" si="143"/>
        <v>2698.0726500000001</v>
      </c>
      <c r="AP102" s="346">
        <f t="shared" si="143"/>
        <v>2698.0726500000001</v>
      </c>
    </row>
    <row r="103" spans="2:42" ht="18.649999999999999" customHeight="1" x14ac:dyDescent="0.35">
      <c r="B103" s="321" t="str">
        <f>B102</f>
        <v>Mumbai</v>
      </c>
      <c r="C103" s="293" t="s">
        <v>97</v>
      </c>
      <c r="D103" s="310" t="s">
        <v>109</v>
      </c>
      <c r="E103" s="263" t="s">
        <v>46</v>
      </c>
      <c r="F103" s="310" t="s">
        <v>100</v>
      </c>
      <c r="G103" s="263" t="s">
        <v>98</v>
      </c>
      <c r="H103" s="265" t="s">
        <v>88</v>
      </c>
      <c r="I103" s="265" t="s">
        <v>110</v>
      </c>
      <c r="J103" s="553" t="s">
        <v>96</v>
      </c>
      <c r="K103" s="263" t="s">
        <v>111</v>
      </c>
      <c r="L103" s="266">
        <f t="shared" si="138"/>
        <v>21</v>
      </c>
      <c r="M103" s="267">
        <v>45460</v>
      </c>
      <c r="N103" s="267">
        <v>45480</v>
      </c>
      <c r="O103" s="266">
        <f>U103*V103</f>
        <v>2873229.274344</v>
      </c>
      <c r="P103" s="268" t="s">
        <v>17</v>
      </c>
      <c r="Q103" s="269">
        <v>0.02</v>
      </c>
      <c r="R103" s="266">
        <f>O103*Q103</f>
        <v>57464.585486880002</v>
      </c>
      <c r="S103" s="268" t="s">
        <v>17</v>
      </c>
      <c r="T103" s="271" t="s">
        <v>17</v>
      </c>
      <c r="U103" s="266">
        <f>AB103*AC103</f>
        <v>2873229.274344</v>
      </c>
      <c r="V103" s="266">
        <v>1</v>
      </c>
      <c r="W103" s="266"/>
      <c r="X103" s="272">
        <v>4.5</v>
      </c>
      <c r="Y103" s="273">
        <f>R103*X103</f>
        <v>258590.63469096</v>
      </c>
      <c r="Z103" s="273">
        <f t="shared" si="73"/>
        <v>90</v>
      </c>
      <c r="AA103" s="273">
        <f t="shared" si="147"/>
        <v>4.5</v>
      </c>
      <c r="AB103" s="274">
        <v>4460300</v>
      </c>
      <c r="AC103" s="275">
        <v>0.64417848</v>
      </c>
      <c r="AE103" s="260"/>
      <c r="AF103" s="261">
        <v>0.52800000000000002</v>
      </c>
      <c r="AG103" s="260"/>
      <c r="AJ103" s="346">
        <f t="shared" si="142"/>
        <v>957743.09144800005</v>
      </c>
      <c r="AK103" s="346">
        <f t="shared" si="142"/>
        <v>957743.09144800005</v>
      </c>
      <c r="AL103" s="346">
        <f t="shared" si="142"/>
        <v>957743.09144800005</v>
      </c>
      <c r="AN103" s="346">
        <f t="shared" si="144"/>
        <v>19154.861828960002</v>
      </c>
      <c r="AO103" s="346">
        <f t="shared" si="143"/>
        <v>19154.861828960002</v>
      </c>
      <c r="AP103" s="346">
        <f t="shared" si="143"/>
        <v>19154.861828960002</v>
      </c>
    </row>
    <row r="104" spans="2:42" ht="18.649999999999999" customHeight="1" x14ac:dyDescent="0.35">
      <c r="B104" s="321" t="s">
        <v>22</v>
      </c>
      <c r="C104" s="293" t="s">
        <v>97</v>
      </c>
      <c r="D104" s="310" t="s">
        <v>600</v>
      </c>
      <c r="E104" s="314" t="s">
        <v>46</v>
      </c>
      <c r="F104" s="311" t="s">
        <v>565</v>
      </c>
      <c r="G104" s="263" t="s">
        <v>101</v>
      </c>
      <c r="H104" s="265" t="s">
        <v>88</v>
      </c>
      <c r="I104" s="265" t="s">
        <v>527</v>
      </c>
      <c r="J104" s="552" t="s">
        <v>566</v>
      </c>
      <c r="K104" s="263" t="s">
        <v>89</v>
      </c>
      <c r="L104" s="266">
        <f t="shared" ref="L104" si="150">N104-M104+1</f>
        <v>13</v>
      </c>
      <c r="M104" s="267">
        <v>45460</v>
      </c>
      <c r="N104" s="267">
        <v>45472</v>
      </c>
      <c r="O104" s="266">
        <f t="shared" ref="O104" si="151">U104*V104</f>
        <v>718419.96000000008</v>
      </c>
      <c r="P104" s="268" t="s">
        <v>17</v>
      </c>
      <c r="Q104" s="315">
        <v>5.0000000000000001E-3</v>
      </c>
      <c r="R104" s="266">
        <f t="shared" ref="R104" si="152">O104*Q104</f>
        <v>3592.0998000000004</v>
      </c>
      <c r="S104" s="268" t="s">
        <v>17</v>
      </c>
      <c r="T104" s="271" t="s">
        <v>17</v>
      </c>
      <c r="U104" s="266">
        <f t="shared" ref="U104" si="153">AB104*AC104</f>
        <v>359209.98000000004</v>
      </c>
      <c r="V104" s="266">
        <v>2</v>
      </c>
      <c r="W104" s="266"/>
      <c r="X104" s="272">
        <v>105</v>
      </c>
      <c r="Y104" s="273">
        <f t="shared" ref="Y104" si="154">O104/1000*X104</f>
        <v>75434.09580000001</v>
      </c>
      <c r="Z104" s="273">
        <f t="shared" si="73"/>
        <v>105</v>
      </c>
      <c r="AA104" s="273">
        <f t="shared" si="147"/>
        <v>21</v>
      </c>
      <c r="AB104" s="274">
        <v>798244.4</v>
      </c>
      <c r="AC104" s="275">
        <v>0.45</v>
      </c>
      <c r="AE104" s="260"/>
      <c r="AF104" s="261">
        <v>0.29264880126797788</v>
      </c>
      <c r="AG104" s="260"/>
      <c r="AJ104" s="346">
        <f t="shared" si="142"/>
        <v>386841.51692307694</v>
      </c>
      <c r="AK104" s="346">
        <f>$O104/$L104*6</f>
        <v>331578.44307692308</v>
      </c>
      <c r="AL104" s="346"/>
      <c r="AN104" s="346">
        <f>$R104/$L104*7</f>
        <v>1934.2075846153848</v>
      </c>
      <c r="AO104" s="346">
        <f>$R104/$L104*6</f>
        <v>1657.8922153846156</v>
      </c>
      <c r="AP104" s="346"/>
    </row>
    <row r="105" spans="2:42" ht="18.649999999999999" customHeight="1" x14ac:dyDescent="0.35">
      <c r="B105" s="321" t="s">
        <v>22</v>
      </c>
      <c r="C105" s="293" t="s">
        <v>97</v>
      </c>
      <c r="D105" s="311" t="s">
        <v>116</v>
      </c>
      <c r="E105" s="263" t="s">
        <v>46</v>
      </c>
      <c r="F105" s="311" t="s">
        <v>114</v>
      </c>
      <c r="G105" s="263" t="s">
        <v>98</v>
      </c>
      <c r="H105" s="265" t="s">
        <v>88</v>
      </c>
      <c r="I105" s="265" t="s">
        <v>115</v>
      </c>
      <c r="J105" s="552" t="s">
        <v>96</v>
      </c>
      <c r="K105" s="263" t="s">
        <v>105</v>
      </c>
      <c r="L105" s="266">
        <f>N105-M105+1</f>
        <v>6</v>
      </c>
      <c r="M105" s="267">
        <v>45471</v>
      </c>
      <c r="N105" s="267">
        <v>45476</v>
      </c>
      <c r="O105" s="266">
        <f>1980000/14*6</f>
        <v>848571.42857142852</v>
      </c>
      <c r="P105" s="268" t="s">
        <v>17</v>
      </c>
      <c r="Q105" s="315">
        <v>0.01</v>
      </c>
      <c r="R105" s="266">
        <f>O105*Q105</f>
        <v>8485.7142857142862</v>
      </c>
      <c r="S105" s="268" t="s">
        <v>17</v>
      </c>
      <c r="T105" s="271" t="s">
        <v>17</v>
      </c>
      <c r="U105" s="266">
        <f>O105/V105</f>
        <v>169714.28571428571</v>
      </c>
      <c r="V105" s="266">
        <v>5</v>
      </c>
      <c r="W105" s="266"/>
      <c r="X105" s="272">
        <v>260</v>
      </c>
      <c r="Y105" s="273">
        <f>(O105/1000)*X105</f>
        <v>220628.57142857142</v>
      </c>
      <c r="Z105" s="273">
        <f t="shared" ref="Z105:Z168" si="155">Y105/O105*1000</f>
        <v>260</v>
      </c>
      <c r="AA105" s="273">
        <f>Y105/R105</f>
        <v>25.999999999999996</v>
      </c>
      <c r="AB105" s="274">
        <v>462000</v>
      </c>
      <c r="AC105" s="275">
        <f>U105/AB105</f>
        <v>0.36734693877551017</v>
      </c>
      <c r="AE105" s="260"/>
      <c r="AF105" s="261">
        <v>0.37714285714285711</v>
      </c>
      <c r="AG105" s="260"/>
      <c r="AJ105" s="346"/>
      <c r="AK105" s="346">
        <f>$O105/$L105*3</f>
        <v>424285.71428571426</v>
      </c>
      <c r="AL105" s="346">
        <f>$O105/$L105*3</f>
        <v>424285.71428571426</v>
      </c>
      <c r="AN105" s="346"/>
      <c r="AO105" s="346">
        <f>$R105/$L105*3</f>
        <v>4242.8571428571431</v>
      </c>
      <c r="AP105" s="346">
        <f>$R105/$L105*3</f>
        <v>4242.8571428571431</v>
      </c>
    </row>
    <row r="106" spans="2:42" ht="18.649999999999999" customHeight="1" x14ac:dyDescent="0.35">
      <c r="B106" s="277" t="str">
        <f>B105</f>
        <v>Mumbai</v>
      </c>
      <c r="C106" s="278"/>
      <c r="D106" s="279" t="s">
        <v>18</v>
      </c>
      <c r="E106" s="280"/>
      <c r="F106" s="279"/>
      <c r="G106" s="280"/>
      <c r="H106" s="280"/>
      <c r="I106" s="281"/>
      <c r="J106" s="546"/>
      <c r="K106" s="283"/>
      <c r="L106" s="284"/>
      <c r="M106" s="284"/>
      <c r="N106" s="284"/>
      <c r="O106" s="284">
        <f>SUM(O95:O105)</f>
        <v>43111005.088923328</v>
      </c>
      <c r="P106" s="284"/>
      <c r="Q106" s="285">
        <f>R106/O106</f>
        <v>4.2225728206735412E-3</v>
      </c>
      <c r="R106" s="284">
        <f>SUM(R95:R105)</f>
        <v>182039.35836040636</v>
      </c>
      <c r="S106" s="286"/>
      <c r="T106" s="316">
        <f>SUM(T95:T105)</f>
        <v>25348010.10477563</v>
      </c>
      <c r="U106" s="284">
        <f>U98+(SUM(U95:U95,U99:U105,U96:U97)*8%)</f>
        <v>5049336.8579876386</v>
      </c>
      <c r="V106" s="284">
        <f>O106/U106</f>
        <v>8.5379538544205538</v>
      </c>
      <c r="W106" s="284"/>
      <c r="X106" s="287"/>
      <c r="Y106" s="317">
        <f>SUM(Y95:Y105)</f>
        <v>5870045.0534649016</v>
      </c>
      <c r="Z106" s="288">
        <f t="shared" si="155"/>
        <v>136.16117372714916</v>
      </c>
      <c r="AA106" s="288">
        <f>Y106/R106</f>
        <v>32.246021444676984</v>
      </c>
      <c r="AB106" s="284">
        <f>AB98+(SUM(AB95:AB97,AB99:AB105)*2%)</f>
        <v>6646807.75055</v>
      </c>
      <c r="AC106" s="289">
        <f>U106/AB106</f>
        <v>0.75966344258562668</v>
      </c>
      <c r="AD106" s="261"/>
      <c r="AE106" s="290"/>
      <c r="AF106" s="261">
        <v>0.75269897524226992</v>
      </c>
      <c r="AG106" s="290"/>
      <c r="AH106" s="460"/>
      <c r="AI106" s="459"/>
    </row>
    <row r="107" spans="2:42" ht="18.649999999999999" customHeight="1" x14ac:dyDescent="0.35">
      <c r="B107" s="321" t="s">
        <v>123</v>
      </c>
      <c r="C107" s="293" t="s">
        <v>93</v>
      </c>
      <c r="D107" s="294" t="s">
        <v>94</v>
      </c>
      <c r="E107" s="294" t="s">
        <v>45</v>
      </c>
      <c r="F107" s="295" t="s">
        <v>87</v>
      </c>
      <c r="G107" s="295" t="s">
        <v>50</v>
      </c>
      <c r="H107" s="296" t="s">
        <v>95</v>
      </c>
      <c r="I107" s="296" t="s">
        <v>572</v>
      </c>
      <c r="J107" s="551" t="s">
        <v>96</v>
      </c>
      <c r="K107" s="295" t="s">
        <v>89</v>
      </c>
      <c r="L107" s="298">
        <f t="shared" ref="L107:L115" si="156">N107-(M107-1)</f>
        <v>21</v>
      </c>
      <c r="M107" s="299">
        <v>45460</v>
      </c>
      <c r="N107" s="299">
        <v>45480</v>
      </c>
      <c r="O107" s="298">
        <f t="shared" ref="O107:O110" si="157">U107*V107</f>
        <v>1219902.2601919998</v>
      </c>
      <c r="P107" s="300" t="s">
        <v>17</v>
      </c>
      <c r="Q107" s="301"/>
      <c r="R107" s="298"/>
      <c r="S107" s="302">
        <v>0.85</v>
      </c>
      <c r="T107" s="303">
        <f t="shared" ref="T107:T108" si="158">O107*S107</f>
        <v>1036916.9211631998</v>
      </c>
      <c r="U107" s="298">
        <f>AB107*AC107</f>
        <v>243980.45203839999</v>
      </c>
      <c r="V107" s="298">
        <v>5</v>
      </c>
      <c r="W107" s="298"/>
      <c r="X107" s="304">
        <v>170</v>
      </c>
      <c r="Y107" s="305">
        <f t="shared" ref="Y107:Y112" si="159">(O107/1000)*X107</f>
        <v>207383.38423263998</v>
      </c>
      <c r="Z107" s="305">
        <f t="shared" si="155"/>
        <v>170</v>
      </c>
      <c r="AA107" s="305"/>
      <c r="AB107" s="306">
        <v>284060</v>
      </c>
      <c r="AC107" s="307">
        <v>0.85890464</v>
      </c>
      <c r="AD107" s="261"/>
      <c r="AE107" s="260"/>
      <c r="AF107" s="261">
        <v>0.70400000000000007</v>
      </c>
      <c r="AG107" s="260"/>
      <c r="AJ107" s="346">
        <f t="shared" si="142"/>
        <v>406634.08673066663</v>
      </c>
      <c r="AK107" s="346">
        <f t="shared" si="142"/>
        <v>406634.08673066663</v>
      </c>
      <c r="AL107" s="346">
        <f t="shared" si="142"/>
        <v>406634.08673066663</v>
      </c>
      <c r="AN107" s="346">
        <f>$R107/$L107*7</f>
        <v>0</v>
      </c>
      <c r="AO107" s="346">
        <f t="shared" ref="AO107:AP115" si="160">$R107/$L107*7</f>
        <v>0</v>
      </c>
      <c r="AP107" s="346">
        <f t="shared" si="160"/>
        <v>0</v>
      </c>
    </row>
    <row r="108" spans="2:42" ht="18.649999999999999" customHeight="1" x14ac:dyDescent="0.35">
      <c r="B108" s="321" t="s">
        <v>123</v>
      </c>
      <c r="C108" s="293" t="s">
        <v>93</v>
      </c>
      <c r="D108" s="295" t="s">
        <v>86</v>
      </c>
      <c r="E108" s="295" t="s">
        <v>45</v>
      </c>
      <c r="F108" s="295" t="s">
        <v>87</v>
      </c>
      <c r="G108" s="296" t="s">
        <v>50</v>
      </c>
      <c r="H108" s="296" t="s">
        <v>95</v>
      </c>
      <c r="I108" s="296" t="s">
        <v>573</v>
      </c>
      <c r="J108" s="551" t="s">
        <v>96</v>
      </c>
      <c r="K108" s="295" t="s">
        <v>89</v>
      </c>
      <c r="L108" s="298">
        <f t="shared" si="156"/>
        <v>21</v>
      </c>
      <c r="M108" s="299">
        <v>45460</v>
      </c>
      <c r="N108" s="299">
        <v>45480</v>
      </c>
      <c r="O108" s="298">
        <f t="shared" si="157"/>
        <v>5478145.3281984003</v>
      </c>
      <c r="P108" s="300" t="s">
        <v>17</v>
      </c>
      <c r="Q108" s="301"/>
      <c r="R108" s="298"/>
      <c r="S108" s="302">
        <v>0.8</v>
      </c>
      <c r="T108" s="303">
        <f t="shared" si="158"/>
        <v>4382516.2625587201</v>
      </c>
      <c r="U108" s="298">
        <f>AB108*AC108</f>
        <v>913024.22136640002</v>
      </c>
      <c r="V108" s="298">
        <v>6</v>
      </c>
      <c r="W108" s="298"/>
      <c r="X108" s="304">
        <v>150</v>
      </c>
      <c r="Y108" s="305">
        <f t="shared" si="159"/>
        <v>821721.79922976007</v>
      </c>
      <c r="Z108" s="305">
        <f t="shared" si="155"/>
        <v>150</v>
      </c>
      <c r="AA108" s="305"/>
      <c r="AB108" s="306">
        <v>1000480</v>
      </c>
      <c r="AC108" s="307">
        <v>0.91258618000000002</v>
      </c>
      <c r="AF108" s="261">
        <v>0.748</v>
      </c>
      <c r="AJ108" s="346">
        <f t="shared" si="142"/>
        <v>1826048.4427328003</v>
      </c>
      <c r="AK108" s="346">
        <f t="shared" si="142"/>
        <v>1826048.4427328003</v>
      </c>
      <c r="AL108" s="346">
        <f t="shared" si="142"/>
        <v>1826048.4427328003</v>
      </c>
      <c r="AN108" s="346">
        <f t="shared" ref="AN108:AN115" si="161">$R108/$L108*7</f>
        <v>0</v>
      </c>
      <c r="AO108" s="346">
        <f t="shared" si="160"/>
        <v>0</v>
      </c>
      <c r="AP108" s="346">
        <f t="shared" si="160"/>
        <v>0</v>
      </c>
    </row>
    <row r="109" spans="2:42" ht="18.649999999999999" customHeight="1" x14ac:dyDescent="0.35">
      <c r="B109" s="321" t="s">
        <v>123</v>
      </c>
      <c r="C109" s="293" t="s">
        <v>97</v>
      </c>
      <c r="D109" s="264" t="s">
        <v>561</v>
      </c>
      <c r="E109" s="264" t="s">
        <v>45</v>
      </c>
      <c r="F109" s="263" t="s">
        <v>87</v>
      </c>
      <c r="G109" s="263" t="s">
        <v>98</v>
      </c>
      <c r="H109" s="265" t="s">
        <v>90</v>
      </c>
      <c r="I109" s="265" t="s">
        <v>574</v>
      </c>
      <c r="J109" s="552" t="s">
        <v>96</v>
      </c>
      <c r="K109" s="263" t="s">
        <v>89</v>
      </c>
      <c r="L109" s="266">
        <f t="shared" si="156"/>
        <v>21</v>
      </c>
      <c r="M109" s="267">
        <v>45460</v>
      </c>
      <c r="N109" s="267">
        <v>45480</v>
      </c>
      <c r="O109" s="266">
        <f t="shared" si="157"/>
        <v>2643699.9416749999</v>
      </c>
      <c r="P109" s="268" t="s">
        <v>17</v>
      </c>
      <c r="Q109" s="269">
        <v>1E-3</v>
      </c>
      <c r="R109" s="266">
        <f t="shared" ref="R109:R110" si="162">O109*Q109</f>
        <v>2643.699941675</v>
      </c>
      <c r="S109" s="270">
        <v>0.8</v>
      </c>
      <c r="T109" s="271">
        <f>O109*S109</f>
        <v>2114959.95334</v>
      </c>
      <c r="U109" s="266">
        <f t="shared" ref="U109:U110" si="163">AB109*AC109</f>
        <v>1057479.97667</v>
      </c>
      <c r="V109" s="266">
        <v>2.5</v>
      </c>
      <c r="W109" s="266"/>
      <c r="X109" s="272">
        <v>70</v>
      </c>
      <c r="Y109" s="273">
        <f t="shared" si="159"/>
        <v>185058.99591724999</v>
      </c>
      <c r="Z109" s="273">
        <f t="shared" si="155"/>
        <v>70</v>
      </c>
      <c r="AA109" s="273">
        <f t="shared" ref="AA109:AA116" si="164">Y109/R109</f>
        <v>70</v>
      </c>
      <c r="AB109" s="274">
        <f>2039440*85%</f>
        <v>1733524</v>
      </c>
      <c r="AC109" s="275">
        <v>0.61001749999999999</v>
      </c>
      <c r="AE109" s="260"/>
      <c r="AF109" s="261">
        <v>0.748</v>
      </c>
      <c r="AG109" s="260"/>
      <c r="AJ109" s="346">
        <f t="shared" si="142"/>
        <v>881233.31389166659</v>
      </c>
      <c r="AK109" s="346">
        <f t="shared" si="142"/>
        <v>881233.31389166659</v>
      </c>
      <c r="AL109" s="346">
        <f t="shared" si="142"/>
        <v>881233.31389166659</v>
      </c>
      <c r="AN109" s="346">
        <f t="shared" si="161"/>
        <v>881.23331389166663</v>
      </c>
      <c r="AO109" s="346">
        <f t="shared" si="160"/>
        <v>881.23331389166663</v>
      </c>
      <c r="AP109" s="346">
        <f t="shared" si="160"/>
        <v>881.23331389166663</v>
      </c>
    </row>
    <row r="110" spans="2:42" ht="18.649999999999999" customHeight="1" x14ac:dyDescent="0.35">
      <c r="B110" s="321" t="s">
        <v>123</v>
      </c>
      <c r="C110" s="293" t="s">
        <v>97</v>
      </c>
      <c r="D110" s="264" t="s">
        <v>86</v>
      </c>
      <c r="E110" s="264" t="s">
        <v>45</v>
      </c>
      <c r="F110" s="263" t="s">
        <v>87</v>
      </c>
      <c r="G110" s="263" t="s">
        <v>98</v>
      </c>
      <c r="H110" s="265" t="s">
        <v>90</v>
      </c>
      <c r="I110" s="265" t="s">
        <v>571</v>
      </c>
      <c r="J110" s="552" t="s">
        <v>96</v>
      </c>
      <c r="K110" s="263" t="s">
        <v>89</v>
      </c>
      <c r="L110" s="266">
        <f t="shared" si="156"/>
        <v>21</v>
      </c>
      <c r="M110" s="267">
        <v>45460</v>
      </c>
      <c r="N110" s="267">
        <v>45480</v>
      </c>
      <c r="O110" s="266">
        <f t="shared" si="157"/>
        <v>2488188.1804</v>
      </c>
      <c r="P110" s="268" t="s">
        <v>17</v>
      </c>
      <c r="Q110" s="269">
        <v>1E-3</v>
      </c>
      <c r="R110" s="266">
        <f t="shared" si="162"/>
        <v>2488.1881804</v>
      </c>
      <c r="S110" s="270">
        <v>0.8</v>
      </c>
      <c r="T110" s="271">
        <f>O110*S110</f>
        <v>1990550.5443200001</v>
      </c>
      <c r="U110" s="266">
        <f t="shared" si="163"/>
        <v>1244094.0902</v>
      </c>
      <c r="V110" s="266">
        <v>2</v>
      </c>
      <c r="W110" s="266"/>
      <c r="X110" s="272">
        <v>110</v>
      </c>
      <c r="Y110" s="273">
        <f t="shared" si="159"/>
        <v>273700.69984399999</v>
      </c>
      <c r="Z110" s="273">
        <f t="shared" si="155"/>
        <v>110</v>
      </c>
      <c r="AA110" s="273">
        <f t="shared" si="164"/>
        <v>110</v>
      </c>
      <c r="AB110" s="274">
        <v>2039440</v>
      </c>
      <c r="AC110" s="275">
        <v>0.61001749999999999</v>
      </c>
      <c r="AE110" s="260"/>
      <c r="AF110" s="261">
        <v>0.748</v>
      </c>
      <c r="AG110" s="260"/>
      <c r="AJ110" s="346">
        <f t="shared" si="142"/>
        <v>829396.06013333332</v>
      </c>
      <c r="AK110" s="346">
        <f t="shared" si="142"/>
        <v>829396.06013333332</v>
      </c>
      <c r="AL110" s="346">
        <f t="shared" si="142"/>
        <v>829396.06013333332</v>
      </c>
      <c r="AN110" s="346">
        <f t="shared" si="161"/>
        <v>829.39606013333332</v>
      </c>
      <c r="AO110" s="346">
        <f t="shared" si="160"/>
        <v>829.39606013333332</v>
      </c>
      <c r="AP110" s="346">
        <f t="shared" si="160"/>
        <v>829.39606013333332</v>
      </c>
    </row>
    <row r="111" spans="2:42" ht="18.649999999999999" customHeight="1" x14ac:dyDescent="0.35">
      <c r="B111" s="321" t="s">
        <v>123</v>
      </c>
      <c r="C111" s="293" t="s">
        <v>97</v>
      </c>
      <c r="D111" s="263" t="s">
        <v>99</v>
      </c>
      <c r="E111" s="263" t="s">
        <v>46</v>
      </c>
      <c r="F111" s="263" t="s">
        <v>100</v>
      </c>
      <c r="G111" s="263" t="s">
        <v>101</v>
      </c>
      <c r="H111" s="265" t="s">
        <v>88</v>
      </c>
      <c r="I111" s="265" t="s">
        <v>102</v>
      </c>
      <c r="J111" s="553" t="s">
        <v>96</v>
      </c>
      <c r="K111" s="263" t="s">
        <v>89</v>
      </c>
      <c r="L111" s="266">
        <f t="shared" si="156"/>
        <v>21</v>
      </c>
      <c r="M111" s="267">
        <v>45460</v>
      </c>
      <c r="N111" s="267">
        <v>45480</v>
      </c>
      <c r="O111" s="266">
        <f>U111*V111</f>
        <v>795647.93444650783</v>
      </c>
      <c r="P111" s="268" t="s">
        <v>17</v>
      </c>
      <c r="Q111" s="269">
        <v>1.4999999999999999E-2</v>
      </c>
      <c r="R111" s="266">
        <f>O111*Q111</f>
        <v>11934.719016697618</v>
      </c>
      <c r="S111" s="268" t="s">
        <v>17</v>
      </c>
      <c r="T111" s="271" t="s">
        <v>17</v>
      </c>
      <c r="U111" s="266">
        <f>AB111*AC111</f>
        <v>530431.95629767189</v>
      </c>
      <c r="V111" s="266">
        <v>1.5</v>
      </c>
      <c r="W111" s="266"/>
      <c r="X111" s="272">
        <v>105</v>
      </c>
      <c r="Y111" s="273">
        <f t="shared" si="159"/>
        <v>83543.033116883322</v>
      </c>
      <c r="Z111" s="273">
        <f t="shared" si="155"/>
        <v>105</v>
      </c>
      <c r="AA111" s="273">
        <f t="shared" si="164"/>
        <v>7</v>
      </c>
      <c r="AB111" s="274">
        <f>AB109*95%</f>
        <v>1646847.7999999998</v>
      </c>
      <c r="AC111" s="275">
        <v>0.32208924</v>
      </c>
      <c r="AE111" s="260"/>
      <c r="AF111" s="261">
        <v>0.26400000000000001</v>
      </c>
      <c r="AG111" s="260"/>
      <c r="AJ111" s="346">
        <f t="shared" ref="AJ111:AL116" si="165">$O111/$L111*7</f>
        <v>265215.97814883594</v>
      </c>
      <c r="AK111" s="346">
        <f t="shared" si="165"/>
        <v>265215.97814883594</v>
      </c>
      <c r="AL111" s="346">
        <f t="shared" si="165"/>
        <v>265215.97814883594</v>
      </c>
      <c r="AN111" s="346">
        <f t="shared" si="161"/>
        <v>3978.2396722325398</v>
      </c>
      <c r="AO111" s="346">
        <f t="shared" si="160"/>
        <v>3978.2396722325398</v>
      </c>
      <c r="AP111" s="346">
        <f t="shared" si="160"/>
        <v>3978.2396722325398</v>
      </c>
    </row>
    <row r="112" spans="2:42" ht="18.649999999999999" customHeight="1" x14ac:dyDescent="0.35">
      <c r="B112" s="321" t="str">
        <f>B111</f>
        <v>Pune</v>
      </c>
      <c r="C112" s="293" t="s">
        <v>97</v>
      </c>
      <c r="D112" s="310" t="s">
        <v>103</v>
      </c>
      <c r="E112" s="263" t="s">
        <v>46</v>
      </c>
      <c r="F112" s="310" t="s">
        <v>100</v>
      </c>
      <c r="G112" s="263" t="s">
        <v>98</v>
      </c>
      <c r="H112" s="265" t="s">
        <v>88</v>
      </c>
      <c r="I112" s="265" t="s">
        <v>104</v>
      </c>
      <c r="J112" s="553" t="s">
        <v>96</v>
      </c>
      <c r="K112" s="263" t="s">
        <v>105</v>
      </c>
      <c r="L112" s="266">
        <f t="shared" si="156"/>
        <v>21</v>
      </c>
      <c r="M112" s="267">
        <v>45460</v>
      </c>
      <c r="N112" s="267">
        <v>45480</v>
      </c>
      <c r="O112" s="266">
        <f>U112*V112</f>
        <v>620587.05361619999</v>
      </c>
      <c r="P112" s="268" t="s">
        <v>17</v>
      </c>
      <c r="Q112" s="269">
        <v>1.4999999999999999E-2</v>
      </c>
      <c r="R112" s="266">
        <f>O112*Q112</f>
        <v>9308.8058042430002</v>
      </c>
      <c r="S112" s="268" t="s">
        <v>17</v>
      </c>
      <c r="T112" s="271" t="s">
        <v>17</v>
      </c>
      <c r="U112" s="266">
        <f>AB112*AC112</f>
        <v>413724.70241079998</v>
      </c>
      <c r="V112" s="266">
        <v>1.5</v>
      </c>
      <c r="W112" s="266"/>
      <c r="X112" s="272">
        <v>120</v>
      </c>
      <c r="Y112" s="273">
        <f t="shared" si="159"/>
        <v>74470.446433944002</v>
      </c>
      <c r="Z112" s="273">
        <f t="shared" si="155"/>
        <v>120.00000000000001</v>
      </c>
      <c r="AA112" s="273">
        <f t="shared" si="164"/>
        <v>8</v>
      </c>
      <c r="AB112" s="274">
        <v>770702</v>
      </c>
      <c r="AC112" s="275">
        <v>0.53681539999999994</v>
      </c>
      <c r="AE112" s="260"/>
      <c r="AF112" s="261">
        <v>0.44</v>
      </c>
      <c r="AG112" s="260"/>
      <c r="AH112" s="320"/>
      <c r="AJ112" s="346">
        <f t="shared" si="165"/>
        <v>206862.35120540002</v>
      </c>
      <c r="AK112" s="346">
        <f t="shared" si="165"/>
        <v>206862.35120540002</v>
      </c>
      <c r="AL112" s="346">
        <f t="shared" si="165"/>
        <v>206862.35120540002</v>
      </c>
      <c r="AN112" s="346">
        <f t="shared" si="161"/>
        <v>3102.9352680810002</v>
      </c>
      <c r="AO112" s="346">
        <f t="shared" si="160"/>
        <v>3102.9352680810002</v>
      </c>
      <c r="AP112" s="346">
        <f t="shared" si="160"/>
        <v>3102.9352680810002</v>
      </c>
    </row>
    <row r="113" spans="2:42" ht="18.649999999999999" customHeight="1" x14ac:dyDescent="0.35">
      <c r="B113" s="321" t="str">
        <f>B112</f>
        <v>Pune</v>
      </c>
      <c r="C113" s="293" t="s">
        <v>97</v>
      </c>
      <c r="D113" s="310" t="s">
        <v>106</v>
      </c>
      <c r="E113" s="311" t="s">
        <v>46</v>
      </c>
      <c r="F113" s="311" t="s">
        <v>91</v>
      </c>
      <c r="G113" s="263" t="s">
        <v>98</v>
      </c>
      <c r="H113" s="310" t="s">
        <v>88</v>
      </c>
      <c r="I113" s="263" t="s">
        <v>107</v>
      </c>
      <c r="J113" s="553" t="s">
        <v>96</v>
      </c>
      <c r="K113" s="263" t="s">
        <v>89</v>
      </c>
      <c r="L113" s="266">
        <f t="shared" si="156"/>
        <v>21</v>
      </c>
      <c r="M113" s="267">
        <v>45460</v>
      </c>
      <c r="N113" s="267">
        <v>45480</v>
      </c>
      <c r="O113" s="266">
        <f>U113*V113</f>
        <v>598557.34133038798</v>
      </c>
      <c r="P113" s="268" t="s">
        <v>17</v>
      </c>
      <c r="Q113" s="312">
        <v>0.01</v>
      </c>
      <c r="R113" s="266">
        <f t="shared" ref="R113:R114" si="166">O113*Q113</f>
        <v>5985.5734133038795</v>
      </c>
      <c r="S113" s="268" t="s">
        <v>17</v>
      </c>
      <c r="T113" s="271" t="s">
        <v>17</v>
      </c>
      <c r="U113" s="266">
        <f t="shared" ref="U113" si="167">AB113*AC113</f>
        <v>399038.22755359201</v>
      </c>
      <c r="V113" s="266">
        <v>1.5</v>
      </c>
      <c r="W113" s="266"/>
      <c r="X113" s="272">
        <v>200</v>
      </c>
      <c r="Y113" s="273">
        <f>O113*X113/1000</f>
        <v>119711.46826607759</v>
      </c>
      <c r="Z113" s="273">
        <f t="shared" si="155"/>
        <v>199.99999999999997</v>
      </c>
      <c r="AA113" s="273">
        <f t="shared" si="164"/>
        <v>20</v>
      </c>
      <c r="AB113" s="274">
        <v>1126278</v>
      </c>
      <c r="AC113" s="275">
        <v>0.35429816400000003</v>
      </c>
      <c r="AE113" s="260"/>
      <c r="AF113" s="261">
        <v>0.26400000000000001</v>
      </c>
      <c r="AG113" s="260"/>
      <c r="AH113" s="562"/>
      <c r="AJ113" s="346">
        <f t="shared" si="165"/>
        <v>199519.113776796</v>
      </c>
      <c r="AK113" s="346">
        <f t="shared" si="165"/>
        <v>199519.113776796</v>
      </c>
      <c r="AL113" s="346">
        <f t="shared" si="165"/>
        <v>199519.113776796</v>
      </c>
      <c r="AN113" s="346">
        <f t="shared" si="161"/>
        <v>1995.1911377679598</v>
      </c>
      <c r="AO113" s="346">
        <f t="shared" si="160"/>
        <v>1995.1911377679598</v>
      </c>
      <c r="AP113" s="346">
        <f t="shared" si="160"/>
        <v>1995.1911377679598</v>
      </c>
    </row>
    <row r="114" spans="2:42" ht="18.649999999999999" customHeight="1" x14ac:dyDescent="0.35">
      <c r="B114" s="321" t="str">
        <f>B113</f>
        <v>Pune</v>
      </c>
      <c r="C114" s="293" t="s">
        <v>97</v>
      </c>
      <c r="D114" s="310" t="s">
        <v>588</v>
      </c>
      <c r="E114" s="263" t="s">
        <v>46</v>
      </c>
      <c r="F114" s="310" t="s">
        <v>589</v>
      </c>
      <c r="G114" s="263" t="s">
        <v>98</v>
      </c>
      <c r="H114" s="265" t="s">
        <v>88</v>
      </c>
      <c r="I114" s="265" t="s">
        <v>590</v>
      </c>
      <c r="J114" s="553" t="s">
        <v>591</v>
      </c>
      <c r="K114" s="263" t="s">
        <v>592</v>
      </c>
      <c r="L114" s="266">
        <f t="shared" si="156"/>
        <v>21</v>
      </c>
      <c r="M114" s="267">
        <v>45460</v>
      </c>
      <c r="N114" s="267">
        <v>45480</v>
      </c>
      <c r="O114" s="266">
        <f>U114*3</f>
        <v>269807.37</v>
      </c>
      <c r="P114" s="268" t="s">
        <v>17</v>
      </c>
      <c r="Q114" s="269">
        <v>1.4999999999999999E-2</v>
      </c>
      <c r="R114" s="266">
        <f t="shared" si="166"/>
        <v>4047.1105499999999</v>
      </c>
      <c r="S114" s="268" t="s">
        <v>17</v>
      </c>
      <c r="T114" s="271" t="s">
        <v>17</v>
      </c>
      <c r="U114" s="266">
        <f>AB114*AC114</f>
        <v>89935.790000000008</v>
      </c>
      <c r="V114" s="266">
        <f>O114/U114</f>
        <v>2.9999999999999996</v>
      </c>
      <c r="W114" s="266"/>
      <c r="X114" s="272">
        <v>2</v>
      </c>
      <c r="Y114" s="273">
        <f>O114/3*X114</f>
        <v>179871.58</v>
      </c>
      <c r="Z114" s="273">
        <f t="shared" si="155"/>
        <v>666.66666666666663</v>
      </c>
      <c r="AA114" s="273">
        <f t="shared" si="164"/>
        <v>44.444444444444443</v>
      </c>
      <c r="AB114" s="274">
        <v>1284797</v>
      </c>
      <c r="AC114" s="275">
        <v>7.0000000000000007E-2</v>
      </c>
      <c r="AE114" s="260"/>
      <c r="AF114" s="261">
        <v>0.26400000000000001</v>
      </c>
      <c r="AG114" s="260"/>
      <c r="AJ114" s="346">
        <f t="shared" si="165"/>
        <v>89935.79</v>
      </c>
      <c r="AK114" s="346">
        <f t="shared" si="165"/>
        <v>89935.79</v>
      </c>
      <c r="AL114" s="346">
        <f t="shared" si="165"/>
        <v>89935.79</v>
      </c>
      <c r="AN114" s="346">
        <f t="shared" si="161"/>
        <v>1349.03685</v>
      </c>
      <c r="AO114" s="346">
        <f t="shared" si="160"/>
        <v>1349.03685</v>
      </c>
      <c r="AP114" s="346">
        <f t="shared" si="160"/>
        <v>1349.03685</v>
      </c>
    </row>
    <row r="115" spans="2:42" ht="18.649999999999999" customHeight="1" x14ac:dyDescent="0.35">
      <c r="B115" s="321" t="str">
        <f>B114</f>
        <v>Pune</v>
      </c>
      <c r="C115" s="293" t="s">
        <v>97</v>
      </c>
      <c r="D115" s="310" t="s">
        <v>109</v>
      </c>
      <c r="E115" s="263" t="s">
        <v>46</v>
      </c>
      <c r="F115" s="310" t="s">
        <v>100</v>
      </c>
      <c r="G115" s="263" t="s">
        <v>98</v>
      </c>
      <c r="H115" s="265" t="s">
        <v>88</v>
      </c>
      <c r="I115" s="265" t="s">
        <v>110</v>
      </c>
      <c r="J115" s="553" t="s">
        <v>96</v>
      </c>
      <c r="K115" s="263" t="s">
        <v>111</v>
      </c>
      <c r="L115" s="266">
        <f t="shared" si="156"/>
        <v>21</v>
      </c>
      <c r="M115" s="267">
        <v>45460</v>
      </c>
      <c r="N115" s="267">
        <v>45480</v>
      </c>
      <c r="O115" s="266">
        <f>U115*V115</f>
        <v>5990988.6996959997</v>
      </c>
      <c r="P115" s="268" t="s">
        <v>17</v>
      </c>
      <c r="Q115" s="269">
        <v>0.02</v>
      </c>
      <c r="R115" s="266">
        <f>O115*Q115</f>
        <v>119819.77399392</v>
      </c>
      <c r="S115" s="268" t="s">
        <v>17</v>
      </c>
      <c r="T115" s="271" t="s">
        <v>17</v>
      </c>
      <c r="U115" s="266">
        <f>AB115*AC115</f>
        <v>2995494.3498479999</v>
      </c>
      <c r="V115" s="266">
        <v>2</v>
      </c>
      <c r="W115" s="266"/>
      <c r="X115" s="272">
        <v>4.5</v>
      </c>
      <c r="Y115" s="273">
        <f>R115*X115</f>
        <v>539188.98297263996</v>
      </c>
      <c r="Z115" s="273">
        <f t="shared" si="155"/>
        <v>90</v>
      </c>
      <c r="AA115" s="273">
        <f t="shared" si="164"/>
        <v>4.5</v>
      </c>
      <c r="AB115" s="274">
        <v>3985800</v>
      </c>
      <c r="AC115" s="275">
        <v>0.75154155999999994</v>
      </c>
      <c r="AE115" s="260"/>
      <c r="AF115" s="261">
        <v>0.61599999999999999</v>
      </c>
      <c r="AG115" s="260"/>
      <c r="AJ115" s="346">
        <f t="shared" si="165"/>
        <v>1996996.2332319999</v>
      </c>
      <c r="AK115" s="346">
        <f t="shared" si="165"/>
        <v>1996996.2332319999</v>
      </c>
      <c r="AL115" s="346">
        <f t="shared" si="165"/>
        <v>1996996.2332319999</v>
      </c>
      <c r="AN115" s="346">
        <f t="shared" si="161"/>
        <v>39939.924664639999</v>
      </c>
      <c r="AO115" s="346">
        <f t="shared" si="160"/>
        <v>39939.924664639999</v>
      </c>
      <c r="AP115" s="346">
        <f t="shared" si="160"/>
        <v>39939.924664639999</v>
      </c>
    </row>
    <row r="116" spans="2:42" ht="18.649999999999999" customHeight="1" x14ac:dyDescent="0.35">
      <c r="B116" s="321" t="s">
        <v>123</v>
      </c>
      <c r="C116" s="293" t="s">
        <v>97</v>
      </c>
      <c r="D116" s="310" t="s">
        <v>600</v>
      </c>
      <c r="E116" s="314" t="s">
        <v>46</v>
      </c>
      <c r="F116" s="311" t="s">
        <v>565</v>
      </c>
      <c r="G116" s="263" t="s">
        <v>101</v>
      </c>
      <c r="H116" s="265" t="s">
        <v>88</v>
      </c>
      <c r="I116" s="265" t="s">
        <v>527</v>
      </c>
      <c r="J116" s="552" t="s">
        <v>566</v>
      </c>
      <c r="K116" s="263" t="s">
        <v>89</v>
      </c>
      <c r="L116" s="266">
        <f t="shared" ref="L116" si="168">N116-M116+1</f>
        <v>13</v>
      </c>
      <c r="M116" s="267">
        <v>45460</v>
      </c>
      <c r="N116" s="267">
        <v>45472</v>
      </c>
      <c r="O116" s="266">
        <f t="shared" ref="O116" si="169">U116*V116</f>
        <v>611540.16</v>
      </c>
      <c r="P116" s="268" t="s">
        <v>17</v>
      </c>
      <c r="Q116" s="315">
        <v>5.0000000000000001E-3</v>
      </c>
      <c r="R116" s="266">
        <f t="shared" ref="R116" si="170">O116*Q116</f>
        <v>3057.7008000000001</v>
      </c>
      <c r="S116" s="268" t="s">
        <v>17</v>
      </c>
      <c r="T116" s="271" t="s">
        <v>17</v>
      </c>
      <c r="U116" s="266">
        <f t="shared" ref="U116" si="171">AB116*AC116</f>
        <v>305770.08</v>
      </c>
      <c r="V116" s="266">
        <v>2</v>
      </c>
      <c r="W116" s="266"/>
      <c r="X116" s="272">
        <v>105</v>
      </c>
      <c r="Y116" s="273">
        <f t="shared" ref="Y116" si="172">O116/1000*X116</f>
        <v>64211.716800000002</v>
      </c>
      <c r="Z116" s="273">
        <f t="shared" si="155"/>
        <v>105</v>
      </c>
      <c r="AA116" s="273">
        <f t="shared" si="164"/>
        <v>21</v>
      </c>
      <c r="AB116" s="274">
        <v>764425.20000000007</v>
      </c>
      <c r="AC116" s="275">
        <v>0.4</v>
      </c>
      <c r="AE116" s="260"/>
      <c r="AF116" s="261">
        <v>0.40991114416565549</v>
      </c>
      <c r="AG116" s="260"/>
      <c r="AJ116" s="346">
        <f t="shared" si="165"/>
        <v>329290.85538461542</v>
      </c>
      <c r="AK116" s="346">
        <f>$O116/$L116*6</f>
        <v>282249.30461538467</v>
      </c>
      <c r="AL116" s="346"/>
      <c r="AN116" s="346">
        <f>$R116/$L116*7</f>
        <v>1646.454276923077</v>
      </c>
      <c r="AO116" s="346">
        <f>$R116/$L116*6</f>
        <v>1411.246523076923</v>
      </c>
      <c r="AP116" s="346"/>
    </row>
    <row r="117" spans="2:42" ht="18.649999999999999" customHeight="1" x14ac:dyDescent="0.35">
      <c r="B117" s="321" t="s">
        <v>123</v>
      </c>
      <c r="C117" s="293" t="s">
        <v>97</v>
      </c>
      <c r="D117" s="311" t="s">
        <v>116</v>
      </c>
      <c r="E117" s="263" t="s">
        <v>46</v>
      </c>
      <c r="F117" s="311" t="s">
        <v>114</v>
      </c>
      <c r="G117" s="263" t="s">
        <v>98</v>
      </c>
      <c r="H117" s="265" t="s">
        <v>88</v>
      </c>
      <c r="I117" s="265" t="s">
        <v>115</v>
      </c>
      <c r="J117" s="552" t="s">
        <v>96</v>
      </c>
      <c r="K117" s="263" t="s">
        <v>105</v>
      </c>
      <c r="L117" s="266">
        <f>N117-M117+1</f>
        <v>6</v>
      </c>
      <c r="M117" s="267">
        <v>45471</v>
      </c>
      <c r="N117" s="267">
        <v>45476</v>
      </c>
      <c r="O117" s="266">
        <f>1501715/14*6</f>
        <v>643592.14285714284</v>
      </c>
      <c r="P117" s="268" t="s">
        <v>17</v>
      </c>
      <c r="Q117" s="315">
        <v>0.01</v>
      </c>
      <c r="R117" s="266">
        <f>O117*Q117</f>
        <v>6435.9214285714288</v>
      </c>
      <c r="S117" s="268" t="s">
        <v>17</v>
      </c>
      <c r="T117" s="271" t="s">
        <v>17</v>
      </c>
      <c r="U117" s="266">
        <f>O117/V117</f>
        <v>128718.42857142857</v>
      </c>
      <c r="V117" s="266">
        <v>5</v>
      </c>
      <c r="W117" s="266"/>
      <c r="X117" s="272">
        <v>260</v>
      </c>
      <c r="Y117" s="273">
        <f>(O117/1000)*X117</f>
        <v>167333.95714285714</v>
      </c>
      <c r="Z117" s="273">
        <f t="shared" si="155"/>
        <v>260</v>
      </c>
      <c r="AA117" s="273">
        <f>Y117/R117</f>
        <v>25.999999999999996</v>
      </c>
      <c r="AB117" s="274">
        <v>350400</v>
      </c>
      <c r="AC117" s="275">
        <f>U117/AB117</f>
        <v>0.36734711350293542</v>
      </c>
      <c r="AE117" s="260"/>
      <c r="AF117" s="261">
        <v>0.3771430365296804</v>
      </c>
      <c r="AG117" s="260"/>
      <c r="AJ117" s="346"/>
      <c r="AK117" s="346">
        <f>$O117/$L117*3</f>
        <v>321796.07142857142</v>
      </c>
      <c r="AL117" s="346">
        <f>$O117/$L117*3</f>
        <v>321796.07142857142</v>
      </c>
      <c r="AN117" s="346"/>
      <c r="AO117" s="346">
        <f>$R117/$L117*3</f>
        <v>3217.9607142857144</v>
      </c>
      <c r="AP117" s="346">
        <f>$R117/$L117*3</f>
        <v>3217.9607142857144</v>
      </c>
    </row>
    <row r="118" spans="2:42" ht="18.649999999999999" customHeight="1" x14ac:dyDescent="0.35">
      <c r="B118" s="277" t="str">
        <f>B117</f>
        <v>Pune</v>
      </c>
      <c r="C118" s="278"/>
      <c r="D118" s="279" t="s">
        <v>18</v>
      </c>
      <c r="E118" s="280"/>
      <c r="F118" s="279"/>
      <c r="G118" s="280"/>
      <c r="H118" s="280"/>
      <c r="I118" s="281"/>
      <c r="J118" s="546"/>
      <c r="K118" s="283"/>
      <c r="L118" s="284"/>
      <c r="M118" s="284"/>
      <c r="N118" s="284"/>
      <c r="O118" s="284">
        <f>SUM(O107:O117)</f>
        <v>21360656.412411638</v>
      </c>
      <c r="P118" s="284"/>
      <c r="Q118" s="285">
        <f>R118/O118</f>
        <v>7.7582584509209287E-3</v>
      </c>
      <c r="R118" s="284">
        <f>SUM(R107:R117)</f>
        <v>165721.49312881092</v>
      </c>
      <c r="S118" s="286"/>
      <c r="T118" s="316">
        <f>SUM(T107:T117)</f>
        <v>9524943.6813819204</v>
      </c>
      <c r="U118" s="284">
        <f>U115+(SUM(U107:U108,U116:U117,U109,U110:U114)*3%)</f>
        <v>3155280.2876012488</v>
      </c>
      <c r="V118" s="284">
        <f>O118/U118</f>
        <v>6.7698126522543367</v>
      </c>
      <c r="W118" s="284"/>
      <c r="X118" s="287"/>
      <c r="Y118" s="317">
        <f>SUM(Y107:Y117)</f>
        <v>2716196.0639560521</v>
      </c>
      <c r="Z118" s="288">
        <f t="shared" si="155"/>
        <v>127.1588293690171</v>
      </c>
      <c r="AA118" s="288">
        <f>Y118/R118</f>
        <v>16.390125460943228</v>
      </c>
      <c r="AB118" s="284">
        <f>AB115+(SUM(AB107:AB114,AB116:AB117)*2%)</f>
        <v>4205819.08</v>
      </c>
      <c r="AC118" s="289">
        <f>U118/AB118</f>
        <v>0.75021778816059981</v>
      </c>
      <c r="AD118" s="261"/>
      <c r="AE118" s="290"/>
      <c r="AF118" s="261">
        <v>0.74374568017607401</v>
      </c>
      <c r="AG118" s="290"/>
      <c r="AH118" s="460"/>
      <c r="AI118" s="459"/>
    </row>
    <row r="119" spans="2:42" ht="18.649999999999999" customHeight="1" x14ac:dyDescent="0.35">
      <c r="B119" s="322" t="s">
        <v>124</v>
      </c>
      <c r="C119" s="293" t="s">
        <v>93</v>
      </c>
      <c r="D119" s="294" t="s">
        <v>94</v>
      </c>
      <c r="E119" s="294" t="s">
        <v>45</v>
      </c>
      <c r="F119" s="295" t="s">
        <v>87</v>
      </c>
      <c r="G119" s="295" t="s">
        <v>50</v>
      </c>
      <c r="H119" s="296" t="s">
        <v>95</v>
      </c>
      <c r="I119" s="296" t="s">
        <v>572</v>
      </c>
      <c r="J119" s="551" t="s">
        <v>96</v>
      </c>
      <c r="K119" s="295" t="s">
        <v>89</v>
      </c>
      <c r="L119" s="298">
        <f t="shared" ref="L119:L125" si="173">N119-(M119-1)</f>
        <v>21</v>
      </c>
      <c r="M119" s="299">
        <v>45460</v>
      </c>
      <c r="N119" s="299">
        <v>45480</v>
      </c>
      <c r="O119" s="298">
        <f t="shared" ref="O119:O122" si="174">U119*V119</f>
        <v>580038.91710335994</v>
      </c>
      <c r="P119" s="300" t="s">
        <v>17</v>
      </c>
      <c r="Q119" s="301"/>
      <c r="R119" s="298"/>
      <c r="S119" s="302">
        <v>0.85</v>
      </c>
      <c r="T119" s="303">
        <f t="shared" ref="T119:T120" si="175">O119*S119</f>
        <v>493033.07953785593</v>
      </c>
      <c r="U119" s="298">
        <f>AB119*AC119</f>
        <v>193346.30570112</v>
      </c>
      <c r="V119" s="298">
        <v>3</v>
      </c>
      <c r="W119" s="298"/>
      <c r="X119" s="304">
        <v>170</v>
      </c>
      <c r="Y119" s="305">
        <f t="shared" ref="Y119:Y124" si="176">(O119/1000)*X119</f>
        <v>98606.615907571191</v>
      </c>
      <c r="Z119" s="305">
        <f t="shared" si="155"/>
        <v>170</v>
      </c>
      <c r="AA119" s="305"/>
      <c r="AB119" s="306">
        <v>225108</v>
      </c>
      <c r="AC119" s="307">
        <v>0.85890464</v>
      </c>
      <c r="AD119" s="261"/>
      <c r="AE119" s="260"/>
      <c r="AF119" s="261">
        <v>0.70400000000000007</v>
      </c>
      <c r="AG119" s="260"/>
      <c r="AJ119" s="346">
        <f t="shared" ref="AJ119:AL135" si="177">$O119/$L119*7</f>
        <v>193346.30570111997</v>
      </c>
      <c r="AK119" s="346">
        <f t="shared" si="177"/>
        <v>193346.30570111997</v>
      </c>
      <c r="AL119" s="346">
        <f t="shared" si="177"/>
        <v>193346.30570111997</v>
      </c>
      <c r="AN119" s="346">
        <f>$R119/$L119*7</f>
        <v>0</v>
      </c>
      <c r="AO119" s="346">
        <f t="shared" ref="AO119:AP125" si="178">$R119/$L119*7</f>
        <v>0</v>
      </c>
      <c r="AP119" s="346">
        <f t="shared" si="178"/>
        <v>0</v>
      </c>
    </row>
    <row r="120" spans="2:42" ht="18.649999999999999" customHeight="1" x14ac:dyDescent="0.35">
      <c r="B120" s="322" t="s">
        <v>124</v>
      </c>
      <c r="C120" s="293" t="s">
        <v>93</v>
      </c>
      <c r="D120" s="295" t="s">
        <v>86</v>
      </c>
      <c r="E120" s="295" t="s">
        <v>45</v>
      </c>
      <c r="F120" s="295" t="s">
        <v>87</v>
      </c>
      <c r="G120" s="296" t="s">
        <v>50</v>
      </c>
      <c r="H120" s="296" t="s">
        <v>95</v>
      </c>
      <c r="I120" s="296" t="s">
        <v>573</v>
      </c>
      <c r="J120" s="551" t="s">
        <v>96</v>
      </c>
      <c r="K120" s="295" t="s">
        <v>89</v>
      </c>
      <c r="L120" s="298">
        <f t="shared" si="173"/>
        <v>21</v>
      </c>
      <c r="M120" s="299">
        <v>45460</v>
      </c>
      <c r="N120" s="299">
        <v>45480</v>
      </c>
      <c r="O120" s="298">
        <f t="shared" si="174"/>
        <v>1053489.4861920001</v>
      </c>
      <c r="P120" s="300" t="s">
        <v>17</v>
      </c>
      <c r="Q120" s="301"/>
      <c r="R120" s="298"/>
      <c r="S120" s="302">
        <v>0.8</v>
      </c>
      <c r="T120" s="303">
        <f t="shared" si="175"/>
        <v>842791.58895360015</v>
      </c>
      <c r="U120" s="298">
        <f>AB120*AC120</f>
        <v>263372.37154800002</v>
      </c>
      <c r="V120" s="298">
        <v>4</v>
      </c>
      <c r="W120" s="298"/>
      <c r="X120" s="304">
        <v>150</v>
      </c>
      <c r="Y120" s="305">
        <f t="shared" si="176"/>
        <v>158023.42292880002</v>
      </c>
      <c r="Z120" s="305">
        <f t="shared" si="155"/>
        <v>150</v>
      </c>
      <c r="AA120" s="305"/>
      <c r="AB120" s="306">
        <v>288600</v>
      </c>
      <c r="AC120" s="307">
        <v>0.91258618000000002</v>
      </c>
      <c r="AF120" s="261">
        <v>0.748</v>
      </c>
      <c r="AJ120" s="346">
        <f t="shared" si="177"/>
        <v>351163.16206400003</v>
      </c>
      <c r="AK120" s="346">
        <f t="shared" si="177"/>
        <v>351163.16206400003</v>
      </c>
      <c r="AL120" s="346">
        <f t="shared" si="177"/>
        <v>351163.16206400003</v>
      </c>
      <c r="AN120" s="346">
        <f t="shared" ref="AN120:AN125" si="179">$R120/$L120*7</f>
        <v>0</v>
      </c>
      <c r="AO120" s="346">
        <f t="shared" si="178"/>
        <v>0</v>
      </c>
      <c r="AP120" s="346">
        <f t="shared" si="178"/>
        <v>0</v>
      </c>
    </row>
    <row r="121" spans="2:42" ht="18.649999999999999" customHeight="1" x14ac:dyDescent="0.35">
      <c r="B121" s="322" t="s">
        <v>124</v>
      </c>
      <c r="C121" s="293" t="s">
        <v>97</v>
      </c>
      <c r="D121" s="264" t="s">
        <v>561</v>
      </c>
      <c r="E121" s="264" t="s">
        <v>45</v>
      </c>
      <c r="F121" s="263" t="s">
        <v>87</v>
      </c>
      <c r="G121" s="263" t="s">
        <v>98</v>
      </c>
      <c r="H121" s="265" t="s">
        <v>90</v>
      </c>
      <c r="I121" s="265" t="s">
        <v>574</v>
      </c>
      <c r="J121" s="552" t="s">
        <v>96</v>
      </c>
      <c r="K121" s="263" t="s">
        <v>89</v>
      </c>
      <c r="L121" s="266">
        <f t="shared" si="173"/>
        <v>21</v>
      </c>
      <c r="M121" s="267">
        <v>45460</v>
      </c>
      <c r="N121" s="267">
        <v>45480</v>
      </c>
      <c r="O121" s="266">
        <f t="shared" si="174"/>
        <v>249006.60582719999</v>
      </c>
      <c r="P121" s="268" t="s">
        <v>17</v>
      </c>
      <c r="Q121" s="269">
        <v>1E-3</v>
      </c>
      <c r="R121" s="266">
        <f t="shared" ref="R121:R122" si="180">O121*Q121</f>
        <v>249.00660582719999</v>
      </c>
      <c r="S121" s="270">
        <v>0.8</v>
      </c>
      <c r="T121" s="271">
        <f>O121*S121</f>
        <v>199205.28466176</v>
      </c>
      <c r="U121" s="266">
        <f t="shared" ref="U121:U122" si="181">AB121*AC121</f>
        <v>249006.60582719999</v>
      </c>
      <c r="V121" s="266">
        <v>1</v>
      </c>
      <c r="W121" s="266"/>
      <c r="X121" s="272">
        <v>70</v>
      </c>
      <c r="Y121" s="273">
        <f t="shared" si="176"/>
        <v>17430.462407904</v>
      </c>
      <c r="Z121" s="273">
        <f t="shared" si="155"/>
        <v>70</v>
      </c>
      <c r="AA121" s="273">
        <f t="shared" ref="AA121:AA126" si="182">Y121/R121</f>
        <v>70</v>
      </c>
      <c r="AB121" s="274">
        <f>600288*85%</f>
        <v>510244.8</v>
      </c>
      <c r="AC121" s="275">
        <v>0.488014</v>
      </c>
      <c r="AE121" s="260"/>
      <c r="AF121" s="261">
        <v>0.44</v>
      </c>
      <c r="AG121" s="260"/>
      <c r="AJ121" s="346">
        <f t="shared" si="177"/>
        <v>83002.201942399988</v>
      </c>
      <c r="AK121" s="346">
        <f t="shared" si="177"/>
        <v>83002.201942399988</v>
      </c>
      <c r="AL121" s="346">
        <f t="shared" si="177"/>
        <v>83002.201942399988</v>
      </c>
      <c r="AN121" s="346">
        <f t="shared" si="179"/>
        <v>83.002201942400006</v>
      </c>
      <c r="AO121" s="346">
        <f t="shared" si="178"/>
        <v>83.002201942400006</v>
      </c>
      <c r="AP121" s="346">
        <f t="shared" si="178"/>
        <v>83.002201942400006</v>
      </c>
    </row>
    <row r="122" spans="2:42" ht="18.649999999999999" customHeight="1" x14ac:dyDescent="0.35">
      <c r="B122" s="322" t="s">
        <v>124</v>
      </c>
      <c r="C122" s="293" t="s">
        <v>97</v>
      </c>
      <c r="D122" s="264" t="s">
        <v>86</v>
      </c>
      <c r="E122" s="264" t="s">
        <v>45</v>
      </c>
      <c r="F122" s="263" t="s">
        <v>87</v>
      </c>
      <c r="G122" s="263" t="s">
        <v>98</v>
      </c>
      <c r="H122" s="265" t="s">
        <v>90</v>
      </c>
      <c r="I122" s="265" t="s">
        <v>571</v>
      </c>
      <c r="J122" s="552" t="s">
        <v>96</v>
      </c>
      <c r="K122" s="263" t="s">
        <v>89</v>
      </c>
      <c r="L122" s="266">
        <f t="shared" si="173"/>
        <v>21</v>
      </c>
      <c r="M122" s="267">
        <v>45460</v>
      </c>
      <c r="N122" s="267">
        <v>45480</v>
      </c>
      <c r="O122" s="266">
        <f t="shared" si="174"/>
        <v>292948.94803199999</v>
      </c>
      <c r="P122" s="268" t="s">
        <v>17</v>
      </c>
      <c r="Q122" s="269">
        <v>1E-3</v>
      </c>
      <c r="R122" s="266">
        <f t="shared" si="180"/>
        <v>292.94894803199998</v>
      </c>
      <c r="S122" s="270">
        <v>0.8</v>
      </c>
      <c r="T122" s="271">
        <f>O122*S122</f>
        <v>234359.15842560001</v>
      </c>
      <c r="U122" s="266">
        <f t="shared" si="181"/>
        <v>292948.94803199999</v>
      </c>
      <c r="V122" s="266">
        <v>1</v>
      </c>
      <c r="W122" s="266"/>
      <c r="X122" s="272">
        <v>110</v>
      </c>
      <c r="Y122" s="273">
        <f t="shared" si="176"/>
        <v>32224.384283519998</v>
      </c>
      <c r="Z122" s="273">
        <f t="shared" si="155"/>
        <v>110</v>
      </c>
      <c r="AA122" s="273">
        <f t="shared" si="182"/>
        <v>110</v>
      </c>
      <c r="AB122" s="274">
        <v>600288</v>
      </c>
      <c r="AC122" s="275">
        <v>0.488014</v>
      </c>
      <c r="AE122" s="260"/>
      <c r="AF122" s="261">
        <v>0.44</v>
      </c>
      <c r="AG122" s="260"/>
      <c r="AJ122" s="346">
        <f t="shared" si="177"/>
        <v>97649.649344000005</v>
      </c>
      <c r="AK122" s="346">
        <f t="shared" si="177"/>
        <v>97649.649344000005</v>
      </c>
      <c r="AL122" s="346">
        <f t="shared" si="177"/>
        <v>97649.649344000005</v>
      </c>
      <c r="AN122" s="346">
        <f t="shared" si="179"/>
        <v>97.649649343999997</v>
      </c>
      <c r="AO122" s="346">
        <f t="shared" si="178"/>
        <v>97.649649343999997</v>
      </c>
      <c r="AP122" s="346">
        <f t="shared" si="178"/>
        <v>97.649649343999997</v>
      </c>
    </row>
    <row r="123" spans="2:42" ht="18.649999999999999" customHeight="1" x14ac:dyDescent="0.35">
      <c r="B123" s="322" t="s">
        <v>124</v>
      </c>
      <c r="C123" s="293" t="s">
        <v>97</v>
      </c>
      <c r="D123" s="263" t="s">
        <v>99</v>
      </c>
      <c r="E123" s="263" t="s">
        <v>46</v>
      </c>
      <c r="F123" s="263" t="s">
        <v>100</v>
      </c>
      <c r="G123" s="263" t="s">
        <v>101</v>
      </c>
      <c r="H123" s="265" t="s">
        <v>88</v>
      </c>
      <c r="I123" s="265" t="s">
        <v>102</v>
      </c>
      <c r="J123" s="553" t="s">
        <v>96</v>
      </c>
      <c r="K123" s="263" t="s">
        <v>89</v>
      </c>
      <c r="L123" s="266">
        <f t="shared" si="173"/>
        <v>21</v>
      </c>
      <c r="M123" s="267">
        <v>45460</v>
      </c>
      <c r="N123" s="267">
        <v>45480</v>
      </c>
      <c r="O123" s="266">
        <f>U123*V123</f>
        <v>110590.05881300516</v>
      </c>
      <c r="P123" s="268" t="s">
        <v>17</v>
      </c>
      <c r="Q123" s="269">
        <v>1.4999999999999999E-2</v>
      </c>
      <c r="R123" s="266">
        <f>O123*Q123</f>
        <v>1658.8508821950775</v>
      </c>
      <c r="S123" s="268" t="s">
        <v>17</v>
      </c>
      <c r="T123" s="271" t="s">
        <v>17</v>
      </c>
      <c r="U123" s="266">
        <f>AB123*AC123</f>
        <v>130105.95154471196</v>
      </c>
      <c r="V123" s="266">
        <v>0.85</v>
      </c>
      <c r="W123" s="266"/>
      <c r="X123" s="272">
        <v>105</v>
      </c>
      <c r="Y123" s="273">
        <f t="shared" si="176"/>
        <v>11611.956175365542</v>
      </c>
      <c r="Z123" s="273">
        <f t="shared" si="155"/>
        <v>105</v>
      </c>
      <c r="AA123" s="273">
        <f t="shared" si="182"/>
        <v>7</v>
      </c>
      <c r="AB123" s="274">
        <f>AB121*95%</f>
        <v>484732.55999999994</v>
      </c>
      <c r="AC123" s="275">
        <v>0.26840769999999997</v>
      </c>
      <c r="AE123" s="260"/>
      <c r="AF123" s="261">
        <v>0.22</v>
      </c>
      <c r="AG123" s="260"/>
      <c r="AJ123" s="346">
        <f t="shared" si="177"/>
        <v>36863.352937668387</v>
      </c>
      <c r="AK123" s="346">
        <f t="shared" si="177"/>
        <v>36863.352937668387</v>
      </c>
      <c r="AL123" s="346">
        <f t="shared" si="177"/>
        <v>36863.352937668387</v>
      </c>
      <c r="AN123" s="346">
        <f t="shared" si="179"/>
        <v>552.9502940650259</v>
      </c>
      <c r="AO123" s="346">
        <f t="shared" si="178"/>
        <v>552.9502940650259</v>
      </c>
      <c r="AP123" s="346">
        <f t="shared" si="178"/>
        <v>552.9502940650259</v>
      </c>
    </row>
    <row r="124" spans="2:42" ht="18.649999999999999" customHeight="1" x14ac:dyDescent="0.35">
      <c r="B124" s="322" t="str">
        <f>B123</f>
        <v>Coimbatore</v>
      </c>
      <c r="C124" s="293" t="s">
        <v>97</v>
      </c>
      <c r="D124" s="310" t="s">
        <v>103</v>
      </c>
      <c r="E124" s="263" t="s">
        <v>46</v>
      </c>
      <c r="F124" s="310" t="s">
        <v>100</v>
      </c>
      <c r="G124" s="263" t="s">
        <v>98</v>
      </c>
      <c r="H124" s="265" t="s">
        <v>88</v>
      </c>
      <c r="I124" s="265" t="s">
        <v>104</v>
      </c>
      <c r="J124" s="553" t="s">
        <v>96</v>
      </c>
      <c r="K124" s="263" t="s">
        <v>105</v>
      </c>
      <c r="L124" s="266">
        <f t="shared" si="173"/>
        <v>21</v>
      </c>
      <c r="M124" s="267">
        <v>45460</v>
      </c>
      <c r="N124" s="267">
        <v>45480</v>
      </c>
      <c r="O124" s="266">
        <f>U124*V124</f>
        <v>435229.23208632995</v>
      </c>
      <c r="P124" s="268" t="s">
        <v>17</v>
      </c>
      <c r="Q124" s="269">
        <v>1.4999999999999999E-2</v>
      </c>
      <c r="R124" s="266">
        <f>O124*Q124</f>
        <v>6528.4384812949493</v>
      </c>
      <c r="S124" s="268" t="s">
        <v>17</v>
      </c>
      <c r="T124" s="271" t="s">
        <v>17</v>
      </c>
      <c r="U124" s="266">
        <f>AB124*AC124</f>
        <v>512034.39068979997</v>
      </c>
      <c r="V124" s="266">
        <v>0.85</v>
      </c>
      <c r="W124" s="266"/>
      <c r="X124" s="272">
        <v>120</v>
      </c>
      <c r="Y124" s="273">
        <f t="shared" si="176"/>
        <v>52227.507850359594</v>
      </c>
      <c r="Z124" s="273">
        <f t="shared" si="155"/>
        <v>120</v>
      </c>
      <c r="AA124" s="273">
        <f t="shared" si="182"/>
        <v>8</v>
      </c>
      <c r="AB124" s="274">
        <v>953837</v>
      </c>
      <c r="AC124" s="275">
        <v>0.53681539999999994</v>
      </c>
      <c r="AE124" s="260"/>
      <c r="AF124" s="261">
        <v>0.44</v>
      </c>
      <c r="AG124" s="260"/>
      <c r="AH124" s="320"/>
      <c r="AJ124" s="346">
        <f t="shared" si="177"/>
        <v>145076.41069544334</v>
      </c>
      <c r="AK124" s="346">
        <f t="shared" si="177"/>
        <v>145076.41069544334</v>
      </c>
      <c r="AL124" s="346">
        <f t="shared" si="177"/>
        <v>145076.41069544334</v>
      </c>
      <c r="AN124" s="346">
        <f t="shared" si="179"/>
        <v>2176.1461604316501</v>
      </c>
      <c r="AO124" s="346">
        <f t="shared" si="178"/>
        <v>2176.1461604316501</v>
      </c>
      <c r="AP124" s="346">
        <f t="shared" si="178"/>
        <v>2176.1461604316501</v>
      </c>
    </row>
    <row r="125" spans="2:42" ht="18.649999999999999" customHeight="1" x14ac:dyDescent="0.35">
      <c r="B125" s="322" t="str">
        <f>B124</f>
        <v>Coimbatore</v>
      </c>
      <c r="C125" s="293" t="s">
        <v>97</v>
      </c>
      <c r="D125" s="310" t="s">
        <v>106</v>
      </c>
      <c r="E125" s="311" t="s">
        <v>46</v>
      </c>
      <c r="F125" s="311" t="s">
        <v>91</v>
      </c>
      <c r="G125" s="263" t="s">
        <v>98</v>
      </c>
      <c r="H125" s="310" t="s">
        <v>88</v>
      </c>
      <c r="I125" s="263" t="s">
        <v>107</v>
      </c>
      <c r="J125" s="553" t="s">
        <v>96</v>
      </c>
      <c r="K125" s="263" t="s">
        <v>89</v>
      </c>
      <c r="L125" s="266">
        <f t="shared" si="173"/>
        <v>21</v>
      </c>
      <c r="M125" s="267">
        <v>45460</v>
      </c>
      <c r="N125" s="267">
        <v>45480</v>
      </c>
      <c r="O125" s="266">
        <f>U125*V125</f>
        <v>100829.18304551399</v>
      </c>
      <c r="P125" s="268" t="s">
        <v>17</v>
      </c>
      <c r="Q125" s="312">
        <v>0.01</v>
      </c>
      <c r="R125" s="266">
        <f t="shared" ref="R125" si="183">O125*Q125</f>
        <v>1008.2918304551399</v>
      </c>
      <c r="S125" s="268" t="s">
        <v>17</v>
      </c>
      <c r="T125" s="271" t="s">
        <v>17</v>
      </c>
      <c r="U125" s="266">
        <f t="shared" ref="U125" si="184">AB125*AC125</f>
        <v>118622.56828883999</v>
      </c>
      <c r="V125" s="266">
        <v>0.85</v>
      </c>
      <c r="W125" s="266"/>
      <c r="X125" s="272">
        <v>200</v>
      </c>
      <c r="Y125" s="273">
        <f>O125*X125/1000</f>
        <v>20165.836609102797</v>
      </c>
      <c r="Z125" s="273">
        <f t="shared" si="155"/>
        <v>199.99999999999997</v>
      </c>
      <c r="AA125" s="273">
        <f t="shared" si="182"/>
        <v>19.999999999999996</v>
      </c>
      <c r="AB125" s="274">
        <v>401772</v>
      </c>
      <c r="AC125" s="275">
        <v>0.29524846999999999</v>
      </c>
      <c r="AE125" s="260"/>
      <c r="AF125" s="261">
        <v>0.22</v>
      </c>
      <c r="AG125" s="260"/>
      <c r="AH125" s="562"/>
      <c r="AJ125" s="346">
        <f t="shared" si="177"/>
        <v>33609.727681837991</v>
      </c>
      <c r="AK125" s="346">
        <f t="shared" si="177"/>
        <v>33609.727681837991</v>
      </c>
      <c r="AL125" s="346">
        <f t="shared" si="177"/>
        <v>33609.727681837991</v>
      </c>
      <c r="AN125" s="346">
        <f t="shared" si="179"/>
        <v>336.09727681838001</v>
      </c>
      <c r="AO125" s="346">
        <f t="shared" si="178"/>
        <v>336.09727681838001</v>
      </c>
      <c r="AP125" s="346">
        <f t="shared" si="178"/>
        <v>336.09727681838001</v>
      </c>
    </row>
    <row r="126" spans="2:42" ht="18.649999999999999" customHeight="1" x14ac:dyDescent="0.35">
      <c r="B126" s="277" t="str">
        <f>B123</f>
        <v>Coimbatore</v>
      </c>
      <c r="C126" s="278"/>
      <c r="D126" s="279" t="s">
        <v>18</v>
      </c>
      <c r="E126" s="280"/>
      <c r="F126" s="279"/>
      <c r="G126" s="280"/>
      <c r="H126" s="280"/>
      <c r="I126" s="281"/>
      <c r="J126" s="546"/>
      <c r="K126" s="283"/>
      <c r="L126" s="284"/>
      <c r="M126" s="284"/>
      <c r="N126" s="284"/>
      <c r="O126" s="284">
        <f>SUM(O119:O125)</f>
        <v>2822132.4310994092</v>
      </c>
      <c r="P126" s="284"/>
      <c r="Q126" s="285">
        <f>R126/O126</f>
        <v>3.4504180741124707E-3</v>
      </c>
      <c r="R126" s="284">
        <f>SUM(R119:R125)</f>
        <v>9737.5367478043681</v>
      </c>
      <c r="S126" s="286"/>
      <c r="T126" s="316">
        <f>SUM(T119:T125)</f>
        <v>1769389.1115788163</v>
      </c>
      <c r="U126" s="284">
        <f>U124+(SUM(U119:U123,U125)*10%)</f>
        <v>636774.66578398715</v>
      </c>
      <c r="V126" s="284">
        <f>O126/U126</f>
        <v>4.4319169444733539</v>
      </c>
      <c r="W126" s="284"/>
      <c r="X126" s="287"/>
      <c r="Y126" s="317">
        <f>SUM(Y119:Y125)</f>
        <v>390290.18616262311</v>
      </c>
      <c r="Z126" s="288">
        <f t="shared" si="155"/>
        <v>138.29619824416923</v>
      </c>
      <c r="AA126" s="288">
        <f t="shared" si="182"/>
        <v>40.080997512089105</v>
      </c>
      <c r="AB126" s="284">
        <f>AB124+(SUM(AB119:AB123,AB125)*2%)</f>
        <v>1004051.9072</v>
      </c>
      <c r="AC126" s="289">
        <f>U126/AB126</f>
        <v>0.63420492627693015</v>
      </c>
      <c r="AD126" s="261"/>
      <c r="AE126" s="290"/>
      <c r="AF126" s="261">
        <v>0.77104278663391268</v>
      </c>
      <c r="AG126" s="290"/>
      <c r="AH126" s="460"/>
      <c r="AI126" s="459"/>
    </row>
    <row r="127" spans="2:42" ht="18.649999999999999" customHeight="1" x14ac:dyDescent="0.35">
      <c r="B127" s="322" t="s">
        <v>125</v>
      </c>
      <c r="C127" s="293" t="s">
        <v>93</v>
      </c>
      <c r="D127" s="294" t="s">
        <v>94</v>
      </c>
      <c r="E127" s="294" t="s">
        <v>45</v>
      </c>
      <c r="F127" s="295" t="s">
        <v>87</v>
      </c>
      <c r="G127" s="295" t="s">
        <v>50</v>
      </c>
      <c r="H127" s="296" t="s">
        <v>95</v>
      </c>
      <c r="I127" s="296" t="s">
        <v>572</v>
      </c>
      <c r="J127" s="551" t="s">
        <v>96</v>
      </c>
      <c r="K127" s="295" t="s">
        <v>89</v>
      </c>
      <c r="L127" s="298">
        <f t="shared" ref="L127:L133" si="185">N127-(M127-1)</f>
        <v>21</v>
      </c>
      <c r="M127" s="299">
        <v>45460</v>
      </c>
      <c r="N127" s="299">
        <v>45480</v>
      </c>
      <c r="O127" s="298">
        <f t="shared" ref="O127:O130" si="186">U127*V127</f>
        <v>340087.58673119999</v>
      </c>
      <c r="P127" s="300" t="s">
        <v>17</v>
      </c>
      <c r="Q127" s="301"/>
      <c r="R127" s="298"/>
      <c r="S127" s="302">
        <v>0.85</v>
      </c>
      <c r="T127" s="303">
        <f t="shared" ref="T127:T128" si="187">O127*S127</f>
        <v>289074.44872151996</v>
      </c>
      <c r="U127" s="298">
        <f>AB127*AC127</f>
        <v>113362.5289104</v>
      </c>
      <c r="V127" s="298">
        <v>3</v>
      </c>
      <c r="W127" s="298"/>
      <c r="X127" s="304">
        <v>170</v>
      </c>
      <c r="Y127" s="305">
        <f t="shared" ref="Y127:Y132" si="188">(O127/1000)*X127</f>
        <v>57814.889744303997</v>
      </c>
      <c r="Z127" s="305">
        <f t="shared" si="155"/>
        <v>169.99999999999997</v>
      </c>
      <c r="AA127" s="305"/>
      <c r="AB127" s="306">
        <v>131985</v>
      </c>
      <c r="AC127" s="307">
        <v>0.85890464</v>
      </c>
      <c r="AD127" s="261"/>
      <c r="AE127" s="260"/>
      <c r="AF127" s="261">
        <v>0.70400000000000007</v>
      </c>
      <c r="AG127" s="260"/>
      <c r="AJ127" s="346">
        <f t="shared" si="177"/>
        <v>113362.5289104</v>
      </c>
      <c r="AK127" s="346">
        <f t="shared" si="177"/>
        <v>113362.5289104</v>
      </c>
      <c r="AL127" s="346">
        <f t="shared" si="177"/>
        <v>113362.5289104</v>
      </c>
      <c r="AN127" s="346">
        <f>$R127/$L127*7</f>
        <v>0</v>
      </c>
      <c r="AO127" s="346">
        <f t="shared" ref="AO127:AP133" si="189">$R127/$L127*7</f>
        <v>0</v>
      </c>
      <c r="AP127" s="346">
        <f t="shared" si="189"/>
        <v>0</v>
      </c>
    </row>
    <row r="128" spans="2:42" ht="18.649999999999999" customHeight="1" x14ac:dyDescent="0.35">
      <c r="B128" s="322" t="s">
        <v>125</v>
      </c>
      <c r="C128" s="293" t="s">
        <v>93</v>
      </c>
      <c r="D128" s="295" t="s">
        <v>86</v>
      </c>
      <c r="E128" s="295" t="s">
        <v>45</v>
      </c>
      <c r="F128" s="295" t="s">
        <v>87</v>
      </c>
      <c r="G128" s="296" t="s">
        <v>50</v>
      </c>
      <c r="H128" s="296" t="s">
        <v>95</v>
      </c>
      <c r="I128" s="296" t="s">
        <v>573</v>
      </c>
      <c r="J128" s="551" t="s">
        <v>96</v>
      </c>
      <c r="K128" s="295" t="s">
        <v>89</v>
      </c>
      <c r="L128" s="298">
        <f t="shared" si="185"/>
        <v>21</v>
      </c>
      <c r="M128" s="299">
        <v>45460</v>
      </c>
      <c r="N128" s="299">
        <v>45480</v>
      </c>
      <c r="O128" s="298">
        <f t="shared" si="186"/>
        <v>2224483.5689208</v>
      </c>
      <c r="P128" s="300" t="s">
        <v>17</v>
      </c>
      <c r="Q128" s="301"/>
      <c r="R128" s="298"/>
      <c r="S128" s="302">
        <v>0.8</v>
      </c>
      <c r="T128" s="303">
        <f t="shared" si="187"/>
        <v>1779586.8551366401</v>
      </c>
      <c r="U128" s="298">
        <f>AB128*AC128</f>
        <v>556120.8922302</v>
      </c>
      <c r="V128" s="298">
        <v>4</v>
      </c>
      <c r="W128" s="298"/>
      <c r="X128" s="304">
        <v>150</v>
      </c>
      <c r="Y128" s="305">
        <f t="shared" si="188"/>
        <v>333672.53533811995</v>
      </c>
      <c r="Z128" s="305">
        <f t="shared" si="155"/>
        <v>149.99999999999997</v>
      </c>
      <c r="AA128" s="305"/>
      <c r="AB128" s="306">
        <v>609390</v>
      </c>
      <c r="AC128" s="307">
        <v>0.91258618000000002</v>
      </c>
      <c r="AF128" s="261">
        <v>0.748</v>
      </c>
      <c r="AJ128" s="346">
        <f t="shared" si="177"/>
        <v>741494.52297359996</v>
      </c>
      <c r="AK128" s="346">
        <f t="shared" si="177"/>
        <v>741494.52297359996</v>
      </c>
      <c r="AL128" s="346">
        <f t="shared" si="177"/>
        <v>741494.52297359996</v>
      </c>
      <c r="AN128" s="346">
        <f t="shared" ref="AN128:AN133" si="190">$R128/$L128*7</f>
        <v>0</v>
      </c>
      <c r="AO128" s="346">
        <f t="shared" si="189"/>
        <v>0</v>
      </c>
      <c r="AP128" s="346">
        <f t="shared" si="189"/>
        <v>0</v>
      </c>
    </row>
    <row r="129" spans="2:42" ht="18.649999999999999" customHeight="1" x14ac:dyDescent="0.35">
      <c r="B129" s="322" t="s">
        <v>125</v>
      </c>
      <c r="C129" s="293" t="s">
        <v>97</v>
      </c>
      <c r="D129" s="264" t="s">
        <v>561</v>
      </c>
      <c r="E129" s="264" t="s">
        <v>45</v>
      </c>
      <c r="F129" s="263" t="s">
        <v>87</v>
      </c>
      <c r="G129" s="263" t="s">
        <v>98</v>
      </c>
      <c r="H129" s="265" t="s">
        <v>90</v>
      </c>
      <c r="I129" s="265" t="s">
        <v>574</v>
      </c>
      <c r="J129" s="552" t="s">
        <v>96</v>
      </c>
      <c r="K129" s="263" t="s">
        <v>89</v>
      </c>
      <c r="L129" s="266">
        <f t="shared" si="185"/>
        <v>21</v>
      </c>
      <c r="M129" s="267">
        <v>45460</v>
      </c>
      <c r="N129" s="267">
        <v>45480</v>
      </c>
      <c r="O129" s="266">
        <f t="shared" si="186"/>
        <v>505564.44748199999</v>
      </c>
      <c r="P129" s="268" t="s">
        <v>17</v>
      </c>
      <c r="Q129" s="269">
        <v>1E-3</v>
      </c>
      <c r="R129" s="266">
        <f t="shared" ref="R129:R130" si="191">O129*Q129</f>
        <v>505.56444748199999</v>
      </c>
      <c r="S129" s="270">
        <v>0.8</v>
      </c>
      <c r="T129" s="271">
        <f>O129*S129</f>
        <v>404451.55798560003</v>
      </c>
      <c r="U129" s="266">
        <f t="shared" ref="U129:U130" si="192">AB129*AC129</f>
        <v>505564.44748199999</v>
      </c>
      <c r="V129" s="266">
        <v>1</v>
      </c>
      <c r="W129" s="266"/>
      <c r="X129" s="272">
        <v>70</v>
      </c>
      <c r="Y129" s="273">
        <f t="shared" si="188"/>
        <v>35389.51132374</v>
      </c>
      <c r="Z129" s="273">
        <f t="shared" si="155"/>
        <v>70</v>
      </c>
      <c r="AA129" s="273">
        <f t="shared" ref="AA129:AA134" si="193">Y129/R129</f>
        <v>70</v>
      </c>
      <c r="AB129" s="274">
        <f>1218780*85%</f>
        <v>1035963</v>
      </c>
      <c r="AC129" s="275">
        <v>0.488014</v>
      </c>
      <c r="AE129" s="260"/>
      <c r="AF129" s="261">
        <v>0.44</v>
      </c>
      <c r="AG129" s="260"/>
      <c r="AJ129" s="346">
        <f t="shared" si="177"/>
        <v>168521.482494</v>
      </c>
      <c r="AK129" s="346">
        <f t="shared" si="177"/>
        <v>168521.482494</v>
      </c>
      <c r="AL129" s="346">
        <f t="shared" si="177"/>
        <v>168521.482494</v>
      </c>
      <c r="AN129" s="346">
        <f t="shared" si="190"/>
        <v>168.521482494</v>
      </c>
      <c r="AO129" s="346">
        <f t="shared" si="189"/>
        <v>168.521482494</v>
      </c>
      <c r="AP129" s="346">
        <f t="shared" si="189"/>
        <v>168.521482494</v>
      </c>
    </row>
    <row r="130" spans="2:42" ht="18.649999999999999" customHeight="1" x14ac:dyDescent="0.35">
      <c r="B130" s="322" t="s">
        <v>125</v>
      </c>
      <c r="C130" s="293" t="s">
        <v>97</v>
      </c>
      <c r="D130" s="264" t="s">
        <v>86</v>
      </c>
      <c r="E130" s="264" t="s">
        <v>45</v>
      </c>
      <c r="F130" s="263" t="s">
        <v>87</v>
      </c>
      <c r="G130" s="263" t="s">
        <v>98</v>
      </c>
      <c r="H130" s="265" t="s">
        <v>90</v>
      </c>
      <c r="I130" s="265" t="s">
        <v>571</v>
      </c>
      <c r="J130" s="552" t="s">
        <v>96</v>
      </c>
      <c r="K130" s="263" t="s">
        <v>89</v>
      </c>
      <c r="L130" s="266">
        <f t="shared" si="185"/>
        <v>21</v>
      </c>
      <c r="M130" s="267">
        <v>45460</v>
      </c>
      <c r="N130" s="267">
        <v>45480</v>
      </c>
      <c r="O130" s="266">
        <f t="shared" si="186"/>
        <v>548451</v>
      </c>
      <c r="P130" s="268" t="s">
        <v>17</v>
      </c>
      <c r="Q130" s="269">
        <v>1E-3</v>
      </c>
      <c r="R130" s="266">
        <f t="shared" si="191"/>
        <v>548.45100000000002</v>
      </c>
      <c r="S130" s="270">
        <v>0.8</v>
      </c>
      <c r="T130" s="271">
        <f>O130*S130</f>
        <v>438760.80000000005</v>
      </c>
      <c r="U130" s="266">
        <f t="shared" si="192"/>
        <v>548451</v>
      </c>
      <c r="V130" s="266">
        <v>1</v>
      </c>
      <c r="W130" s="266"/>
      <c r="X130" s="272">
        <v>110</v>
      </c>
      <c r="Y130" s="273">
        <f t="shared" si="188"/>
        <v>60329.61</v>
      </c>
      <c r="Z130" s="273">
        <f t="shared" si="155"/>
        <v>110</v>
      </c>
      <c r="AA130" s="273">
        <f t="shared" si="193"/>
        <v>110</v>
      </c>
      <c r="AB130" s="274">
        <v>1218780</v>
      </c>
      <c r="AC130" s="275">
        <v>0.45</v>
      </c>
      <c r="AE130" s="260"/>
      <c r="AF130" s="261">
        <v>0.44</v>
      </c>
      <c r="AG130" s="260"/>
      <c r="AJ130" s="346">
        <f t="shared" si="177"/>
        <v>182817</v>
      </c>
      <c r="AK130" s="346">
        <f t="shared" si="177"/>
        <v>182817</v>
      </c>
      <c r="AL130" s="346">
        <f t="shared" si="177"/>
        <v>182817</v>
      </c>
      <c r="AN130" s="346">
        <f t="shared" si="190"/>
        <v>182.81700000000001</v>
      </c>
      <c r="AO130" s="346">
        <f t="shared" si="189"/>
        <v>182.81700000000001</v>
      </c>
      <c r="AP130" s="346">
        <f t="shared" si="189"/>
        <v>182.81700000000001</v>
      </c>
    </row>
    <row r="131" spans="2:42" ht="18.649999999999999" customHeight="1" x14ac:dyDescent="0.35">
      <c r="B131" s="322" t="s">
        <v>125</v>
      </c>
      <c r="C131" s="293" t="s">
        <v>97</v>
      </c>
      <c r="D131" s="263" t="s">
        <v>99</v>
      </c>
      <c r="E131" s="263" t="s">
        <v>46</v>
      </c>
      <c r="F131" s="263" t="s">
        <v>100</v>
      </c>
      <c r="G131" s="263" t="s">
        <v>101</v>
      </c>
      <c r="H131" s="265" t="s">
        <v>88</v>
      </c>
      <c r="I131" s="265" t="s">
        <v>102</v>
      </c>
      <c r="J131" s="553" t="s">
        <v>96</v>
      </c>
      <c r="K131" s="263" t="s">
        <v>89</v>
      </c>
      <c r="L131" s="266">
        <f t="shared" si="185"/>
        <v>21</v>
      </c>
      <c r="M131" s="267">
        <v>45460</v>
      </c>
      <c r="N131" s="267">
        <v>45480</v>
      </c>
      <c r="O131" s="266">
        <f>U131*V131</f>
        <v>224533.81023794319</v>
      </c>
      <c r="P131" s="268" t="s">
        <v>17</v>
      </c>
      <c r="Q131" s="269">
        <v>1.4999999999999999E-2</v>
      </c>
      <c r="R131" s="266">
        <f>O131*Q131</f>
        <v>3368.0071535691477</v>
      </c>
      <c r="S131" s="268" t="s">
        <v>17</v>
      </c>
      <c r="T131" s="271" t="s">
        <v>17</v>
      </c>
      <c r="U131" s="266">
        <f>AB131*AC131</f>
        <v>264157.42380934494</v>
      </c>
      <c r="V131" s="266">
        <v>0.85</v>
      </c>
      <c r="W131" s="266"/>
      <c r="X131" s="272">
        <v>105</v>
      </c>
      <c r="Y131" s="273">
        <f t="shared" si="188"/>
        <v>23576.050074984036</v>
      </c>
      <c r="Z131" s="273">
        <f t="shared" si="155"/>
        <v>105</v>
      </c>
      <c r="AA131" s="273">
        <f t="shared" si="193"/>
        <v>7.0000000000000009</v>
      </c>
      <c r="AB131" s="274">
        <f>AB129*95%</f>
        <v>984164.85</v>
      </c>
      <c r="AC131" s="275">
        <v>0.26840769999999997</v>
      </c>
      <c r="AE131" s="260"/>
      <c r="AF131" s="261">
        <v>0.22</v>
      </c>
      <c r="AG131" s="260"/>
      <c r="AJ131" s="346">
        <f t="shared" si="177"/>
        <v>74844.603412647732</v>
      </c>
      <c r="AK131" s="346">
        <f t="shared" si="177"/>
        <v>74844.603412647732</v>
      </c>
      <c r="AL131" s="346">
        <f t="shared" si="177"/>
        <v>74844.603412647732</v>
      </c>
      <c r="AN131" s="346">
        <f t="shared" si="190"/>
        <v>1122.6690511897159</v>
      </c>
      <c r="AO131" s="346">
        <f t="shared" si="189"/>
        <v>1122.6690511897159</v>
      </c>
      <c r="AP131" s="346">
        <f t="shared" si="189"/>
        <v>1122.6690511897159</v>
      </c>
    </row>
    <row r="132" spans="2:42" ht="18.649999999999999" customHeight="1" x14ac:dyDescent="0.35">
      <c r="B132" s="322" t="str">
        <f>B131</f>
        <v>Jaipur</v>
      </c>
      <c r="C132" s="293" t="s">
        <v>97</v>
      </c>
      <c r="D132" s="310" t="s">
        <v>103</v>
      </c>
      <c r="E132" s="263" t="s">
        <v>46</v>
      </c>
      <c r="F132" s="310" t="s">
        <v>100</v>
      </c>
      <c r="G132" s="263" t="s">
        <v>98</v>
      </c>
      <c r="H132" s="265" t="s">
        <v>88</v>
      </c>
      <c r="I132" s="265" t="s">
        <v>104</v>
      </c>
      <c r="J132" s="553" t="s">
        <v>96</v>
      </c>
      <c r="K132" s="263" t="s">
        <v>105</v>
      </c>
      <c r="L132" s="266">
        <f t="shared" si="185"/>
        <v>21</v>
      </c>
      <c r="M132" s="267">
        <v>45460</v>
      </c>
      <c r="N132" s="267">
        <v>45480</v>
      </c>
      <c r="O132" s="266">
        <f>U132*V132</f>
        <v>341770.09503049596</v>
      </c>
      <c r="P132" s="268" t="s">
        <v>17</v>
      </c>
      <c r="Q132" s="269">
        <v>1.4999999999999999E-2</v>
      </c>
      <c r="R132" s="266">
        <f>O132*Q132</f>
        <v>5126.5514254574391</v>
      </c>
      <c r="S132" s="268" t="s">
        <v>17</v>
      </c>
      <c r="T132" s="271" t="s">
        <v>17</v>
      </c>
      <c r="U132" s="266">
        <f>AB132*AC132</f>
        <v>402082.46474175999</v>
      </c>
      <c r="V132" s="266">
        <v>0.85</v>
      </c>
      <c r="W132" s="266"/>
      <c r="X132" s="272">
        <v>120</v>
      </c>
      <c r="Y132" s="273">
        <f t="shared" si="188"/>
        <v>41012.411403659513</v>
      </c>
      <c r="Z132" s="273">
        <f t="shared" si="155"/>
        <v>120</v>
      </c>
      <c r="AA132" s="273">
        <f t="shared" si="193"/>
        <v>8</v>
      </c>
      <c r="AB132" s="274">
        <v>936268</v>
      </c>
      <c r="AC132" s="275">
        <v>0.42945232</v>
      </c>
      <c r="AE132" s="260"/>
      <c r="AF132" s="261">
        <v>0.35200000000000004</v>
      </c>
      <c r="AG132" s="260"/>
      <c r="AH132" s="320"/>
      <c r="AJ132" s="346">
        <f t="shared" si="177"/>
        <v>113923.36501016532</v>
      </c>
      <c r="AK132" s="346">
        <f t="shared" si="177"/>
        <v>113923.36501016532</v>
      </c>
      <c r="AL132" s="346">
        <f t="shared" si="177"/>
        <v>113923.36501016532</v>
      </c>
      <c r="AN132" s="346">
        <f t="shared" si="190"/>
        <v>1708.8504751524797</v>
      </c>
      <c r="AO132" s="346">
        <f t="shared" si="189"/>
        <v>1708.8504751524797</v>
      </c>
      <c r="AP132" s="346">
        <f t="shared" si="189"/>
        <v>1708.8504751524797</v>
      </c>
    </row>
    <row r="133" spans="2:42" ht="18.649999999999999" customHeight="1" x14ac:dyDescent="0.35">
      <c r="B133" s="322" t="str">
        <f>B132</f>
        <v>Jaipur</v>
      </c>
      <c r="C133" s="293" t="s">
        <v>97</v>
      </c>
      <c r="D133" s="310" t="s">
        <v>106</v>
      </c>
      <c r="E133" s="311" t="s">
        <v>46</v>
      </c>
      <c r="F133" s="311" t="s">
        <v>91</v>
      </c>
      <c r="G133" s="263" t="s">
        <v>98</v>
      </c>
      <c r="H133" s="310" t="s">
        <v>88</v>
      </c>
      <c r="I133" s="263" t="s">
        <v>107</v>
      </c>
      <c r="J133" s="553" t="s">
        <v>96</v>
      </c>
      <c r="K133" s="263" t="s">
        <v>89</v>
      </c>
      <c r="L133" s="266">
        <f t="shared" si="185"/>
        <v>21</v>
      </c>
      <c r="M133" s="267">
        <v>45460</v>
      </c>
      <c r="N133" s="267">
        <v>45480</v>
      </c>
      <c r="O133" s="266">
        <f>U133*V133</f>
        <v>110394.56916445649</v>
      </c>
      <c r="P133" s="268" t="s">
        <v>17</v>
      </c>
      <c r="Q133" s="312">
        <v>0.01</v>
      </c>
      <c r="R133" s="266">
        <f t="shared" ref="R133" si="194">O133*Q133</f>
        <v>1103.9456916445649</v>
      </c>
      <c r="S133" s="268" t="s">
        <v>17</v>
      </c>
      <c r="T133" s="271" t="s">
        <v>17</v>
      </c>
      <c r="U133" s="266">
        <f t="shared" ref="U133" si="195">AB133*AC133</f>
        <v>129875.96372289</v>
      </c>
      <c r="V133" s="266">
        <v>0.85</v>
      </c>
      <c r="W133" s="266"/>
      <c r="X133" s="272">
        <v>200</v>
      </c>
      <c r="Y133" s="273">
        <f>O133*X133/1000</f>
        <v>22078.9138328913</v>
      </c>
      <c r="Z133" s="273">
        <f t="shared" si="155"/>
        <v>200</v>
      </c>
      <c r="AA133" s="273">
        <f t="shared" si="193"/>
        <v>20</v>
      </c>
      <c r="AB133" s="274">
        <v>439887</v>
      </c>
      <c r="AC133" s="275">
        <v>0.29524846999999999</v>
      </c>
      <c r="AE133" s="260"/>
      <c r="AF133" s="261">
        <v>0.22</v>
      </c>
      <c r="AG133" s="260"/>
      <c r="AH133" s="562"/>
      <c r="AJ133" s="346">
        <f t="shared" si="177"/>
        <v>36798.189721485498</v>
      </c>
      <c r="AK133" s="346">
        <f t="shared" si="177"/>
        <v>36798.189721485498</v>
      </c>
      <c r="AL133" s="346">
        <f t="shared" si="177"/>
        <v>36798.189721485498</v>
      </c>
      <c r="AN133" s="346">
        <f t="shared" si="190"/>
        <v>367.981897214855</v>
      </c>
      <c r="AO133" s="346">
        <f t="shared" si="189"/>
        <v>367.981897214855</v>
      </c>
      <c r="AP133" s="346">
        <f t="shared" si="189"/>
        <v>367.981897214855</v>
      </c>
    </row>
    <row r="134" spans="2:42" ht="18.649999999999999" customHeight="1" x14ac:dyDescent="0.35">
      <c r="B134" s="277" t="str">
        <f>B131</f>
        <v>Jaipur</v>
      </c>
      <c r="C134" s="278"/>
      <c r="D134" s="279" t="s">
        <v>18</v>
      </c>
      <c r="E134" s="280"/>
      <c r="F134" s="279"/>
      <c r="G134" s="280"/>
      <c r="H134" s="280"/>
      <c r="I134" s="281"/>
      <c r="J134" s="546"/>
      <c r="K134" s="283"/>
      <c r="L134" s="284"/>
      <c r="M134" s="284"/>
      <c r="N134" s="284"/>
      <c r="O134" s="284">
        <f>SUM(O127:O133)</f>
        <v>4295285.0775668956</v>
      </c>
      <c r="P134" s="284"/>
      <c r="Q134" s="285">
        <f>R134/O134</f>
        <v>2.4800495254176172E-3</v>
      </c>
      <c r="R134" s="284">
        <f>SUM(R127:R133)</f>
        <v>10652.519718153153</v>
      </c>
      <c r="S134" s="286"/>
      <c r="T134" s="284">
        <f>SUM(T127:T133)</f>
        <v>2911873.6618437599</v>
      </c>
      <c r="U134" s="284">
        <f>U130+(SUM(U127:U129,U131:U133)*15%)</f>
        <v>844125.55813448923</v>
      </c>
      <c r="V134" s="284">
        <f>O134/U134</f>
        <v>5.0884433437360217</v>
      </c>
      <c r="W134" s="284"/>
      <c r="X134" s="287"/>
      <c r="Y134" s="317">
        <f>SUM(Y127:Y133)</f>
        <v>573873.9217176988</v>
      </c>
      <c r="Z134" s="288">
        <f t="shared" si="155"/>
        <v>133.60554919041022</v>
      </c>
      <c r="AA134" s="288">
        <f t="shared" si="193"/>
        <v>53.872129496249585</v>
      </c>
      <c r="AB134" s="284">
        <f>AB130+(SUM(AB127:AB129,AB131:AB133)*2%)</f>
        <v>1301533.1570000001</v>
      </c>
      <c r="AC134" s="289">
        <f>U134/AB134</f>
        <v>0.64856246926522909</v>
      </c>
      <c r="AD134" s="261"/>
      <c r="AE134" s="290"/>
      <c r="AF134" s="261">
        <v>0.6428201785972153</v>
      </c>
      <c r="AG134" s="290"/>
      <c r="AH134" s="460"/>
      <c r="AI134" s="459"/>
    </row>
    <row r="135" spans="2:42" ht="18.649999999999999" customHeight="1" x14ac:dyDescent="0.35">
      <c r="B135" s="322" t="s">
        <v>126</v>
      </c>
      <c r="C135" s="293" t="s">
        <v>93</v>
      </c>
      <c r="D135" s="294" t="s">
        <v>94</v>
      </c>
      <c r="E135" s="294" t="s">
        <v>45</v>
      </c>
      <c r="F135" s="295" t="s">
        <v>87</v>
      </c>
      <c r="G135" s="295" t="s">
        <v>50</v>
      </c>
      <c r="H135" s="296" t="s">
        <v>95</v>
      </c>
      <c r="I135" s="296" t="s">
        <v>572</v>
      </c>
      <c r="J135" s="551" t="s">
        <v>96</v>
      </c>
      <c r="K135" s="295" t="s">
        <v>89</v>
      </c>
      <c r="L135" s="298">
        <f t="shared" ref="L135:L141" si="196">N135-(M135-1)</f>
        <v>21</v>
      </c>
      <c r="M135" s="299">
        <v>45460</v>
      </c>
      <c r="N135" s="299">
        <v>45480</v>
      </c>
      <c r="O135" s="298">
        <f t="shared" ref="O135:O138" si="197">U135*V135</f>
        <v>682509.67627391999</v>
      </c>
      <c r="P135" s="300" t="s">
        <v>17</v>
      </c>
      <c r="Q135" s="301"/>
      <c r="R135" s="298"/>
      <c r="S135" s="302">
        <v>0.85</v>
      </c>
      <c r="T135" s="303">
        <f t="shared" ref="T135:T136" si="198">O135*S135</f>
        <v>580133.224832832</v>
      </c>
      <c r="U135" s="298">
        <f>AB135*AC135</f>
        <v>227503.22542464</v>
      </c>
      <c r="V135" s="298">
        <v>3</v>
      </c>
      <c r="W135" s="298"/>
      <c r="X135" s="304">
        <v>170</v>
      </c>
      <c r="Y135" s="305">
        <f t="shared" ref="Y135:Y140" si="199">(O135/1000)*X135</f>
        <v>116026.64496656641</v>
      </c>
      <c r="Z135" s="305">
        <f t="shared" si="155"/>
        <v>170</v>
      </c>
      <c r="AA135" s="305"/>
      <c r="AB135" s="306">
        <v>264876</v>
      </c>
      <c r="AC135" s="307">
        <v>0.85890464</v>
      </c>
      <c r="AD135" s="261"/>
      <c r="AE135" s="260"/>
      <c r="AF135" s="261">
        <v>0.70400000000000007</v>
      </c>
      <c r="AG135" s="260"/>
      <c r="AJ135" s="346">
        <f t="shared" si="177"/>
        <v>227503.22542464</v>
      </c>
      <c r="AK135" s="346">
        <f t="shared" si="177"/>
        <v>227503.22542464</v>
      </c>
      <c r="AL135" s="346">
        <f t="shared" si="177"/>
        <v>227503.22542464</v>
      </c>
      <c r="AN135" s="346">
        <f>$R135/$L135*7</f>
        <v>0</v>
      </c>
      <c r="AO135" s="346">
        <f t="shared" ref="AO135:AP141" si="200">$R135/$L135*7</f>
        <v>0</v>
      </c>
      <c r="AP135" s="346">
        <f t="shared" si="200"/>
        <v>0</v>
      </c>
    </row>
    <row r="136" spans="2:42" ht="18.649999999999999" customHeight="1" x14ac:dyDescent="0.35">
      <c r="B136" s="322" t="s">
        <v>126</v>
      </c>
      <c r="C136" s="293" t="s">
        <v>93</v>
      </c>
      <c r="D136" s="295" t="s">
        <v>86</v>
      </c>
      <c r="E136" s="295" t="s">
        <v>45</v>
      </c>
      <c r="F136" s="295" t="s">
        <v>87</v>
      </c>
      <c r="G136" s="296" t="s">
        <v>50</v>
      </c>
      <c r="H136" s="296" t="s">
        <v>95</v>
      </c>
      <c r="I136" s="296" t="s">
        <v>573</v>
      </c>
      <c r="J136" s="551" t="s">
        <v>96</v>
      </c>
      <c r="K136" s="295" t="s">
        <v>89</v>
      </c>
      <c r="L136" s="298">
        <f t="shared" si="196"/>
        <v>21</v>
      </c>
      <c r="M136" s="299">
        <v>45460</v>
      </c>
      <c r="N136" s="299">
        <v>45480</v>
      </c>
      <c r="O136" s="298">
        <f t="shared" si="197"/>
        <v>1239602.3117412</v>
      </c>
      <c r="P136" s="300" t="s">
        <v>17</v>
      </c>
      <c r="Q136" s="301"/>
      <c r="R136" s="298"/>
      <c r="S136" s="302">
        <v>0.8</v>
      </c>
      <c r="T136" s="303">
        <f t="shared" si="198"/>
        <v>991681.84939296008</v>
      </c>
      <c r="U136" s="298">
        <f>AB136*AC136</f>
        <v>309900.57793530001</v>
      </c>
      <c r="V136" s="298">
        <v>4</v>
      </c>
      <c r="W136" s="298"/>
      <c r="X136" s="304">
        <v>150</v>
      </c>
      <c r="Y136" s="305">
        <f t="shared" si="199"/>
        <v>185940.34676118</v>
      </c>
      <c r="Z136" s="305">
        <f t="shared" si="155"/>
        <v>150</v>
      </c>
      <c r="AA136" s="305"/>
      <c r="AB136" s="306">
        <v>339585</v>
      </c>
      <c r="AC136" s="307">
        <v>0.91258618000000002</v>
      </c>
      <c r="AF136" s="261">
        <v>0.748</v>
      </c>
      <c r="AJ136" s="346">
        <f t="shared" ref="AJ136:AL141" si="201">$O136/$L136*7</f>
        <v>413200.77058040001</v>
      </c>
      <c r="AK136" s="346">
        <f t="shared" si="201"/>
        <v>413200.77058040001</v>
      </c>
      <c r="AL136" s="346">
        <f t="shared" si="201"/>
        <v>413200.77058040001</v>
      </c>
      <c r="AN136" s="346">
        <f t="shared" ref="AN136:AN141" si="202">$R136/$L136*7</f>
        <v>0</v>
      </c>
      <c r="AO136" s="346">
        <f t="shared" si="200"/>
        <v>0</v>
      </c>
      <c r="AP136" s="346">
        <f t="shared" si="200"/>
        <v>0</v>
      </c>
    </row>
    <row r="137" spans="2:42" ht="18.649999999999999" customHeight="1" x14ac:dyDescent="0.35">
      <c r="B137" s="322" t="s">
        <v>126</v>
      </c>
      <c r="C137" s="293" t="s">
        <v>97</v>
      </c>
      <c r="D137" s="264" t="s">
        <v>561</v>
      </c>
      <c r="E137" s="264" t="s">
        <v>45</v>
      </c>
      <c r="F137" s="263" t="s">
        <v>87</v>
      </c>
      <c r="G137" s="263" t="s">
        <v>98</v>
      </c>
      <c r="H137" s="265" t="s">
        <v>90</v>
      </c>
      <c r="I137" s="265" t="s">
        <v>574</v>
      </c>
      <c r="J137" s="552" t="s">
        <v>96</v>
      </c>
      <c r="K137" s="263" t="s">
        <v>89</v>
      </c>
      <c r="L137" s="266">
        <f t="shared" si="196"/>
        <v>21</v>
      </c>
      <c r="M137" s="267">
        <v>45460</v>
      </c>
      <c r="N137" s="267">
        <v>45480</v>
      </c>
      <c r="O137" s="266">
        <f t="shared" si="197"/>
        <v>287362.18816069997</v>
      </c>
      <c r="P137" s="268" t="s">
        <v>17</v>
      </c>
      <c r="Q137" s="269">
        <v>1E-3</v>
      </c>
      <c r="R137" s="266">
        <f t="shared" ref="R137:R138" si="203">O137*Q137</f>
        <v>287.36218816069999</v>
      </c>
      <c r="S137" s="270">
        <v>0.8</v>
      </c>
      <c r="T137" s="271">
        <f>O137*S137</f>
        <v>229889.75052855999</v>
      </c>
      <c r="U137" s="266">
        <f t="shared" ref="U137:U138" si="204">AB137*AC137</f>
        <v>287362.18816069997</v>
      </c>
      <c r="V137" s="266">
        <v>1</v>
      </c>
      <c r="W137" s="266"/>
      <c r="X137" s="272">
        <v>70</v>
      </c>
      <c r="Y137" s="273">
        <f t="shared" si="199"/>
        <v>20115.353171249</v>
      </c>
      <c r="Z137" s="273">
        <f t="shared" si="155"/>
        <v>70</v>
      </c>
      <c r="AA137" s="273">
        <f t="shared" ref="AA137:AA142" si="205">Y137/R137</f>
        <v>70</v>
      </c>
      <c r="AB137" s="274">
        <f>692753*85%</f>
        <v>588840.04999999993</v>
      </c>
      <c r="AC137" s="275">
        <v>0.488014</v>
      </c>
      <c r="AE137" s="260"/>
      <c r="AF137" s="261">
        <v>0.39600000000000002</v>
      </c>
      <c r="AG137" s="260"/>
      <c r="AJ137" s="346">
        <f t="shared" si="201"/>
        <v>95787.396053566656</v>
      </c>
      <c r="AK137" s="346">
        <f t="shared" si="201"/>
        <v>95787.396053566656</v>
      </c>
      <c r="AL137" s="346">
        <f t="shared" si="201"/>
        <v>95787.396053566656</v>
      </c>
      <c r="AN137" s="346">
        <f t="shared" si="202"/>
        <v>95.787396053566653</v>
      </c>
      <c r="AO137" s="346">
        <f t="shared" si="200"/>
        <v>95.787396053566653</v>
      </c>
      <c r="AP137" s="346">
        <f t="shared" si="200"/>
        <v>95.787396053566653</v>
      </c>
    </row>
    <row r="138" spans="2:42" ht="18.649999999999999" customHeight="1" x14ac:dyDescent="0.35">
      <c r="B138" s="322" t="s">
        <v>126</v>
      </c>
      <c r="C138" s="293" t="s">
        <v>97</v>
      </c>
      <c r="D138" s="264" t="s">
        <v>86</v>
      </c>
      <c r="E138" s="264" t="s">
        <v>45</v>
      </c>
      <c r="F138" s="263" t="s">
        <v>87</v>
      </c>
      <c r="G138" s="263" t="s">
        <v>98</v>
      </c>
      <c r="H138" s="265" t="s">
        <v>90</v>
      </c>
      <c r="I138" s="265" t="s">
        <v>571</v>
      </c>
      <c r="J138" s="552" t="s">
        <v>96</v>
      </c>
      <c r="K138" s="263" t="s">
        <v>89</v>
      </c>
      <c r="L138" s="266">
        <f t="shared" si="196"/>
        <v>21</v>
      </c>
      <c r="M138" s="267">
        <v>45460</v>
      </c>
      <c r="N138" s="267">
        <v>45480</v>
      </c>
      <c r="O138" s="266">
        <f t="shared" si="197"/>
        <v>311738.85000000003</v>
      </c>
      <c r="P138" s="268" t="s">
        <v>17</v>
      </c>
      <c r="Q138" s="269">
        <v>1E-3</v>
      </c>
      <c r="R138" s="266">
        <f t="shared" si="203"/>
        <v>311.73885000000001</v>
      </c>
      <c r="S138" s="270">
        <v>0.8</v>
      </c>
      <c r="T138" s="271">
        <f>O138*S138</f>
        <v>249391.08000000005</v>
      </c>
      <c r="U138" s="266">
        <f t="shared" si="204"/>
        <v>311738.85000000003</v>
      </c>
      <c r="V138" s="266">
        <v>1</v>
      </c>
      <c r="W138" s="266"/>
      <c r="X138" s="272">
        <v>110</v>
      </c>
      <c r="Y138" s="273">
        <f t="shared" si="199"/>
        <v>34291.273500000003</v>
      </c>
      <c r="Z138" s="273">
        <f t="shared" si="155"/>
        <v>110</v>
      </c>
      <c r="AA138" s="273">
        <f t="shared" si="205"/>
        <v>110</v>
      </c>
      <c r="AB138" s="274">
        <v>692753</v>
      </c>
      <c r="AC138" s="275">
        <v>0.45</v>
      </c>
      <c r="AE138" s="260"/>
      <c r="AF138" s="261">
        <v>0.39600000000000002</v>
      </c>
      <c r="AG138" s="260"/>
      <c r="AJ138" s="346">
        <f t="shared" si="201"/>
        <v>103912.95000000001</v>
      </c>
      <c r="AK138" s="346">
        <f t="shared" si="201"/>
        <v>103912.95000000001</v>
      </c>
      <c r="AL138" s="346">
        <f t="shared" si="201"/>
        <v>103912.95000000001</v>
      </c>
      <c r="AN138" s="346">
        <f t="shared" si="202"/>
        <v>103.91295</v>
      </c>
      <c r="AO138" s="346">
        <f t="shared" si="200"/>
        <v>103.91295</v>
      </c>
      <c r="AP138" s="346">
        <f t="shared" si="200"/>
        <v>103.91295</v>
      </c>
    </row>
    <row r="139" spans="2:42" ht="18.649999999999999" customHeight="1" x14ac:dyDescent="0.35">
      <c r="B139" s="322" t="s">
        <v>126</v>
      </c>
      <c r="C139" s="293" t="s">
        <v>97</v>
      </c>
      <c r="D139" s="263" t="s">
        <v>99</v>
      </c>
      <c r="E139" s="263" t="s">
        <v>46</v>
      </c>
      <c r="F139" s="263" t="s">
        <v>100</v>
      </c>
      <c r="G139" s="263" t="s">
        <v>101</v>
      </c>
      <c r="H139" s="265" t="s">
        <v>88</v>
      </c>
      <c r="I139" s="265" t="s">
        <v>102</v>
      </c>
      <c r="J139" s="553" t="s">
        <v>96</v>
      </c>
      <c r="K139" s="263" t="s">
        <v>89</v>
      </c>
      <c r="L139" s="266">
        <f t="shared" si="196"/>
        <v>21</v>
      </c>
      <c r="M139" s="267">
        <v>45460</v>
      </c>
      <c r="N139" s="267">
        <v>45480</v>
      </c>
      <c r="O139" s="266">
        <f>U139*V139</f>
        <v>127624.73181687084</v>
      </c>
      <c r="P139" s="268" t="s">
        <v>17</v>
      </c>
      <c r="Q139" s="269">
        <v>1.4999999999999999E-2</v>
      </c>
      <c r="R139" s="266">
        <f>O139*Q139</f>
        <v>1914.3709772530626</v>
      </c>
      <c r="S139" s="268" t="s">
        <v>17</v>
      </c>
      <c r="T139" s="271" t="s">
        <v>17</v>
      </c>
      <c r="U139" s="266">
        <f>AB139*AC139</f>
        <v>150146.74331396571</v>
      </c>
      <c r="V139" s="266">
        <v>0.85</v>
      </c>
      <c r="W139" s="266"/>
      <c r="X139" s="272">
        <v>105</v>
      </c>
      <c r="Y139" s="273">
        <f t="shared" si="199"/>
        <v>13400.596840771439</v>
      </c>
      <c r="Z139" s="273">
        <f t="shared" si="155"/>
        <v>105</v>
      </c>
      <c r="AA139" s="273">
        <f t="shared" si="205"/>
        <v>7</v>
      </c>
      <c r="AB139" s="274">
        <f>AB137*95%</f>
        <v>559398.04749999987</v>
      </c>
      <c r="AC139" s="275">
        <v>0.26840769999999997</v>
      </c>
      <c r="AE139" s="260"/>
      <c r="AF139" s="261">
        <v>0.22</v>
      </c>
      <c r="AG139" s="260"/>
      <c r="AJ139" s="346">
        <f t="shared" si="201"/>
        <v>42541.577272290284</v>
      </c>
      <c r="AK139" s="346">
        <f t="shared" si="201"/>
        <v>42541.577272290284</v>
      </c>
      <c r="AL139" s="346">
        <f t="shared" si="201"/>
        <v>42541.577272290284</v>
      </c>
      <c r="AN139" s="346">
        <f t="shared" si="202"/>
        <v>638.12365908435413</v>
      </c>
      <c r="AO139" s="346">
        <f t="shared" si="200"/>
        <v>638.12365908435413</v>
      </c>
      <c r="AP139" s="346">
        <f t="shared" si="200"/>
        <v>638.12365908435413</v>
      </c>
    </row>
    <row r="140" spans="2:42" ht="18.649999999999999" customHeight="1" x14ac:dyDescent="0.35">
      <c r="B140" s="322" t="str">
        <f>B139</f>
        <v>Kochi</v>
      </c>
      <c r="C140" s="293" t="s">
        <v>97</v>
      </c>
      <c r="D140" s="310" t="s">
        <v>103</v>
      </c>
      <c r="E140" s="263" t="s">
        <v>46</v>
      </c>
      <c r="F140" s="310" t="s">
        <v>100</v>
      </c>
      <c r="G140" s="263" t="s">
        <v>98</v>
      </c>
      <c r="H140" s="265" t="s">
        <v>88</v>
      </c>
      <c r="I140" s="265" t="s">
        <v>104</v>
      </c>
      <c r="J140" s="553" t="s">
        <v>96</v>
      </c>
      <c r="K140" s="263" t="s">
        <v>105</v>
      </c>
      <c r="L140" s="266">
        <f t="shared" si="196"/>
        <v>21</v>
      </c>
      <c r="M140" s="267">
        <v>45460</v>
      </c>
      <c r="N140" s="267">
        <v>45480</v>
      </c>
      <c r="O140" s="266">
        <f>U140*V140</f>
        <v>190585.227900144</v>
      </c>
      <c r="P140" s="268" t="s">
        <v>17</v>
      </c>
      <c r="Q140" s="269">
        <v>1.4999999999999999E-2</v>
      </c>
      <c r="R140" s="266">
        <f>O140*Q140</f>
        <v>2858.7784185021601</v>
      </c>
      <c r="S140" s="268" t="s">
        <v>17</v>
      </c>
      <c r="T140" s="271" t="s">
        <v>17</v>
      </c>
      <c r="U140" s="266">
        <f>AB140*AC140</f>
        <v>224217.91517664</v>
      </c>
      <c r="V140" s="266">
        <v>0.85</v>
      </c>
      <c r="W140" s="266"/>
      <c r="X140" s="272">
        <v>120</v>
      </c>
      <c r="Y140" s="273">
        <f t="shared" si="199"/>
        <v>22870.227348017281</v>
      </c>
      <c r="Z140" s="273">
        <f t="shared" si="155"/>
        <v>120</v>
      </c>
      <c r="AA140" s="273">
        <f t="shared" si="205"/>
        <v>8</v>
      </c>
      <c r="AB140" s="274">
        <v>522102</v>
      </c>
      <c r="AC140" s="275">
        <v>0.42945232</v>
      </c>
      <c r="AE140" s="260"/>
      <c r="AF140" s="261">
        <v>0.35200000000000004</v>
      </c>
      <c r="AG140" s="260"/>
      <c r="AH140" s="320"/>
      <c r="AJ140" s="346">
        <f t="shared" si="201"/>
        <v>63528.409300048006</v>
      </c>
      <c r="AK140" s="346">
        <f t="shared" si="201"/>
        <v>63528.409300048006</v>
      </c>
      <c r="AL140" s="346">
        <f t="shared" si="201"/>
        <v>63528.409300048006</v>
      </c>
      <c r="AN140" s="346">
        <f t="shared" si="202"/>
        <v>952.92613950072007</v>
      </c>
      <c r="AO140" s="346">
        <f t="shared" si="200"/>
        <v>952.92613950072007</v>
      </c>
      <c r="AP140" s="346">
        <f t="shared" si="200"/>
        <v>952.92613950072007</v>
      </c>
    </row>
    <row r="141" spans="2:42" ht="18.649999999999999" customHeight="1" x14ac:dyDescent="0.35">
      <c r="B141" s="322" t="str">
        <f>B140</f>
        <v>Kochi</v>
      </c>
      <c r="C141" s="293" t="s">
        <v>97</v>
      </c>
      <c r="D141" s="310" t="s">
        <v>106</v>
      </c>
      <c r="E141" s="311" t="s">
        <v>46</v>
      </c>
      <c r="F141" s="311" t="s">
        <v>91</v>
      </c>
      <c r="G141" s="263" t="s">
        <v>98</v>
      </c>
      <c r="H141" s="310" t="s">
        <v>88</v>
      </c>
      <c r="I141" s="263" t="s">
        <v>107</v>
      </c>
      <c r="J141" s="553" t="s">
        <v>96</v>
      </c>
      <c r="K141" s="263" t="s">
        <v>89</v>
      </c>
      <c r="L141" s="266">
        <f t="shared" si="196"/>
        <v>21</v>
      </c>
      <c r="M141" s="267">
        <v>45460</v>
      </c>
      <c r="N141" s="267">
        <v>45480</v>
      </c>
      <c r="O141" s="266">
        <f>U141*V141</f>
        <v>152499.58441056899</v>
      </c>
      <c r="P141" s="268" t="s">
        <v>17</v>
      </c>
      <c r="Q141" s="312">
        <v>0.01</v>
      </c>
      <c r="R141" s="266">
        <f t="shared" ref="R141" si="206">O141*Q141</f>
        <v>1524.9958441056899</v>
      </c>
      <c r="S141" s="268" t="s">
        <v>17</v>
      </c>
      <c r="T141" s="271" t="s">
        <v>17</v>
      </c>
      <c r="U141" s="266">
        <f t="shared" ref="U141" si="207">AB141*AC141</f>
        <v>179411.27577713999</v>
      </c>
      <c r="V141" s="266">
        <v>0.85</v>
      </c>
      <c r="W141" s="266"/>
      <c r="X141" s="272">
        <v>200</v>
      </c>
      <c r="Y141" s="273">
        <f>O141*X141/1000</f>
        <v>30499.916882113801</v>
      </c>
      <c r="Z141" s="273">
        <f t="shared" si="155"/>
        <v>200</v>
      </c>
      <c r="AA141" s="273">
        <f t="shared" si="205"/>
        <v>20.000000000000004</v>
      </c>
      <c r="AB141" s="274">
        <v>607662</v>
      </c>
      <c r="AC141" s="275">
        <v>0.29524846999999999</v>
      </c>
      <c r="AE141" s="260"/>
      <c r="AF141" s="261">
        <v>0.22</v>
      </c>
      <c r="AG141" s="260"/>
      <c r="AH141" s="562"/>
      <c r="AJ141" s="346">
        <f t="shared" si="201"/>
        <v>50833.194803523002</v>
      </c>
      <c r="AK141" s="346">
        <f t="shared" si="201"/>
        <v>50833.194803523002</v>
      </c>
      <c r="AL141" s="346">
        <f t="shared" si="201"/>
        <v>50833.194803523002</v>
      </c>
      <c r="AN141" s="346">
        <f t="shared" si="202"/>
        <v>508.33194803522991</v>
      </c>
      <c r="AO141" s="346">
        <f t="shared" si="200"/>
        <v>508.33194803522991</v>
      </c>
      <c r="AP141" s="346">
        <f t="shared" si="200"/>
        <v>508.33194803522991</v>
      </c>
    </row>
    <row r="142" spans="2:42" ht="18.649999999999999" customHeight="1" x14ac:dyDescent="0.35">
      <c r="B142" s="277" t="str">
        <f>B139</f>
        <v>Kochi</v>
      </c>
      <c r="C142" s="278"/>
      <c r="D142" s="279" t="s">
        <v>18</v>
      </c>
      <c r="E142" s="280"/>
      <c r="F142" s="279"/>
      <c r="G142" s="280"/>
      <c r="H142" s="280"/>
      <c r="I142" s="281"/>
      <c r="J142" s="546"/>
      <c r="K142" s="283"/>
      <c r="L142" s="284"/>
      <c r="M142" s="284"/>
      <c r="N142" s="284"/>
      <c r="O142" s="284">
        <f>SUM(O135:O141)</f>
        <v>2991922.5703034038</v>
      </c>
      <c r="P142" s="284"/>
      <c r="Q142" s="285">
        <f>R142/O142</f>
        <v>2.3052890293622065E-3</v>
      </c>
      <c r="R142" s="284">
        <f>SUM(R135:R141)</f>
        <v>6897.2462780216119</v>
      </c>
      <c r="S142" s="286"/>
      <c r="T142" s="284">
        <f>SUM(T135:T141)</f>
        <v>2051095.9047543523</v>
      </c>
      <c r="U142" s="284">
        <f>U138+(SUM(U135:U135,U139:U141,U136:U137)*13%)</f>
        <v>490949.30035249016</v>
      </c>
      <c r="V142" s="284">
        <f>O142/U142</f>
        <v>6.0941579266031605</v>
      </c>
      <c r="W142" s="284"/>
      <c r="X142" s="287"/>
      <c r="Y142" s="317">
        <f>SUM(Y135:Y141)</f>
        <v>423144.35946989793</v>
      </c>
      <c r="Z142" s="288">
        <f t="shared" si="155"/>
        <v>141.4289138595548</v>
      </c>
      <c r="AA142" s="288">
        <f t="shared" si="205"/>
        <v>61.349753570242463</v>
      </c>
      <c r="AB142" s="284">
        <f>AB138+(SUM(AB135:AB137,AB139:AB141)*2%)</f>
        <v>750402.26194999996</v>
      </c>
      <c r="AC142" s="289">
        <f>U142/AB142</f>
        <v>0.65424816161495336</v>
      </c>
      <c r="AD142" s="261"/>
      <c r="AE142" s="290"/>
      <c r="AF142" s="261">
        <v>0.67540584838427764</v>
      </c>
      <c r="AG142" s="290"/>
      <c r="AH142" s="460"/>
      <c r="AI142" s="459"/>
    </row>
    <row r="143" spans="2:42" ht="18.649999999999999" customHeight="1" x14ac:dyDescent="0.35">
      <c r="B143" s="322" t="s">
        <v>127</v>
      </c>
      <c r="C143" s="293" t="s">
        <v>93</v>
      </c>
      <c r="D143" s="294" t="s">
        <v>94</v>
      </c>
      <c r="E143" s="294" t="s">
        <v>45</v>
      </c>
      <c r="F143" s="295" t="s">
        <v>87</v>
      </c>
      <c r="G143" s="295" t="s">
        <v>50</v>
      </c>
      <c r="H143" s="296" t="s">
        <v>95</v>
      </c>
      <c r="I143" s="296" t="s">
        <v>572</v>
      </c>
      <c r="J143" s="551" t="s">
        <v>96</v>
      </c>
      <c r="K143" s="295" t="s">
        <v>89</v>
      </c>
      <c r="L143" s="298">
        <f t="shared" ref="L143:L149" si="208">N143-(M143-1)</f>
        <v>21</v>
      </c>
      <c r="M143" s="299">
        <v>45460</v>
      </c>
      <c r="N143" s="299">
        <v>45480</v>
      </c>
      <c r="O143" s="298">
        <f t="shared" ref="O143:O146" si="209">U143*V143</f>
        <v>830626.92253728001</v>
      </c>
      <c r="P143" s="300" t="s">
        <v>17</v>
      </c>
      <c r="Q143" s="301"/>
      <c r="R143" s="298"/>
      <c r="S143" s="302">
        <v>0.85</v>
      </c>
      <c r="T143" s="303">
        <f t="shared" ref="T143:T144" si="210">O143*S143</f>
        <v>706032.884156688</v>
      </c>
      <c r="U143" s="298">
        <f>AB143*AC143</f>
        <v>276875.64084576</v>
      </c>
      <c r="V143" s="298">
        <v>3</v>
      </c>
      <c r="W143" s="298"/>
      <c r="X143" s="304">
        <v>170</v>
      </c>
      <c r="Y143" s="305">
        <f t="shared" ref="Y143:Y148" si="211">(O143/1000)*X143</f>
        <v>141206.57683133762</v>
      </c>
      <c r="Z143" s="305">
        <f t="shared" si="155"/>
        <v>170</v>
      </c>
      <c r="AA143" s="305"/>
      <c r="AB143" s="306">
        <v>322359</v>
      </c>
      <c r="AC143" s="307">
        <v>0.85890464</v>
      </c>
      <c r="AD143" s="261"/>
      <c r="AE143" s="260"/>
      <c r="AF143" s="261">
        <v>0.70400000000000007</v>
      </c>
      <c r="AG143" s="260"/>
      <c r="AJ143" s="346">
        <f t="shared" ref="AJ143:AL159" si="212">$O143/$L143*7</f>
        <v>276875.64084576</v>
      </c>
      <c r="AK143" s="346">
        <f t="shared" si="212"/>
        <v>276875.64084576</v>
      </c>
      <c r="AL143" s="346">
        <f t="shared" si="212"/>
        <v>276875.64084576</v>
      </c>
      <c r="AN143" s="346">
        <f>$R143/$L143*7</f>
        <v>0</v>
      </c>
      <c r="AO143" s="346">
        <f t="shared" ref="AO143:AP149" si="213">$R143/$L143*7</f>
        <v>0</v>
      </c>
      <c r="AP143" s="346">
        <f t="shared" si="213"/>
        <v>0</v>
      </c>
    </row>
    <row r="144" spans="2:42" ht="18.649999999999999" customHeight="1" x14ac:dyDescent="0.35">
      <c r="B144" s="322" t="s">
        <v>127</v>
      </c>
      <c r="C144" s="293" t="s">
        <v>93</v>
      </c>
      <c r="D144" s="295" t="s">
        <v>86</v>
      </c>
      <c r="E144" s="295" t="s">
        <v>45</v>
      </c>
      <c r="F144" s="295" t="s">
        <v>87</v>
      </c>
      <c r="G144" s="296" t="s">
        <v>50</v>
      </c>
      <c r="H144" s="296" t="s">
        <v>95</v>
      </c>
      <c r="I144" s="296" t="s">
        <v>573</v>
      </c>
      <c r="J144" s="551" t="s">
        <v>96</v>
      </c>
      <c r="K144" s="295" t="s">
        <v>89</v>
      </c>
      <c r="L144" s="298">
        <f t="shared" si="208"/>
        <v>21</v>
      </c>
      <c r="M144" s="299">
        <v>45460</v>
      </c>
      <c r="N144" s="299">
        <v>45480</v>
      </c>
      <c r="O144" s="298">
        <f t="shared" si="209"/>
        <v>1405158.8</v>
      </c>
      <c r="P144" s="300" t="s">
        <v>17</v>
      </c>
      <c r="Q144" s="301"/>
      <c r="R144" s="298"/>
      <c r="S144" s="302">
        <v>0.8</v>
      </c>
      <c r="T144" s="303">
        <f t="shared" si="210"/>
        <v>1124127.04</v>
      </c>
      <c r="U144" s="298">
        <f>AB144*AC144</f>
        <v>351289.7</v>
      </c>
      <c r="V144" s="298">
        <v>4</v>
      </c>
      <c r="W144" s="298"/>
      <c r="X144" s="304">
        <v>150</v>
      </c>
      <c r="Y144" s="305">
        <f t="shared" si="211"/>
        <v>210773.82000000004</v>
      </c>
      <c r="Z144" s="305">
        <f t="shared" si="155"/>
        <v>150.00000000000003</v>
      </c>
      <c r="AA144" s="305"/>
      <c r="AB144" s="306">
        <v>413282</v>
      </c>
      <c r="AC144" s="307">
        <v>0.85</v>
      </c>
      <c r="AF144" s="261">
        <v>0.748</v>
      </c>
      <c r="AJ144" s="346">
        <f t="shared" si="212"/>
        <v>468386.2666666666</v>
      </c>
      <c r="AK144" s="346">
        <f t="shared" si="212"/>
        <v>468386.2666666666</v>
      </c>
      <c r="AL144" s="346">
        <f t="shared" si="212"/>
        <v>468386.2666666666</v>
      </c>
      <c r="AN144" s="346">
        <f t="shared" ref="AN144:AN149" si="214">$R144/$L144*7</f>
        <v>0</v>
      </c>
      <c r="AO144" s="346">
        <f t="shared" si="213"/>
        <v>0</v>
      </c>
      <c r="AP144" s="346">
        <f t="shared" si="213"/>
        <v>0</v>
      </c>
    </row>
    <row r="145" spans="2:42" ht="18.649999999999999" customHeight="1" x14ac:dyDescent="0.35">
      <c r="B145" s="322" t="s">
        <v>127</v>
      </c>
      <c r="C145" s="293" t="s">
        <v>97</v>
      </c>
      <c r="D145" s="264" t="s">
        <v>561</v>
      </c>
      <c r="E145" s="264" t="s">
        <v>45</v>
      </c>
      <c r="F145" s="263" t="s">
        <v>87</v>
      </c>
      <c r="G145" s="263" t="s">
        <v>98</v>
      </c>
      <c r="H145" s="265" t="s">
        <v>90</v>
      </c>
      <c r="I145" s="265" t="s">
        <v>574</v>
      </c>
      <c r="J145" s="552" t="s">
        <v>96</v>
      </c>
      <c r="K145" s="263" t="s">
        <v>89</v>
      </c>
      <c r="L145" s="266">
        <f t="shared" si="208"/>
        <v>21</v>
      </c>
      <c r="M145" s="267">
        <v>45460</v>
      </c>
      <c r="N145" s="267">
        <v>45480</v>
      </c>
      <c r="O145" s="266">
        <f t="shared" si="209"/>
        <v>284544.81</v>
      </c>
      <c r="P145" s="268" t="s">
        <v>17</v>
      </c>
      <c r="Q145" s="269">
        <v>1E-3</v>
      </c>
      <c r="R145" s="266">
        <f t="shared" ref="R145:R146" si="215">O145*Q145</f>
        <v>284.54480999999998</v>
      </c>
      <c r="S145" s="270">
        <v>0.8</v>
      </c>
      <c r="T145" s="271">
        <f>O145*S145</f>
        <v>227635.848</v>
      </c>
      <c r="U145" s="266">
        <f t="shared" ref="U145:U146" si="216">AB145*AC145</f>
        <v>284544.81</v>
      </c>
      <c r="V145" s="266">
        <v>1</v>
      </c>
      <c r="W145" s="266"/>
      <c r="X145" s="272">
        <v>70</v>
      </c>
      <c r="Y145" s="273">
        <f t="shared" si="211"/>
        <v>19918.136699999999</v>
      </c>
      <c r="Z145" s="273">
        <f t="shared" si="155"/>
        <v>69.999999999999986</v>
      </c>
      <c r="AA145" s="273">
        <f t="shared" ref="AA145:AA150" si="217">Y145/R145</f>
        <v>70</v>
      </c>
      <c r="AB145" s="274">
        <f>743908*85%</f>
        <v>632321.79999999993</v>
      </c>
      <c r="AC145" s="275">
        <v>0.45</v>
      </c>
      <c r="AE145" s="260"/>
      <c r="AF145" s="261">
        <v>0.41359999999999997</v>
      </c>
      <c r="AG145" s="260"/>
      <c r="AJ145" s="346">
        <f t="shared" si="212"/>
        <v>94848.27</v>
      </c>
      <c r="AK145" s="346">
        <f t="shared" si="212"/>
        <v>94848.27</v>
      </c>
      <c r="AL145" s="346">
        <f t="shared" si="212"/>
        <v>94848.27</v>
      </c>
      <c r="AN145" s="346">
        <f t="shared" si="214"/>
        <v>94.848269999999985</v>
      </c>
      <c r="AO145" s="346">
        <f t="shared" si="213"/>
        <v>94.848269999999985</v>
      </c>
      <c r="AP145" s="346">
        <f t="shared" si="213"/>
        <v>94.848269999999985</v>
      </c>
    </row>
    <row r="146" spans="2:42" ht="18.649999999999999" customHeight="1" x14ac:dyDescent="0.35">
      <c r="B146" s="322" t="s">
        <v>127</v>
      </c>
      <c r="C146" s="293" t="s">
        <v>97</v>
      </c>
      <c r="D146" s="264" t="s">
        <v>86</v>
      </c>
      <c r="E146" s="264" t="s">
        <v>45</v>
      </c>
      <c r="F146" s="263" t="s">
        <v>87</v>
      </c>
      <c r="G146" s="263" t="s">
        <v>98</v>
      </c>
      <c r="H146" s="265" t="s">
        <v>90</v>
      </c>
      <c r="I146" s="265" t="s">
        <v>571</v>
      </c>
      <c r="J146" s="552" t="s">
        <v>96</v>
      </c>
      <c r="K146" s="263" t="s">
        <v>89</v>
      </c>
      <c r="L146" s="266">
        <f t="shared" si="208"/>
        <v>21</v>
      </c>
      <c r="M146" s="267">
        <v>45460</v>
      </c>
      <c r="N146" s="267">
        <v>45480</v>
      </c>
      <c r="O146" s="266">
        <f t="shared" si="209"/>
        <v>334758.60000000003</v>
      </c>
      <c r="P146" s="268" t="s">
        <v>17</v>
      </c>
      <c r="Q146" s="269">
        <v>1E-3</v>
      </c>
      <c r="R146" s="266">
        <f t="shared" si="215"/>
        <v>334.75860000000006</v>
      </c>
      <c r="S146" s="270">
        <v>0.8</v>
      </c>
      <c r="T146" s="271">
        <f>O146*S146</f>
        <v>267806.88000000006</v>
      </c>
      <c r="U146" s="266">
        <f t="shared" si="216"/>
        <v>334758.60000000003</v>
      </c>
      <c r="V146" s="266">
        <v>1</v>
      </c>
      <c r="W146" s="266"/>
      <c r="X146" s="272">
        <v>110</v>
      </c>
      <c r="Y146" s="273">
        <f t="shared" si="211"/>
        <v>36823.446000000004</v>
      </c>
      <c r="Z146" s="273">
        <f t="shared" si="155"/>
        <v>110</v>
      </c>
      <c r="AA146" s="273">
        <f t="shared" si="217"/>
        <v>109.99999999999999</v>
      </c>
      <c r="AB146" s="274">
        <v>743908</v>
      </c>
      <c r="AC146" s="275">
        <v>0.45</v>
      </c>
      <c r="AE146" s="260"/>
      <c r="AF146" s="261">
        <v>0.41359999999999997</v>
      </c>
      <c r="AG146" s="260"/>
      <c r="AJ146" s="346">
        <f t="shared" si="212"/>
        <v>111586.20000000001</v>
      </c>
      <c r="AK146" s="346">
        <f t="shared" si="212"/>
        <v>111586.20000000001</v>
      </c>
      <c r="AL146" s="346">
        <f t="shared" si="212"/>
        <v>111586.20000000001</v>
      </c>
      <c r="AN146" s="346">
        <f t="shared" si="214"/>
        <v>111.58620000000002</v>
      </c>
      <c r="AO146" s="346">
        <f t="shared" si="213"/>
        <v>111.58620000000002</v>
      </c>
      <c r="AP146" s="346">
        <f t="shared" si="213"/>
        <v>111.58620000000002</v>
      </c>
    </row>
    <row r="147" spans="2:42" ht="18.649999999999999" customHeight="1" x14ac:dyDescent="0.35">
      <c r="B147" s="322" t="s">
        <v>127</v>
      </c>
      <c r="C147" s="293" t="s">
        <v>97</v>
      </c>
      <c r="D147" s="263" t="s">
        <v>99</v>
      </c>
      <c r="E147" s="263" t="s">
        <v>46</v>
      </c>
      <c r="F147" s="263" t="s">
        <v>100</v>
      </c>
      <c r="G147" s="263" t="s">
        <v>101</v>
      </c>
      <c r="H147" s="265" t="s">
        <v>88</v>
      </c>
      <c r="I147" s="265" t="s">
        <v>102</v>
      </c>
      <c r="J147" s="553" t="s">
        <v>96</v>
      </c>
      <c r="K147" s="263" t="s">
        <v>89</v>
      </c>
      <c r="L147" s="266">
        <f t="shared" si="208"/>
        <v>21</v>
      </c>
      <c r="M147" s="267">
        <v>45460</v>
      </c>
      <c r="N147" s="267">
        <v>45480</v>
      </c>
      <c r="O147" s="266">
        <f>U147*V147</f>
        <v>137048.93229827192</v>
      </c>
      <c r="P147" s="268" t="s">
        <v>17</v>
      </c>
      <c r="Q147" s="269">
        <v>1.4999999999999999E-2</v>
      </c>
      <c r="R147" s="266">
        <f>O147*Q147</f>
        <v>2055.7339844740786</v>
      </c>
      <c r="S147" s="268" t="s">
        <v>17</v>
      </c>
      <c r="T147" s="271" t="s">
        <v>17</v>
      </c>
      <c r="U147" s="266">
        <f>AB147*AC147</f>
        <v>161234.03799796698</v>
      </c>
      <c r="V147" s="266">
        <v>0.85</v>
      </c>
      <c r="W147" s="266"/>
      <c r="X147" s="272">
        <v>105</v>
      </c>
      <c r="Y147" s="273">
        <f t="shared" si="211"/>
        <v>14390.137891318553</v>
      </c>
      <c r="Z147" s="273">
        <f t="shared" si="155"/>
        <v>105.00000000000001</v>
      </c>
      <c r="AA147" s="273">
        <f t="shared" si="217"/>
        <v>7.0000000000000009</v>
      </c>
      <c r="AB147" s="274">
        <f>AB145*95%</f>
        <v>600705.71</v>
      </c>
      <c r="AC147" s="275">
        <v>0.26840769999999997</v>
      </c>
      <c r="AE147" s="260"/>
      <c r="AF147" s="261">
        <v>0.22</v>
      </c>
      <c r="AG147" s="260"/>
      <c r="AJ147" s="346">
        <f t="shared" si="212"/>
        <v>45682.97743275731</v>
      </c>
      <c r="AK147" s="346">
        <f t="shared" si="212"/>
        <v>45682.97743275731</v>
      </c>
      <c r="AL147" s="346">
        <f t="shared" si="212"/>
        <v>45682.97743275731</v>
      </c>
      <c r="AN147" s="346">
        <f t="shared" si="214"/>
        <v>685.24466149135947</v>
      </c>
      <c r="AO147" s="346">
        <f t="shared" si="213"/>
        <v>685.24466149135947</v>
      </c>
      <c r="AP147" s="346">
        <f t="shared" si="213"/>
        <v>685.24466149135947</v>
      </c>
    </row>
    <row r="148" spans="2:42" ht="18.649999999999999" customHeight="1" x14ac:dyDescent="0.35">
      <c r="B148" s="322" t="str">
        <f>B147</f>
        <v>Lucknow</v>
      </c>
      <c r="C148" s="293" t="s">
        <v>97</v>
      </c>
      <c r="D148" s="310" t="s">
        <v>103</v>
      </c>
      <c r="E148" s="263" t="s">
        <v>46</v>
      </c>
      <c r="F148" s="310" t="s">
        <v>100</v>
      </c>
      <c r="G148" s="263" t="s">
        <v>98</v>
      </c>
      <c r="H148" s="265" t="s">
        <v>88</v>
      </c>
      <c r="I148" s="265" t="s">
        <v>104</v>
      </c>
      <c r="J148" s="553" t="s">
        <v>96</v>
      </c>
      <c r="K148" s="263" t="s">
        <v>105</v>
      </c>
      <c r="L148" s="266">
        <f t="shared" si="208"/>
        <v>21</v>
      </c>
      <c r="M148" s="267">
        <v>45460</v>
      </c>
      <c r="N148" s="267">
        <v>45480</v>
      </c>
      <c r="O148" s="266">
        <f>U148*V148</f>
        <v>162550.94</v>
      </c>
      <c r="P148" s="268" t="s">
        <v>17</v>
      </c>
      <c r="Q148" s="269">
        <v>1.4999999999999999E-2</v>
      </c>
      <c r="R148" s="266">
        <f>O148*Q148</f>
        <v>2438.2640999999999</v>
      </c>
      <c r="S148" s="268" t="s">
        <v>17</v>
      </c>
      <c r="T148" s="271" t="s">
        <v>17</v>
      </c>
      <c r="U148" s="266">
        <f>AB148*AC148</f>
        <v>191236.40000000002</v>
      </c>
      <c r="V148" s="266">
        <v>0.85</v>
      </c>
      <c r="W148" s="266"/>
      <c r="X148" s="272">
        <v>120</v>
      </c>
      <c r="Y148" s="273">
        <f t="shared" si="211"/>
        <v>19506.112799999999</v>
      </c>
      <c r="Z148" s="273">
        <f t="shared" si="155"/>
        <v>120</v>
      </c>
      <c r="AA148" s="273">
        <f t="shared" si="217"/>
        <v>8</v>
      </c>
      <c r="AB148" s="274">
        <v>478091</v>
      </c>
      <c r="AC148" s="275">
        <v>0.4</v>
      </c>
      <c r="AE148" s="260"/>
      <c r="AF148" s="261">
        <v>0.35200000000000004</v>
      </c>
      <c r="AG148" s="260"/>
      <c r="AH148" s="320"/>
      <c r="AJ148" s="346">
        <f t="shared" si="212"/>
        <v>54183.646666666667</v>
      </c>
      <c r="AK148" s="346">
        <f t="shared" si="212"/>
        <v>54183.646666666667</v>
      </c>
      <c r="AL148" s="346">
        <f t="shared" si="212"/>
        <v>54183.646666666667</v>
      </c>
      <c r="AN148" s="346">
        <f t="shared" si="214"/>
        <v>812.75469999999996</v>
      </c>
      <c r="AO148" s="346">
        <f t="shared" si="213"/>
        <v>812.75469999999996</v>
      </c>
      <c r="AP148" s="346">
        <f t="shared" si="213"/>
        <v>812.75469999999996</v>
      </c>
    </row>
    <row r="149" spans="2:42" ht="18.649999999999999" customHeight="1" x14ac:dyDescent="0.35">
      <c r="B149" s="322" t="str">
        <f>B148</f>
        <v>Lucknow</v>
      </c>
      <c r="C149" s="293" t="s">
        <v>97</v>
      </c>
      <c r="D149" s="310" t="s">
        <v>106</v>
      </c>
      <c r="E149" s="311" t="s">
        <v>46</v>
      </c>
      <c r="F149" s="311" t="s">
        <v>91</v>
      </c>
      <c r="G149" s="263" t="s">
        <v>98</v>
      </c>
      <c r="H149" s="310" t="s">
        <v>88</v>
      </c>
      <c r="I149" s="263" t="s">
        <v>107</v>
      </c>
      <c r="J149" s="553" t="s">
        <v>96</v>
      </c>
      <c r="K149" s="263" t="s">
        <v>89</v>
      </c>
      <c r="L149" s="266">
        <f t="shared" si="208"/>
        <v>21</v>
      </c>
      <c r="M149" s="267">
        <v>45460</v>
      </c>
      <c r="N149" s="267">
        <v>45480</v>
      </c>
      <c r="O149" s="266">
        <f>U149*V149</f>
        <v>127180.108993014</v>
      </c>
      <c r="P149" s="268" t="s">
        <v>17</v>
      </c>
      <c r="Q149" s="312">
        <v>0.01</v>
      </c>
      <c r="R149" s="266">
        <f t="shared" ref="R149" si="218">O149*Q149</f>
        <v>1271.8010899301401</v>
      </c>
      <c r="S149" s="268" t="s">
        <v>17</v>
      </c>
      <c r="T149" s="271" t="s">
        <v>17</v>
      </c>
      <c r="U149" s="266">
        <f t="shared" ref="U149" si="219">AB149*AC149</f>
        <v>149623.65763884</v>
      </c>
      <c r="V149" s="266">
        <v>0.85</v>
      </c>
      <c r="W149" s="266"/>
      <c r="X149" s="272">
        <v>200</v>
      </c>
      <c r="Y149" s="273">
        <f>O149*X149/1000</f>
        <v>25436.0217986028</v>
      </c>
      <c r="Z149" s="273">
        <f t="shared" si="155"/>
        <v>200</v>
      </c>
      <c r="AA149" s="273">
        <f t="shared" si="217"/>
        <v>20</v>
      </c>
      <c r="AB149" s="274">
        <v>506772</v>
      </c>
      <c r="AC149" s="275">
        <v>0.29524846999999999</v>
      </c>
      <c r="AE149" s="260"/>
      <c r="AF149" s="261">
        <v>0.22</v>
      </c>
      <c r="AG149" s="260"/>
      <c r="AH149" s="562"/>
      <c r="AJ149" s="346">
        <f t="shared" si="212"/>
        <v>42393.369664337995</v>
      </c>
      <c r="AK149" s="346">
        <f t="shared" si="212"/>
        <v>42393.369664337995</v>
      </c>
      <c r="AL149" s="346">
        <f t="shared" si="212"/>
        <v>42393.369664337995</v>
      </c>
      <c r="AN149" s="346">
        <f t="shared" si="214"/>
        <v>423.93369664338002</v>
      </c>
      <c r="AO149" s="346">
        <f t="shared" si="213"/>
        <v>423.93369664338002</v>
      </c>
      <c r="AP149" s="346">
        <f t="shared" si="213"/>
        <v>423.93369664338002</v>
      </c>
    </row>
    <row r="150" spans="2:42" ht="18.649999999999999" customHeight="1" x14ac:dyDescent="0.35">
      <c r="B150" s="277" t="str">
        <f>B147</f>
        <v>Lucknow</v>
      </c>
      <c r="C150" s="278"/>
      <c r="D150" s="279" t="s">
        <v>18</v>
      </c>
      <c r="E150" s="280"/>
      <c r="F150" s="279"/>
      <c r="G150" s="280"/>
      <c r="H150" s="280"/>
      <c r="I150" s="281"/>
      <c r="J150" s="546"/>
      <c r="K150" s="283"/>
      <c r="L150" s="284"/>
      <c r="M150" s="284"/>
      <c r="N150" s="284"/>
      <c r="O150" s="284">
        <f>SUM(O143:O149)</f>
        <v>3281869.1138285659</v>
      </c>
      <c r="P150" s="284"/>
      <c r="Q150" s="285">
        <f>R150/O150</f>
        <v>1.9455689312836367E-3</v>
      </c>
      <c r="R150" s="284">
        <f>SUM(R143:R149)</f>
        <v>6385.1025844042188</v>
      </c>
      <c r="S150" s="286"/>
      <c r="T150" s="284">
        <f>SUM(T143:T149)</f>
        <v>2325602.6521566883</v>
      </c>
      <c r="U150" s="284">
        <f>U144+(SUM(U143:U143,U147:U149,U145:U146)*13%)</f>
        <v>533065.20904273377</v>
      </c>
      <c r="V150" s="284">
        <f>O150/U150</f>
        <v>6.1565997145491282</v>
      </c>
      <c r="W150" s="284"/>
      <c r="X150" s="287"/>
      <c r="Y150" s="317">
        <f>SUM(Y143:Y149)</f>
        <v>468054.25202125893</v>
      </c>
      <c r="Z150" s="288">
        <f t="shared" si="155"/>
        <v>142.61819584731572</v>
      </c>
      <c r="AA150" s="288">
        <f t="shared" si="217"/>
        <v>73.30410840453743</v>
      </c>
      <c r="AB150" s="284">
        <f>AB146+(SUM(AB143:AB145,AB147:AB149)*2%)</f>
        <v>802978.63020000001</v>
      </c>
      <c r="AC150" s="289">
        <f>U150/AB150</f>
        <v>0.66385977035274502</v>
      </c>
      <c r="AD150" s="261"/>
      <c r="AE150" s="290"/>
      <c r="AF150" s="261">
        <v>0.6673497916969563</v>
      </c>
      <c r="AG150" s="290"/>
      <c r="AH150" s="460"/>
      <c r="AI150" s="459"/>
    </row>
    <row r="151" spans="2:42" ht="18.649999999999999" customHeight="1" x14ac:dyDescent="0.35">
      <c r="B151" s="322" t="s">
        <v>128</v>
      </c>
      <c r="C151" s="293" t="s">
        <v>93</v>
      </c>
      <c r="D151" s="294" t="s">
        <v>94</v>
      </c>
      <c r="E151" s="294" t="s">
        <v>45</v>
      </c>
      <c r="F151" s="295" t="s">
        <v>87</v>
      </c>
      <c r="G151" s="295" t="s">
        <v>50</v>
      </c>
      <c r="H151" s="296" t="s">
        <v>95</v>
      </c>
      <c r="I151" s="296" t="s">
        <v>572</v>
      </c>
      <c r="J151" s="551" t="s">
        <v>96</v>
      </c>
      <c r="K151" s="295" t="s">
        <v>89</v>
      </c>
      <c r="L151" s="298">
        <f t="shared" ref="L151:L157" si="220">N151-(M151-1)</f>
        <v>21</v>
      </c>
      <c r="M151" s="299">
        <v>45460</v>
      </c>
      <c r="N151" s="299">
        <v>45480</v>
      </c>
      <c r="O151" s="298">
        <f t="shared" ref="O151:O154" si="221">U151*V151</f>
        <v>783050.47671840002</v>
      </c>
      <c r="P151" s="300" t="s">
        <v>17</v>
      </c>
      <c r="Q151" s="301"/>
      <c r="R151" s="298"/>
      <c r="S151" s="302">
        <v>0.85</v>
      </c>
      <c r="T151" s="303">
        <f t="shared" ref="T151:T152" si="222">O151*S151</f>
        <v>665592.90521064005</v>
      </c>
      <c r="U151" s="298">
        <f>AB151*AC151</f>
        <v>261016.82557280001</v>
      </c>
      <c r="V151" s="298">
        <v>3</v>
      </c>
      <c r="W151" s="298"/>
      <c r="X151" s="304">
        <v>170</v>
      </c>
      <c r="Y151" s="305">
        <f t="shared" ref="Y151:Y156" si="223">(O151/1000)*X151</f>
        <v>133118.581042128</v>
      </c>
      <c r="Z151" s="305">
        <f t="shared" si="155"/>
        <v>170</v>
      </c>
      <c r="AA151" s="305"/>
      <c r="AB151" s="306">
        <v>303895</v>
      </c>
      <c r="AC151" s="307">
        <v>0.85890464</v>
      </c>
      <c r="AD151" s="261"/>
      <c r="AE151" s="260"/>
      <c r="AF151" s="261">
        <v>0.70400000000000007</v>
      </c>
      <c r="AG151" s="260"/>
      <c r="AJ151" s="346">
        <f t="shared" si="212"/>
        <v>261016.82557280001</v>
      </c>
      <c r="AK151" s="346">
        <f t="shared" si="212"/>
        <v>261016.82557280001</v>
      </c>
      <c r="AL151" s="346">
        <f t="shared" si="212"/>
        <v>261016.82557280001</v>
      </c>
      <c r="AN151" s="346">
        <f>$R151/$L151*7</f>
        <v>0</v>
      </c>
      <c r="AO151" s="346">
        <f t="shared" ref="AO151:AP157" si="224">$R151/$L151*7</f>
        <v>0</v>
      </c>
      <c r="AP151" s="346">
        <f t="shared" si="224"/>
        <v>0</v>
      </c>
    </row>
    <row r="152" spans="2:42" ht="18.649999999999999" customHeight="1" x14ac:dyDescent="0.35">
      <c r="B152" s="322" t="s">
        <v>128</v>
      </c>
      <c r="C152" s="293" t="s">
        <v>93</v>
      </c>
      <c r="D152" s="295" t="s">
        <v>86</v>
      </c>
      <c r="E152" s="295" t="s">
        <v>45</v>
      </c>
      <c r="F152" s="295" t="s">
        <v>87</v>
      </c>
      <c r="G152" s="296" t="s">
        <v>50</v>
      </c>
      <c r="H152" s="296" t="s">
        <v>95</v>
      </c>
      <c r="I152" s="296" t="s">
        <v>573</v>
      </c>
      <c r="J152" s="551" t="s">
        <v>96</v>
      </c>
      <c r="K152" s="295" t="s">
        <v>89</v>
      </c>
      <c r="L152" s="298">
        <f t="shared" si="220"/>
        <v>21</v>
      </c>
      <c r="M152" s="299">
        <v>45460</v>
      </c>
      <c r="N152" s="299">
        <v>45480</v>
      </c>
      <c r="O152" s="298">
        <f t="shared" si="221"/>
        <v>1422210.8063592</v>
      </c>
      <c r="P152" s="300" t="s">
        <v>17</v>
      </c>
      <c r="Q152" s="301"/>
      <c r="R152" s="298"/>
      <c r="S152" s="302">
        <v>0.8</v>
      </c>
      <c r="T152" s="303">
        <f t="shared" si="222"/>
        <v>1137768.6450873602</v>
      </c>
      <c r="U152" s="298">
        <f>AB152*AC152</f>
        <v>355552.70158980001</v>
      </c>
      <c r="V152" s="298">
        <v>4</v>
      </c>
      <c r="W152" s="298"/>
      <c r="X152" s="304">
        <v>150</v>
      </c>
      <c r="Y152" s="305">
        <f t="shared" si="223"/>
        <v>213331.62095387999</v>
      </c>
      <c r="Z152" s="305">
        <f t="shared" si="155"/>
        <v>150</v>
      </c>
      <c r="AA152" s="305"/>
      <c r="AB152" s="306">
        <v>389610</v>
      </c>
      <c r="AC152" s="307">
        <v>0.91258618000000002</v>
      </c>
      <c r="AF152" s="261">
        <v>0.748</v>
      </c>
      <c r="AJ152" s="346">
        <f t="shared" si="212"/>
        <v>474070.26878640003</v>
      </c>
      <c r="AK152" s="346">
        <f t="shared" si="212"/>
        <v>474070.26878640003</v>
      </c>
      <c r="AL152" s="346">
        <f t="shared" si="212"/>
        <v>474070.26878640003</v>
      </c>
      <c r="AN152" s="346">
        <f t="shared" ref="AN152:AN157" si="225">$R152/$L152*7</f>
        <v>0</v>
      </c>
      <c r="AO152" s="346">
        <f t="shared" si="224"/>
        <v>0</v>
      </c>
      <c r="AP152" s="346">
        <f t="shared" si="224"/>
        <v>0</v>
      </c>
    </row>
    <row r="153" spans="2:42" ht="18.649999999999999" customHeight="1" x14ac:dyDescent="0.35">
      <c r="B153" s="322" t="s">
        <v>128</v>
      </c>
      <c r="C153" s="293" t="s">
        <v>97</v>
      </c>
      <c r="D153" s="264" t="s">
        <v>561</v>
      </c>
      <c r="E153" s="264" t="s">
        <v>45</v>
      </c>
      <c r="F153" s="263" t="s">
        <v>87</v>
      </c>
      <c r="G153" s="263" t="s">
        <v>98</v>
      </c>
      <c r="H153" s="265" t="s">
        <v>90</v>
      </c>
      <c r="I153" s="265" t="s">
        <v>574</v>
      </c>
      <c r="J153" s="552" t="s">
        <v>96</v>
      </c>
      <c r="K153" s="263" t="s">
        <v>89</v>
      </c>
      <c r="L153" s="266">
        <f t="shared" si="220"/>
        <v>21</v>
      </c>
      <c r="M153" s="267">
        <v>45460</v>
      </c>
      <c r="N153" s="267">
        <v>45480</v>
      </c>
      <c r="O153" s="266">
        <f t="shared" si="221"/>
        <v>311258.25728399999</v>
      </c>
      <c r="P153" s="268" t="s">
        <v>17</v>
      </c>
      <c r="Q153" s="269">
        <v>1E-3</v>
      </c>
      <c r="R153" s="266">
        <f t="shared" ref="R153:R154" si="226">O153*Q153</f>
        <v>311.25825728400002</v>
      </c>
      <c r="S153" s="270">
        <v>0.8</v>
      </c>
      <c r="T153" s="271">
        <f>O153*S153</f>
        <v>249006.60582719999</v>
      </c>
      <c r="U153" s="266">
        <f t="shared" ref="U153:U154" si="227">AB153*AC153</f>
        <v>311258.25728399999</v>
      </c>
      <c r="V153" s="266">
        <v>1</v>
      </c>
      <c r="W153" s="266"/>
      <c r="X153" s="272">
        <v>70</v>
      </c>
      <c r="Y153" s="273">
        <f t="shared" si="223"/>
        <v>21788.078009879999</v>
      </c>
      <c r="Z153" s="273">
        <f t="shared" si="155"/>
        <v>69.999999999999986</v>
      </c>
      <c r="AA153" s="273">
        <f t="shared" ref="AA153:AA158" si="228">Y153/R153</f>
        <v>69.999999999999986</v>
      </c>
      <c r="AB153" s="274">
        <f>750360*85%</f>
        <v>637806</v>
      </c>
      <c r="AC153" s="275">
        <v>0.488014</v>
      </c>
      <c r="AE153" s="260"/>
      <c r="AF153" s="261">
        <v>0.44</v>
      </c>
      <c r="AG153" s="260"/>
      <c r="AJ153" s="346">
        <f t="shared" si="212"/>
        <v>103752.75242799999</v>
      </c>
      <c r="AK153" s="346">
        <f t="shared" si="212"/>
        <v>103752.75242799999</v>
      </c>
      <c r="AL153" s="346">
        <f t="shared" si="212"/>
        <v>103752.75242799999</v>
      </c>
      <c r="AN153" s="346">
        <f t="shared" si="225"/>
        <v>103.75275242800001</v>
      </c>
      <c r="AO153" s="346">
        <f t="shared" si="224"/>
        <v>103.75275242800001</v>
      </c>
      <c r="AP153" s="346">
        <f t="shared" si="224"/>
        <v>103.75275242800001</v>
      </c>
    </row>
    <row r="154" spans="2:42" ht="18.649999999999999" customHeight="1" x14ac:dyDescent="0.35">
      <c r="B154" s="322" t="s">
        <v>128</v>
      </c>
      <c r="C154" s="293" t="s">
        <v>97</v>
      </c>
      <c r="D154" s="264" t="s">
        <v>86</v>
      </c>
      <c r="E154" s="264" t="s">
        <v>45</v>
      </c>
      <c r="F154" s="263" t="s">
        <v>87</v>
      </c>
      <c r="G154" s="263" t="s">
        <v>98</v>
      </c>
      <c r="H154" s="265" t="s">
        <v>90</v>
      </c>
      <c r="I154" s="265" t="s">
        <v>571</v>
      </c>
      <c r="J154" s="552" t="s">
        <v>96</v>
      </c>
      <c r="K154" s="263" t="s">
        <v>89</v>
      </c>
      <c r="L154" s="266">
        <f t="shared" si="220"/>
        <v>21</v>
      </c>
      <c r="M154" s="267">
        <v>45460</v>
      </c>
      <c r="N154" s="267">
        <v>45480</v>
      </c>
      <c r="O154" s="266">
        <f t="shared" si="221"/>
        <v>337662</v>
      </c>
      <c r="P154" s="268" t="s">
        <v>17</v>
      </c>
      <c r="Q154" s="269">
        <v>1E-3</v>
      </c>
      <c r="R154" s="266">
        <f t="shared" si="226"/>
        <v>337.66200000000003</v>
      </c>
      <c r="S154" s="270">
        <v>0.8</v>
      </c>
      <c r="T154" s="271">
        <f>O154*S154</f>
        <v>270129.60000000003</v>
      </c>
      <c r="U154" s="266">
        <f t="shared" si="227"/>
        <v>337662</v>
      </c>
      <c r="V154" s="266">
        <v>1</v>
      </c>
      <c r="W154" s="266"/>
      <c r="X154" s="272">
        <v>110</v>
      </c>
      <c r="Y154" s="273">
        <f t="shared" si="223"/>
        <v>37142.82</v>
      </c>
      <c r="Z154" s="273">
        <f t="shared" si="155"/>
        <v>110</v>
      </c>
      <c r="AA154" s="273">
        <f t="shared" si="228"/>
        <v>109.99999999999999</v>
      </c>
      <c r="AB154" s="274">
        <v>750360</v>
      </c>
      <c r="AC154" s="275">
        <v>0.45</v>
      </c>
      <c r="AE154" s="260"/>
      <c r="AF154" s="261">
        <v>0.44</v>
      </c>
      <c r="AG154" s="260"/>
      <c r="AJ154" s="346">
        <f t="shared" si="212"/>
        <v>112554</v>
      </c>
      <c r="AK154" s="346">
        <f t="shared" si="212"/>
        <v>112554</v>
      </c>
      <c r="AL154" s="346">
        <f t="shared" si="212"/>
        <v>112554</v>
      </c>
      <c r="AN154" s="346">
        <f t="shared" si="225"/>
        <v>112.55400000000002</v>
      </c>
      <c r="AO154" s="346">
        <f t="shared" si="224"/>
        <v>112.55400000000002</v>
      </c>
      <c r="AP154" s="346">
        <f t="shared" si="224"/>
        <v>112.55400000000002</v>
      </c>
    </row>
    <row r="155" spans="2:42" ht="18.649999999999999" customHeight="1" x14ac:dyDescent="0.35">
      <c r="B155" s="322" t="s">
        <v>128</v>
      </c>
      <c r="C155" s="293" t="s">
        <v>97</v>
      </c>
      <c r="D155" s="263" t="s">
        <v>99</v>
      </c>
      <c r="E155" s="263" t="s">
        <v>46</v>
      </c>
      <c r="F155" s="263" t="s">
        <v>100</v>
      </c>
      <c r="G155" s="263" t="s">
        <v>101</v>
      </c>
      <c r="H155" s="265" t="s">
        <v>88</v>
      </c>
      <c r="I155" s="265" t="s">
        <v>102</v>
      </c>
      <c r="J155" s="553" t="s">
        <v>96</v>
      </c>
      <c r="K155" s="263" t="s">
        <v>89</v>
      </c>
      <c r="L155" s="266">
        <f t="shared" si="220"/>
        <v>21</v>
      </c>
      <c r="M155" s="267">
        <v>45460</v>
      </c>
      <c r="N155" s="267">
        <v>45480</v>
      </c>
      <c r="O155" s="266">
        <f>U155*V155</f>
        <v>138237.57351625647</v>
      </c>
      <c r="P155" s="268" t="s">
        <v>17</v>
      </c>
      <c r="Q155" s="269">
        <v>1.4999999999999999E-2</v>
      </c>
      <c r="R155" s="266">
        <f>O155*Q155</f>
        <v>2073.5636027438468</v>
      </c>
      <c r="S155" s="268" t="s">
        <v>17</v>
      </c>
      <c r="T155" s="271" t="s">
        <v>17</v>
      </c>
      <c r="U155" s="266">
        <f>AB155*AC155</f>
        <v>162632.43943088996</v>
      </c>
      <c r="V155" s="266">
        <v>0.85</v>
      </c>
      <c r="W155" s="266"/>
      <c r="X155" s="272">
        <v>105</v>
      </c>
      <c r="Y155" s="273">
        <f t="shared" si="223"/>
        <v>14514.945219206929</v>
      </c>
      <c r="Z155" s="273">
        <f t="shared" si="155"/>
        <v>105</v>
      </c>
      <c r="AA155" s="273">
        <f t="shared" si="228"/>
        <v>7.0000000000000009</v>
      </c>
      <c r="AB155" s="274">
        <f>AB153*95%</f>
        <v>605915.69999999995</v>
      </c>
      <c r="AC155" s="275">
        <v>0.26840769999999997</v>
      </c>
      <c r="AE155" s="260"/>
      <c r="AF155" s="261">
        <v>0.22</v>
      </c>
      <c r="AG155" s="260"/>
      <c r="AJ155" s="346">
        <f t="shared" si="212"/>
        <v>46079.191172085484</v>
      </c>
      <c r="AK155" s="346">
        <f t="shared" si="212"/>
        <v>46079.191172085484</v>
      </c>
      <c r="AL155" s="346">
        <f t="shared" si="212"/>
        <v>46079.191172085484</v>
      </c>
      <c r="AN155" s="346">
        <f t="shared" si="225"/>
        <v>691.18786758128226</v>
      </c>
      <c r="AO155" s="346">
        <f t="shared" si="224"/>
        <v>691.18786758128226</v>
      </c>
      <c r="AP155" s="346">
        <f t="shared" si="224"/>
        <v>691.18786758128226</v>
      </c>
    </row>
    <row r="156" spans="2:42" ht="18.649999999999999" customHeight="1" x14ac:dyDescent="0.35">
      <c r="B156" s="322" t="str">
        <f>B155</f>
        <v>Patna</v>
      </c>
      <c r="C156" s="293" t="s">
        <v>97</v>
      </c>
      <c r="D156" s="310" t="s">
        <v>103</v>
      </c>
      <c r="E156" s="263" t="s">
        <v>46</v>
      </c>
      <c r="F156" s="310" t="s">
        <v>100</v>
      </c>
      <c r="G156" s="263" t="s">
        <v>98</v>
      </c>
      <c r="H156" s="265" t="s">
        <v>88</v>
      </c>
      <c r="I156" s="265" t="s">
        <v>104</v>
      </c>
      <c r="J156" s="553" t="s">
        <v>96</v>
      </c>
      <c r="K156" s="263" t="s">
        <v>105</v>
      </c>
      <c r="L156" s="266">
        <f t="shared" si="220"/>
        <v>21</v>
      </c>
      <c r="M156" s="267">
        <v>45460</v>
      </c>
      <c r="N156" s="267">
        <v>45480</v>
      </c>
      <c r="O156" s="266">
        <f>U156*V156</f>
        <v>252312.92214981597</v>
      </c>
      <c r="P156" s="268" t="s">
        <v>17</v>
      </c>
      <c r="Q156" s="269">
        <v>1.4999999999999999E-2</v>
      </c>
      <c r="R156" s="266">
        <f>O156*Q156</f>
        <v>3784.6938322472397</v>
      </c>
      <c r="S156" s="268" t="s">
        <v>17</v>
      </c>
      <c r="T156" s="271" t="s">
        <v>17</v>
      </c>
      <c r="U156" s="266">
        <f>AB156*AC156</f>
        <v>296838.73194095999</v>
      </c>
      <c r="V156" s="266">
        <v>0.85</v>
      </c>
      <c r="W156" s="266"/>
      <c r="X156" s="272">
        <v>120</v>
      </c>
      <c r="Y156" s="273">
        <f t="shared" si="223"/>
        <v>30277.550657977914</v>
      </c>
      <c r="Z156" s="273">
        <f t="shared" si="155"/>
        <v>119.99999999999999</v>
      </c>
      <c r="AA156" s="273">
        <f t="shared" si="228"/>
        <v>7.9999999999999991</v>
      </c>
      <c r="AB156" s="274">
        <v>691203</v>
      </c>
      <c r="AC156" s="275">
        <v>0.42945232</v>
      </c>
      <c r="AE156" s="260"/>
      <c r="AF156" s="261">
        <v>0.35200000000000004</v>
      </c>
      <c r="AG156" s="260"/>
      <c r="AH156" s="320"/>
      <c r="AJ156" s="346">
        <f t="shared" si="212"/>
        <v>84104.307383271997</v>
      </c>
      <c r="AK156" s="346">
        <f t="shared" si="212"/>
        <v>84104.307383271997</v>
      </c>
      <c r="AL156" s="346">
        <f t="shared" si="212"/>
        <v>84104.307383271997</v>
      </c>
      <c r="AN156" s="346">
        <f t="shared" si="225"/>
        <v>1261.56461074908</v>
      </c>
      <c r="AO156" s="346">
        <f t="shared" si="224"/>
        <v>1261.56461074908</v>
      </c>
      <c r="AP156" s="346">
        <f t="shared" si="224"/>
        <v>1261.56461074908</v>
      </c>
    </row>
    <row r="157" spans="2:42" ht="18.649999999999999" customHeight="1" x14ac:dyDescent="0.35">
      <c r="B157" s="322" t="str">
        <f>B156</f>
        <v>Patna</v>
      </c>
      <c r="C157" s="293" t="s">
        <v>97</v>
      </c>
      <c r="D157" s="310" t="s">
        <v>106</v>
      </c>
      <c r="E157" s="311" t="s">
        <v>46</v>
      </c>
      <c r="F157" s="311" t="s">
        <v>91</v>
      </c>
      <c r="G157" s="263" t="s">
        <v>98</v>
      </c>
      <c r="H157" s="310" t="s">
        <v>88</v>
      </c>
      <c r="I157" s="263" t="s">
        <v>107</v>
      </c>
      <c r="J157" s="553" t="s">
        <v>96</v>
      </c>
      <c r="K157" s="263" t="s">
        <v>89</v>
      </c>
      <c r="L157" s="266">
        <f t="shared" si="220"/>
        <v>21</v>
      </c>
      <c r="M157" s="267">
        <v>45460</v>
      </c>
      <c r="N157" s="267">
        <v>45480</v>
      </c>
      <c r="O157" s="266">
        <f>U157*V157</f>
        <v>47374.447552013997</v>
      </c>
      <c r="P157" s="268" t="s">
        <v>17</v>
      </c>
      <c r="Q157" s="312">
        <v>0.01</v>
      </c>
      <c r="R157" s="266">
        <f t="shared" ref="R157" si="229">O157*Q157</f>
        <v>473.74447552013999</v>
      </c>
      <c r="S157" s="268" t="s">
        <v>17</v>
      </c>
      <c r="T157" s="271" t="s">
        <v>17</v>
      </c>
      <c r="U157" s="266">
        <f t="shared" ref="U157" si="230">AB157*AC157</f>
        <v>55734.644178839997</v>
      </c>
      <c r="V157" s="266">
        <v>0.85</v>
      </c>
      <c r="W157" s="266"/>
      <c r="X157" s="272">
        <v>200</v>
      </c>
      <c r="Y157" s="273">
        <f>O157*X157/1000</f>
        <v>9474.8895104027979</v>
      </c>
      <c r="Z157" s="273">
        <f t="shared" si="155"/>
        <v>199.99999999999994</v>
      </c>
      <c r="AA157" s="273">
        <f t="shared" si="228"/>
        <v>19.999999999999996</v>
      </c>
      <c r="AB157" s="274">
        <v>188772</v>
      </c>
      <c r="AC157" s="275">
        <v>0.29524846999999999</v>
      </c>
      <c r="AE157" s="260"/>
      <c r="AF157" s="261">
        <v>0.22</v>
      </c>
      <c r="AG157" s="260"/>
      <c r="AH157" s="562"/>
      <c r="AJ157" s="346">
        <f t="shared" si="212"/>
        <v>15791.482517338</v>
      </c>
      <c r="AK157" s="346">
        <f t="shared" si="212"/>
        <v>15791.482517338</v>
      </c>
      <c r="AL157" s="346">
        <f t="shared" si="212"/>
        <v>15791.482517338</v>
      </c>
      <c r="AN157" s="346">
        <f t="shared" si="225"/>
        <v>157.91482517338</v>
      </c>
      <c r="AO157" s="346">
        <f t="shared" si="224"/>
        <v>157.91482517338</v>
      </c>
      <c r="AP157" s="346">
        <f t="shared" si="224"/>
        <v>157.91482517338</v>
      </c>
    </row>
    <row r="158" spans="2:42" ht="18.649999999999999" customHeight="1" x14ac:dyDescent="0.35">
      <c r="B158" s="277" t="str">
        <f>B155</f>
        <v>Patna</v>
      </c>
      <c r="C158" s="278"/>
      <c r="D158" s="279" t="s">
        <v>18</v>
      </c>
      <c r="E158" s="280"/>
      <c r="F158" s="279"/>
      <c r="G158" s="280"/>
      <c r="H158" s="280"/>
      <c r="I158" s="281"/>
      <c r="J158" s="546"/>
      <c r="K158" s="283"/>
      <c r="L158" s="284"/>
      <c r="M158" s="284"/>
      <c r="N158" s="284"/>
      <c r="O158" s="284">
        <f>SUM(O151:O157)</f>
        <v>3292106.4835796868</v>
      </c>
      <c r="P158" s="284"/>
      <c r="Q158" s="285">
        <f>R158/O158</f>
        <v>2.1205031497658271E-3</v>
      </c>
      <c r="R158" s="284">
        <f>SUM(R151:R157)</f>
        <v>6980.9221677952264</v>
      </c>
      <c r="S158" s="286"/>
      <c r="T158" s="284">
        <f>SUM(T151:T157)</f>
        <v>2322497.7561252001</v>
      </c>
      <c r="U158" s="284">
        <f>U154+(SUM(U151:U151,U155:U157,U152:U153)*13%)</f>
        <v>525256.36799964774</v>
      </c>
      <c r="V158" s="284">
        <f>O158/U158</f>
        <v>6.267618412923067</v>
      </c>
      <c r="W158" s="284"/>
      <c r="X158" s="287"/>
      <c r="Y158" s="317">
        <f>SUM(Y151:Y157)</f>
        <v>459648.48539347562</v>
      </c>
      <c r="Z158" s="288">
        <f t="shared" si="155"/>
        <v>139.62139064641519</v>
      </c>
      <c r="AA158" s="288">
        <f t="shared" si="228"/>
        <v>65.843519573094696</v>
      </c>
      <c r="AB158" s="284">
        <f>AB154+(SUM(AB151:AB153,AB155:AB157)*2%)</f>
        <v>806704.03399999999</v>
      </c>
      <c r="AC158" s="289">
        <f>U158/AB158</f>
        <v>0.65111409620104588</v>
      </c>
      <c r="AD158" s="261"/>
      <c r="AE158" s="290"/>
      <c r="AF158" s="261">
        <v>0.62867921353871203</v>
      </c>
      <c r="AG158" s="290"/>
      <c r="AH158" s="460"/>
      <c r="AI158" s="459"/>
    </row>
    <row r="159" spans="2:42" ht="18.649999999999999" customHeight="1" x14ac:dyDescent="0.35">
      <c r="B159" s="322" t="s">
        <v>129</v>
      </c>
      <c r="C159" s="293" t="s">
        <v>93</v>
      </c>
      <c r="D159" s="294" t="s">
        <v>94</v>
      </c>
      <c r="E159" s="294" t="s">
        <v>45</v>
      </c>
      <c r="F159" s="295" t="s">
        <v>87</v>
      </c>
      <c r="G159" s="295" t="s">
        <v>50</v>
      </c>
      <c r="H159" s="296" t="s">
        <v>95</v>
      </c>
      <c r="I159" s="296" t="s">
        <v>572</v>
      </c>
      <c r="J159" s="551" t="s">
        <v>96</v>
      </c>
      <c r="K159" s="295" t="s">
        <v>89</v>
      </c>
      <c r="L159" s="298">
        <f t="shared" ref="L159:L165" si="231">N159-(M159-1)</f>
        <v>21</v>
      </c>
      <c r="M159" s="299">
        <v>45460</v>
      </c>
      <c r="N159" s="299">
        <v>45480</v>
      </c>
      <c r="O159" s="298">
        <f t="shared" ref="O159:O162" si="232">U159*V159</f>
        <v>359206.80401760002</v>
      </c>
      <c r="P159" s="300" t="s">
        <v>17</v>
      </c>
      <c r="Q159" s="301"/>
      <c r="R159" s="298"/>
      <c r="S159" s="302">
        <v>0.85</v>
      </c>
      <c r="T159" s="303">
        <f t="shared" ref="T159:T160" si="233">O159*S159</f>
        <v>305325.78341496002</v>
      </c>
      <c r="U159" s="298">
        <f>AB159*AC159</f>
        <v>119735.6013392</v>
      </c>
      <c r="V159" s="298">
        <v>3</v>
      </c>
      <c r="W159" s="298"/>
      <c r="X159" s="304">
        <v>170</v>
      </c>
      <c r="Y159" s="305">
        <f t="shared" ref="Y159:Y164" si="234">(O159/1000)*X159</f>
        <v>61065.156682992005</v>
      </c>
      <c r="Z159" s="305">
        <f t="shared" si="155"/>
        <v>170</v>
      </c>
      <c r="AA159" s="305"/>
      <c r="AB159" s="306">
        <v>139405</v>
      </c>
      <c r="AC159" s="307">
        <v>0.85890464</v>
      </c>
      <c r="AD159" s="261"/>
      <c r="AE159" s="260"/>
      <c r="AF159" s="261">
        <v>0.70400000000000007</v>
      </c>
      <c r="AG159" s="260"/>
      <c r="AJ159" s="346">
        <f t="shared" si="212"/>
        <v>119735.6013392</v>
      </c>
      <c r="AK159" s="346">
        <f t="shared" si="212"/>
        <v>119735.6013392</v>
      </c>
      <c r="AL159" s="346">
        <f t="shared" si="212"/>
        <v>119735.6013392</v>
      </c>
      <c r="AN159" s="346">
        <f>$R159/$L159*7</f>
        <v>0</v>
      </c>
      <c r="AO159" s="346">
        <f t="shared" ref="AO159:AP165" si="235">$R159/$L159*7</f>
        <v>0</v>
      </c>
      <c r="AP159" s="346">
        <f t="shared" si="235"/>
        <v>0</v>
      </c>
    </row>
    <row r="160" spans="2:42" ht="18.649999999999999" customHeight="1" x14ac:dyDescent="0.35">
      <c r="B160" s="322" t="s">
        <v>129</v>
      </c>
      <c r="C160" s="293" t="s">
        <v>93</v>
      </c>
      <c r="D160" s="295" t="s">
        <v>86</v>
      </c>
      <c r="E160" s="295" t="s">
        <v>45</v>
      </c>
      <c r="F160" s="295" t="s">
        <v>87</v>
      </c>
      <c r="G160" s="296" t="s">
        <v>50</v>
      </c>
      <c r="H160" s="296" t="s">
        <v>95</v>
      </c>
      <c r="I160" s="296" t="s">
        <v>573</v>
      </c>
      <c r="J160" s="551" t="s">
        <v>96</v>
      </c>
      <c r="K160" s="295" t="s">
        <v>89</v>
      </c>
      <c r="L160" s="298">
        <f t="shared" si="231"/>
        <v>21</v>
      </c>
      <c r="M160" s="299">
        <v>45460</v>
      </c>
      <c r="N160" s="299">
        <v>45480</v>
      </c>
      <c r="O160" s="298">
        <f t="shared" si="232"/>
        <v>3719628.2627856</v>
      </c>
      <c r="P160" s="300" t="s">
        <v>17</v>
      </c>
      <c r="Q160" s="301"/>
      <c r="R160" s="298"/>
      <c r="S160" s="302">
        <v>0.8</v>
      </c>
      <c r="T160" s="303">
        <f t="shared" si="233"/>
        <v>2975702.6102284803</v>
      </c>
      <c r="U160" s="298">
        <f>AB160*AC160</f>
        <v>929907.06569640001</v>
      </c>
      <c r="V160" s="298">
        <v>4</v>
      </c>
      <c r="W160" s="298"/>
      <c r="X160" s="304">
        <v>150</v>
      </c>
      <c r="Y160" s="305">
        <f t="shared" si="234"/>
        <v>557944.23941784003</v>
      </c>
      <c r="Z160" s="305">
        <f t="shared" si="155"/>
        <v>150</v>
      </c>
      <c r="AA160" s="305"/>
      <c r="AB160" s="306">
        <v>1018980</v>
      </c>
      <c r="AC160" s="307">
        <v>0.91258618000000002</v>
      </c>
      <c r="AF160" s="261">
        <v>0.748</v>
      </c>
      <c r="AJ160" s="346">
        <f t="shared" ref="AJ160:AL165" si="236">$O160/$L160*7</f>
        <v>1239876.0875952002</v>
      </c>
      <c r="AK160" s="346">
        <f t="shared" si="236"/>
        <v>1239876.0875952002</v>
      </c>
      <c r="AL160" s="346">
        <f t="shared" si="236"/>
        <v>1239876.0875952002</v>
      </c>
      <c r="AN160" s="346">
        <f t="shared" ref="AN160:AN165" si="237">$R160/$L160*7</f>
        <v>0</v>
      </c>
      <c r="AO160" s="346">
        <f t="shared" si="235"/>
        <v>0</v>
      </c>
      <c r="AP160" s="346">
        <f t="shared" si="235"/>
        <v>0</v>
      </c>
    </row>
    <row r="161" spans="2:42" ht="18.649999999999999" customHeight="1" x14ac:dyDescent="0.35">
      <c r="B161" s="322" t="s">
        <v>129</v>
      </c>
      <c r="C161" s="293" t="s">
        <v>97</v>
      </c>
      <c r="D161" s="264" t="s">
        <v>561</v>
      </c>
      <c r="E161" s="264" t="s">
        <v>45</v>
      </c>
      <c r="F161" s="263" t="s">
        <v>87</v>
      </c>
      <c r="G161" s="263" t="s">
        <v>98</v>
      </c>
      <c r="H161" s="265" t="s">
        <v>90</v>
      </c>
      <c r="I161" s="265" t="s">
        <v>574</v>
      </c>
      <c r="J161" s="552" t="s">
        <v>96</v>
      </c>
      <c r="K161" s="263" t="s">
        <v>89</v>
      </c>
      <c r="L161" s="266">
        <f t="shared" si="231"/>
        <v>21</v>
      </c>
      <c r="M161" s="267">
        <v>45460</v>
      </c>
      <c r="N161" s="267">
        <v>45480</v>
      </c>
      <c r="O161" s="266">
        <f t="shared" si="232"/>
        <v>779519.70000000007</v>
      </c>
      <c r="P161" s="268" t="s">
        <v>17</v>
      </c>
      <c r="Q161" s="269">
        <v>1E-3</v>
      </c>
      <c r="R161" s="266">
        <f t="shared" ref="R161:R162" si="238">O161*Q161</f>
        <v>779.51970000000006</v>
      </c>
      <c r="S161" s="270">
        <v>0.8</v>
      </c>
      <c r="T161" s="271">
        <f>O161*S161</f>
        <v>623615.76000000013</v>
      </c>
      <c r="U161" s="266">
        <f t="shared" ref="U161:U162" si="239">AB161*AC161</f>
        <v>779519.70000000007</v>
      </c>
      <c r="V161" s="266">
        <v>1</v>
      </c>
      <c r="W161" s="266"/>
      <c r="X161" s="272">
        <v>70</v>
      </c>
      <c r="Y161" s="273">
        <f t="shared" si="234"/>
        <v>54566.379000000001</v>
      </c>
      <c r="Z161" s="273">
        <f t="shared" si="155"/>
        <v>69.999999999999986</v>
      </c>
      <c r="AA161" s="273">
        <f t="shared" ref="AA161:AA166" si="240">Y161/R161</f>
        <v>70</v>
      </c>
      <c r="AB161" s="274">
        <f>2037960*85%</f>
        <v>1732266</v>
      </c>
      <c r="AC161" s="275">
        <v>0.45</v>
      </c>
      <c r="AE161" s="260"/>
      <c r="AF161" s="261">
        <v>0.39600000000000002</v>
      </c>
      <c r="AG161" s="260"/>
      <c r="AJ161" s="346">
        <f t="shared" si="236"/>
        <v>259839.9</v>
      </c>
      <c r="AK161" s="346">
        <f t="shared" si="236"/>
        <v>259839.9</v>
      </c>
      <c r="AL161" s="346">
        <f t="shared" si="236"/>
        <v>259839.9</v>
      </c>
      <c r="AN161" s="346">
        <f t="shared" si="237"/>
        <v>259.83990000000006</v>
      </c>
      <c r="AO161" s="346">
        <f t="shared" si="235"/>
        <v>259.83990000000006</v>
      </c>
      <c r="AP161" s="346">
        <f t="shared" si="235"/>
        <v>259.83990000000006</v>
      </c>
    </row>
    <row r="162" spans="2:42" ht="18.649999999999999" customHeight="1" x14ac:dyDescent="0.35">
      <c r="B162" s="322" t="s">
        <v>129</v>
      </c>
      <c r="C162" s="293" t="s">
        <v>97</v>
      </c>
      <c r="D162" s="264" t="s">
        <v>86</v>
      </c>
      <c r="E162" s="264" t="s">
        <v>45</v>
      </c>
      <c r="F162" s="263" t="s">
        <v>87</v>
      </c>
      <c r="G162" s="263" t="s">
        <v>98</v>
      </c>
      <c r="H162" s="265" t="s">
        <v>90</v>
      </c>
      <c r="I162" s="265" t="s">
        <v>571</v>
      </c>
      <c r="J162" s="552" t="s">
        <v>96</v>
      </c>
      <c r="K162" s="263" t="s">
        <v>89</v>
      </c>
      <c r="L162" s="266">
        <f t="shared" si="231"/>
        <v>21</v>
      </c>
      <c r="M162" s="267">
        <v>45460</v>
      </c>
      <c r="N162" s="267">
        <v>45480</v>
      </c>
      <c r="O162" s="266">
        <f t="shared" si="232"/>
        <v>815184</v>
      </c>
      <c r="P162" s="268" t="s">
        <v>17</v>
      </c>
      <c r="Q162" s="269">
        <v>1E-3</v>
      </c>
      <c r="R162" s="266">
        <f t="shared" si="238"/>
        <v>815.18399999999997</v>
      </c>
      <c r="S162" s="270">
        <v>0.8</v>
      </c>
      <c r="T162" s="271">
        <f>O162*S162</f>
        <v>652147.20000000007</v>
      </c>
      <c r="U162" s="266">
        <f t="shared" si="239"/>
        <v>815184</v>
      </c>
      <c r="V162" s="266">
        <v>1</v>
      </c>
      <c r="W162" s="266"/>
      <c r="X162" s="272">
        <v>110</v>
      </c>
      <c r="Y162" s="273">
        <f t="shared" si="234"/>
        <v>89670.239999999991</v>
      </c>
      <c r="Z162" s="273">
        <f t="shared" si="155"/>
        <v>109.99999999999999</v>
      </c>
      <c r="AA162" s="273">
        <f t="shared" si="240"/>
        <v>109.99999999999999</v>
      </c>
      <c r="AB162" s="274">
        <v>2037960</v>
      </c>
      <c r="AC162" s="275">
        <v>0.4</v>
      </c>
      <c r="AE162" s="260"/>
      <c r="AF162" s="261">
        <v>0.39600000000000002</v>
      </c>
      <c r="AG162" s="260"/>
      <c r="AJ162" s="346">
        <f t="shared" si="236"/>
        <v>271728</v>
      </c>
      <c r="AK162" s="346">
        <f t="shared" si="236"/>
        <v>271728</v>
      </c>
      <c r="AL162" s="346">
        <f t="shared" si="236"/>
        <v>271728</v>
      </c>
      <c r="AN162" s="346">
        <f t="shared" si="237"/>
        <v>271.72800000000001</v>
      </c>
      <c r="AO162" s="346">
        <f t="shared" si="235"/>
        <v>271.72800000000001</v>
      </c>
      <c r="AP162" s="346">
        <f t="shared" si="235"/>
        <v>271.72800000000001</v>
      </c>
    </row>
    <row r="163" spans="2:42" ht="18.649999999999999" customHeight="1" x14ac:dyDescent="0.35">
      <c r="B163" s="322" t="s">
        <v>129</v>
      </c>
      <c r="C163" s="293" t="s">
        <v>97</v>
      </c>
      <c r="D163" s="263" t="s">
        <v>99</v>
      </c>
      <c r="E163" s="263" t="s">
        <v>46</v>
      </c>
      <c r="F163" s="263" t="s">
        <v>100</v>
      </c>
      <c r="G163" s="263" t="s">
        <v>101</v>
      </c>
      <c r="H163" s="265" t="s">
        <v>88</v>
      </c>
      <c r="I163" s="265" t="s">
        <v>102</v>
      </c>
      <c r="J163" s="553" t="s">
        <v>96</v>
      </c>
      <c r="K163" s="263" t="s">
        <v>89</v>
      </c>
      <c r="L163" s="266">
        <f t="shared" si="231"/>
        <v>21</v>
      </c>
      <c r="M163" s="267">
        <v>45460</v>
      </c>
      <c r="N163" s="267">
        <v>45480</v>
      </c>
      <c r="O163" s="266">
        <f>U163*V163</f>
        <v>375449.97777492146</v>
      </c>
      <c r="P163" s="268" t="s">
        <v>17</v>
      </c>
      <c r="Q163" s="269">
        <v>1.4999999999999999E-2</v>
      </c>
      <c r="R163" s="266">
        <f>O163*Q163</f>
        <v>5631.7496666238212</v>
      </c>
      <c r="S163" s="268" t="s">
        <v>17</v>
      </c>
      <c r="T163" s="271" t="s">
        <v>17</v>
      </c>
      <c r="U163" s="266">
        <f>AB163*AC163</f>
        <v>441705.85620578995</v>
      </c>
      <c r="V163" s="266">
        <v>0.85</v>
      </c>
      <c r="W163" s="266"/>
      <c r="X163" s="272">
        <v>105</v>
      </c>
      <c r="Y163" s="273">
        <f t="shared" si="234"/>
        <v>39422.247666366755</v>
      </c>
      <c r="Z163" s="273">
        <f t="shared" si="155"/>
        <v>105.00000000000001</v>
      </c>
      <c r="AA163" s="273">
        <f t="shared" si="240"/>
        <v>7.0000000000000009</v>
      </c>
      <c r="AB163" s="274">
        <f>AB161*95%</f>
        <v>1645652.7</v>
      </c>
      <c r="AC163" s="275">
        <v>0.26840769999999997</v>
      </c>
      <c r="AE163" s="260"/>
      <c r="AF163" s="261">
        <v>0.22</v>
      </c>
      <c r="AG163" s="260"/>
      <c r="AJ163" s="346">
        <f t="shared" si="236"/>
        <v>125149.99259164049</v>
      </c>
      <c r="AK163" s="346">
        <f t="shared" si="236"/>
        <v>125149.99259164049</v>
      </c>
      <c r="AL163" s="346">
        <f t="shared" si="236"/>
        <v>125149.99259164049</v>
      </c>
      <c r="AN163" s="346">
        <f t="shared" si="237"/>
        <v>1877.2498888746072</v>
      </c>
      <c r="AO163" s="346">
        <f t="shared" si="235"/>
        <v>1877.2498888746072</v>
      </c>
      <c r="AP163" s="346">
        <f t="shared" si="235"/>
        <v>1877.2498888746072</v>
      </c>
    </row>
    <row r="164" spans="2:42" ht="18.649999999999999" customHeight="1" x14ac:dyDescent="0.35">
      <c r="B164" s="322" t="str">
        <f>B163</f>
        <v>Surat</v>
      </c>
      <c r="C164" s="293" t="s">
        <v>97</v>
      </c>
      <c r="D164" s="310" t="s">
        <v>103</v>
      </c>
      <c r="E164" s="263" t="s">
        <v>46</v>
      </c>
      <c r="F164" s="310" t="s">
        <v>100</v>
      </c>
      <c r="G164" s="263" t="s">
        <v>98</v>
      </c>
      <c r="H164" s="265" t="s">
        <v>88</v>
      </c>
      <c r="I164" s="265" t="s">
        <v>104</v>
      </c>
      <c r="J164" s="553" t="s">
        <v>96</v>
      </c>
      <c r="K164" s="263" t="s">
        <v>105</v>
      </c>
      <c r="L164" s="266">
        <f t="shared" si="231"/>
        <v>21</v>
      </c>
      <c r="M164" s="267">
        <v>45460</v>
      </c>
      <c r="N164" s="267">
        <v>45480</v>
      </c>
      <c r="O164" s="266">
        <f>U164*V164</f>
        <v>329907.93482838396</v>
      </c>
      <c r="P164" s="268" t="s">
        <v>17</v>
      </c>
      <c r="Q164" s="269">
        <v>1.4999999999999999E-2</v>
      </c>
      <c r="R164" s="266">
        <f>O164*Q164</f>
        <v>4948.6190224257589</v>
      </c>
      <c r="S164" s="268" t="s">
        <v>17</v>
      </c>
      <c r="T164" s="271" t="s">
        <v>17</v>
      </c>
      <c r="U164" s="266">
        <f>AB164*AC164</f>
        <v>388126.98215103999</v>
      </c>
      <c r="V164" s="266">
        <v>0.85</v>
      </c>
      <c r="W164" s="266"/>
      <c r="X164" s="272">
        <v>120</v>
      </c>
      <c r="Y164" s="273">
        <f t="shared" si="234"/>
        <v>39588.952179406078</v>
      </c>
      <c r="Z164" s="273">
        <f t="shared" si="155"/>
        <v>120.00000000000001</v>
      </c>
      <c r="AA164" s="273">
        <f t="shared" si="240"/>
        <v>8.0000000000000018</v>
      </c>
      <c r="AB164" s="274">
        <v>903772</v>
      </c>
      <c r="AC164" s="275">
        <v>0.42945232</v>
      </c>
      <c r="AE164" s="260"/>
      <c r="AF164" s="261">
        <v>0.35200000000000004</v>
      </c>
      <c r="AG164" s="260"/>
      <c r="AH164" s="320"/>
      <c r="AJ164" s="346">
        <f t="shared" si="236"/>
        <v>109969.31160946132</v>
      </c>
      <c r="AK164" s="346">
        <f t="shared" si="236"/>
        <v>109969.31160946132</v>
      </c>
      <c r="AL164" s="346">
        <f t="shared" si="236"/>
        <v>109969.31160946132</v>
      </c>
      <c r="AN164" s="346">
        <f t="shared" si="237"/>
        <v>1649.5396741419197</v>
      </c>
      <c r="AO164" s="346">
        <f t="shared" si="235"/>
        <v>1649.5396741419197</v>
      </c>
      <c r="AP164" s="346">
        <f t="shared" si="235"/>
        <v>1649.5396741419197</v>
      </c>
    </row>
    <row r="165" spans="2:42" ht="18.649999999999999" customHeight="1" x14ac:dyDescent="0.35">
      <c r="B165" s="322" t="str">
        <f>B164</f>
        <v>Surat</v>
      </c>
      <c r="C165" s="293" t="s">
        <v>97</v>
      </c>
      <c r="D165" s="310" t="s">
        <v>106</v>
      </c>
      <c r="E165" s="311" t="s">
        <v>46</v>
      </c>
      <c r="F165" s="311" t="s">
        <v>91</v>
      </c>
      <c r="G165" s="263" t="s">
        <v>98</v>
      </c>
      <c r="H165" s="310" t="s">
        <v>88</v>
      </c>
      <c r="I165" s="263" t="s">
        <v>107</v>
      </c>
      <c r="J165" s="553" t="s">
        <v>96</v>
      </c>
      <c r="K165" s="263" t="s">
        <v>89</v>
      </c>
      <c r="L165" s="266">
        <f t="shared" si="231"/>
        <v>21</v>
      </c>
      <c r="M165" s="267">
        <v>45460</v>
      </c>
      <c r="N165" s="267">
        <v>45480</v>
      </c>
      <c r="O165" s="266">
        <f>U165*V165</f>
        <v>295448.08749056701</v>
      </c>
      <c r="P165" s="268" t="s">
        <v>17</v>
      </c>
      <c r="Q165" s="312">
        <v>0.01</v>
      </c>
      <c r="R165" s="266">
        <f t="shared" ref="R165" si="241">O165*Q165</f>
        <v>2954.4808749056701</v>
      </c>
      <c r="S165" s="268" t="s">
        <v>17</v>
      </c>
      <c r="T165" s="271" t="s">
        <v>17</v>
      </c>
      <c r="U165" s="266">
        <f t="shared" ref="U165" si="242">AB165*AC165</f>
        <v>347585.98528302001</v>
      </c>
      <c r="V165" s="266">
        <v>0.85</v>
      </c>
      <c r="W165" s="266"/>
      <c r="X165" s="272">
        <v>200</v>
      </c>
      <c r="Y165" s="273">
        <f>O165*X165/1000</f>
        <v>59089.617498113403</v>
      </c>
      <c r="Z165" s="273">
        <f t="shared" si="155"/>
        <v>200</v>
      </c>
      <c r="AA165" s="273">
        <f t="shared" si="240"/>
        <v>20</v>
      </c>
      <c r="AB165" s="274">
        <v>1177266</v>
      </c>
      <c r="AC165" s="275">
        <v>0.29524846999999999</v>
      </c>
      <c r="AE165" s="260"/>
      <c r="AF165" s="261">
        <v>0.22</v>
      </c>
      <c r="AG165" s="260"/>
      <c r="AH165" s="562"/>
      <c r="AJ165" s="346">
        <f t="shared" si="236"/>
        <v>98482.695830188997</v>
      </c>
      <c r="AK165" s="346">
        <f t="shared" si="236"/>
        <v>98482.695830188997</v>
      </c>
      <c r="AL165" s="346">
        <f t="shared" si="236"/>
        <v>98482.695830188997</v>
      </c>
      <c r="AN165" s="346">
        <f t="shared" si="237"/>
        <v>984.82695830189004</v>
      </c>
      <c r="AO165" s="346">
        <f t="shared" si="235"/>
        <v>984.82695830189004</v>
      </c>
      <c r="AP165" s="346">
        <f t="shared" si="235"/>
        <v>984.82695830189004</v>
      </c>
    </row>
    <row r="166" spans="2:42" ht="18.649999999999999" customHeight="1" x14ac:dyDescent="0.35">
      <c r="B166" s="277" t="str">
        <f>B163</f>
        <v>Surat</v>
      </c>
      <c r="C166" s="278"/>
      <c r="D166" s="279" t="s">
        <v>18</v>
      </c>
      <c r="E166" s="280"/>
      <c r="F166" s="279"/>
      <c r="G166" s="280"/>
      <c r="H166" s="280"/>
      <c r="I166" s="281"/>
      <c r="J166" s="546"/>
      <c r="K166" s="283"/>
      <c r="L166" s="284"/>
      <c r="M166" s="284"/>
      <c r="N166" s="284"/>
      <c r="O166" s="284">
        <f>SUM(O159:O165)</f>
        <v>6674344.766897073</v>
      </c>
      <c r="P166" s="284"/>
      <c r="Q166" s="285">
        <f>R166/O166</f>
        <v>2.2668222563200064E-3</v>
      </c>
      <c r="R166" s="284">
        <f>SUM(R159:R165)</f>
        <v>15129.553263955249</v>
      </c>
      <c r="S166" s="286"/>
      <c r="T166" s="284">
        <f>SUM(T159:T165)</f>
        <v>4556791.3536434406</v>
      </c>
      <c r="U166" s="284">
        <f>U162+(SUM(U159:U161,U163:U165)*20%)</f>
        <v>1416500.2381350901</v>
      </c>
      <c r="V166" s="284">
        <f>O166/U166</f>
        <v>4.7118557323253683</v>
      </c>
      <c r="W166" s="284"/>
      <c r="X166" s="287"/>
      <c r="Y166" s="317">
        <f>SUM(Y159:Y165)</f>
        <v>901346.83244471822</v>
      </c>
      <c r="Z166" s="288">
        <f t="shared" si="155"/>
        <v>135.04648979404723</v>
      </c>
      <c r="AA166" s="288">
        <f t="shared" si="240"/>
        <v>59.575244339308618</v>
      </c>
      <c r="AB166" s="284">
        <f>AB162+(SUM(AB159:AB161,AB163:AB165)*2%)</f>
        <v>2170306.8339999998</v>
      </c>
      <c r="AC166" s="289">
        <f>U166/AB166</f>
        <v>0.65267279996736638</v>
      </c>
      <c r="AD166" s="261"/>
      <c r="AE166" s="290"/>
      <c r="AF166" s="261">
        <v>0.63957217681567957</v>
      </c>
      <c r="AG166" s="290"/>
      <c r="AH166" s="460"/>
      <c r="AI166" s="459"/>
    </row>
    <row r="167" spans="2:42" ht="18.649999999999999" customHeight="1" x14ac:dyDescent="0.35">
      <c r="B167" s="322" t="s">
        <v>130</v>
      </c>
      <c r="C167" s="293" t="s">
        <v>93</v>
      </c>
      <c r="D167" s="294" t="s">
        <v>94</v>
      </c>
      <c r="E167" s="294" t="s">
        <v>45</v>
      </c>
      <c r="F167" s="295" t="s">
        <v>87</v>
      </c>
      <c r="G167" s="295" t="s">
        <v>50</v>
      </c>
      <c r="H167" s="296" t="s">
        <v>95</v>
      </c>
      <c r="I167" s="296" t="s">
        <v>572</v>
      </c>
      <c r="J167" s="551" t="s">
        <v>96</v>
      </c>
      <c r="K167" s="295" t="s">
        <v>89</v>
      </c>
      <c r="L167" s="298">
        <f t="shared" ref="L167:L173" si="243">N167-(M167-1)</f>
        <v>21</v>
      </c>
      <c r="M167" s="299">
        <v>45460</v>
      </c>
      <c r="N167" s="299">
        <v>45480</v>
      </c>
      <c r="O167" s="298">
        <f t="shared" ref="O167:O170" si="244">U167*V167</f>
        <v>244311.13032480003</v>
      </c>
      <c r="P167" s="300" t="s">
        <v>17</v>
      </c>
      <c r="Q167" s="301"/>
      <c r="R167" s="298"/>
      <c r="S167" s="302">
        <v>0.85</v>
      </c>
      <c r="T167" s="303">
        <f t="shared" ref="T167:T168" si="245">O167*S167</f>
        <v>207664.46077608003</v>
      </c>
      <c r="U167" s="298">
        <f>AB167*AC167</f>
        <v>81437.043441600006</v>
      </c>
      <c r="V167" s="298">
        <v>3</v>
      </c>
      <c r="W167" s="298"/>
      <c r="X167" s="304">
        <v>170</v>
      </c>
      <c r="Y167" s="305">
        <f t="shared" ref="Y167:Y172" si="246">(O167/1000)*X167</f>
        <v>41532.89215521601</v>
      </c>
      <c r="Z167" s="305">
        <f t="shared" si="155"/>
        <v>170</v>
      </c>
      <c r="AA167" s="305"/>
      <c r="AB167" s="306">
        <v>94815</v>
      </c>
      <c r="AC167" s="307">
        <v>0.85890464</v>
      </c>
      <c r="AD167" s="261"/>
      <c r="AE167" s="260"/>
      <c r="AF167" s="261">
        <v>0.70400000000000007</v>
      </c>
      <c r="AG167" s="260"/>
      <c r="AJ167" s="346">
        <f t="shared" ref="AJ167:AL182" si="247">$O167/$L167*7</f>
        <v>81437.043441600006</v>
      </c>
      <c r="AK167" s="346">
        <f t="shared" si="247"/>
        <v>81437.043441600006</v>
      </c>
      <c r="AL167" s="346">
        <f t="shared" si="247"/>
        <v>81437.043441600006</v>
      </c>
      <c r="AN167" s="346">
        <f>$R167/$L167*7</f>
        <v>0</v>
      </c>
      <c r="AO167" s="346">
        <f t="shared" ref="AO167:AP173" si="248">$R167/$L167*7</f>
        <v>0</v>
      </c>
      <c r="AP167" s="346">
        <f t="shared" si="248"/>
        <v>0</v>
      </c>
    </row>
    <row r="168" spans="2:42" ht="18.649999999999999" customHeight="1" x14ac:dyDescent="0.35">
      <c r="B168" s="322" t="s">
        <v>130</v>
      </c>
      <c r="C168" s="293" t="s">
        <v>93</v>
      </c>
      <c r="D168" s="295" t="s">
        <v>86</v>
      </c>
      <c r="E168" s="295" t="s">
        <v>45</v>
      </c>
      <c r="F168" s="295" t="s">
        <v>87</v>
      </c>
      <c r="G168" s="296" t="s">
        <v>50</v>
      </c>
      <c r="H168" s="296" t="s">
        <v>95</v>
      </c>
      <c r="I168" s="296" t="s">
        <v>573</v>
      </c>
      <c r="J168" s="551" t="s">
        <v>96</v>
      </c>
      <c r="K168" s="295" t="s">
        <v>89</v>
      </c>
      <c r="L168" s="298">
        <f t="shared" si="243"/>
        <v>21</v>
      </c>
      <c r="M168" s="299">
        <v>45460</v>
      </c>
      <c r="N168" s="299">
        <v>45480</v>
      </c>
      <c r="O168" s="298">
        <f t="shared" si="244"/>
        <v>1460422.61488816</v>
      </c>
      <c r="P168" s="300" t="s">
        <v>17</v>
      </c>
      <c r="Q168" s="301"/>
      <c r="R168" s="298"/>
      <c r="S168" s="302">
        <v>0.8</v>
      </c>
      <c r="T168" s="303">
        <f t="shared" si="245"/>
        <v>1168338.091910528</v>
      </c>
      <c r="U168" s="298">
        <f>AB168*AC168</f>
        <v>365105.65372204001</v>
      </c>
      <c r="V168" s="298">
        <v>4</v>
      </c>
      <c r="W168" s="298"/>
      <c r="X168" s="304">
        <v>150</v>
      </c>
      <c r="Y168" s="305">
        <f t="shared" si="246"/>
        <v>219063.392233224</v>
      </c>
      <c r="Z168" s="305">
        <f t="shared" si="155"/>
        <v>150</v>
      </c>
      <c r="AA168" s="305"/>
      <c r="AB168" s="306">
        <v>400078</v>
      </c>
      <c r="AC168" s="307">
        <v>0.91258618000000002</v>
      </c>
      <c r="AF168" s="261">
        <v>0.748</v>
      </c>
      <c r="AJ168" s="346">
        <f t="shared" si="247"/>
        <v>486807.5382960533</v>
      </c>
      <c r="AK168" s="346">
        <f t="shared" si="247"/>
        <v>486807.5382960533</v>
      </c>
      <c r="AL168" s="346">
        <f t="shared" si="247"/>
        <v>486807.5382960533</v>
      </c>
      <c r="AN168" s="346">
        <f t="shared" ref="AN168:AN173" si="249">$R168/$L168*7</f>
        <v>0</v>
      </c>
      <c r="AO168" s="346">
        <f t="shared" si="248"/>
        <v>0</v>
      </c>
      <c r="AP168" s="346">
        <f t="shared" si="248"/>
        <v>0</v>
      </c>
    </row>
    <row r="169" spans="2:42" ht="18.649999999999999" customHeight="1" x14ac:dyDescent="0.35">
      <c r="B169" s="322" t="s">
        <v>130</v>
      </c>
      <c r="C169" s="293" t="s">
        <v>97</v>
      </c>
      <c r="D169" s="264" t="s">
        <v>561</v>
      </c>
      <c r="E169" s="264" t="s">
        <v>45</v>
      </c>
      <c r="F169" s="263" t="s">
        <v>87</v>
      </c>
      <c r="G169" s="263" t="s">
        <v>98</v>
      </c>
      <c r="H169" s="265" t="s">
        <v>90</v>
      </c>
      <c r="I169" s="265" t="s">
        <v>574</v>
      </c>
      <c r="J169" s="552" t="s">
        <v>96</v>
      </c>
      <c r="K169" s="263" t="s">
        <v>89</v>
      </c>
      <c r="L169" s="266">
        <f t="shared" si="243"/>
        <v>21</v>
      </c>
      <c r="M169" s="267">
        <v>45460</v>
      </c>
      <c r="N169" s="267">
        <v>45480</v>
      </c>
      <c r="O169" s="266">
        <f t="shared" si="244"/>
        <v>266905.17516801599</v>
      </c>
      <c r="P169" s="268" t="s">
        <v>17</v>
      </c>
      <c r="Q169" s="269">
        <v>1E-3</v>
      </c>
      <c r="R169" s="266">
        <f t="shared" ref="R169:R170" si="250">O169*Q169</f>
        <v>266.905175168016</v>
      </c>
      <c r="S169" s="270">
        <v>0.8</v>
      </c>
      <c r="T169" s="271">
        <f>O169*S169</f>
        <v>213524.1401344128</v>
      </c>
      <c r="U169" s="266">
        <f t="shared" ref="U169:U170" si="251">AB169*AC169</f>
        <v>266905.17516801599</v>
      </c>
      <c r="V169" s="266">
        <v>1</v>
      </c>
      <c r="W169" s="266"/>
      <c r="X169" s="272">
        <v>70</v>
      </c>
      <c r="Y169" s="273">
        <f t="shared" si="246"/>
        <v>18683.362261761122</v>
      </c>
      <c r="Z169" s="273">
        <f t="shared" ref="Z169:Z194" si="252">Y169/O169*1000</f>
        <v>70</v>
      </c>
      <c r="AA169" s="273">
        <f t="shared" ref="AA169:AA174" si="253">Y169/R169</f>
        <v>70</v>
      </c>
      <c r="AB169" s="274">
        <f>731178*85%</f>
        <v>621501.29999999993</v>
      </c>
      <c r="AC169" s="275">
        <v>0.42945232</v>
      </c>
      <c r="AE169" s="260"/>
      <c r="AF169" s="261">
        <v>0.35200000000000004</v>
      </c>
      <c r="AG169" s="260"/>
      <c r="AJ169" s="346">
        <f t="shared" si="247"/>
        <v>88968.391722671993</v>
      </c>
      <c r="AK169" s="346">
        <f t="shared" si="247"/>
        <v>88968.391722671993</v>
      </c>
      <c r="AL169" s="346">
        <f t="shared" si="247"/>
        <v>88968.391722671993</v>
      </c>
      <c r="AN169" s="346">
        <f t="shared" si="249"/>
        <v>88.968391722671996</v>
      </c>
      <c r="AO169" s="346">
        <f t="shared" si="248"/>
        <v>88.968391722671996</v>
      </c>
      <c r="AP169" s="346">
        <f t="shared" si="248"/>
        <v>88.968391722671996</v>
      </c>
    </row>
    <row r="170" spans="2:42" ht="18.649999999999999" customHeight="1" x14ac:dyDescent="0.35">
      <c r="B170" s="322" t="s">
        <v>130</v>
      </c>
      <c r="C170" s="293" t="s">
        <v>97</v>
      </c>
      <c r="D170" s="264" t="s">
        <v>86</v>
      </c>
      <c r="E170" s="264" t="s">
        <v>45</v>
      </c>
      <c r="F170" s="263" t="s">
        <v>87</v>
      </c>
      <c r="G170" s="263" t="s">
        <v>98</v>
      </c>
      <c r="H170" s="265" t="s">
        <v>90</v>
      </c>
      <c r="I170" s="265" t="s">
        <v>571</v>
      </c>
      <c r="J170" s="552" t="s">
        <v>96</v>
      </c>
      <c r="K170" s="263" t="s">
        <v>89</v>
      </c>
      <c r="L170" s="266">
        <f t="shared" si="243"/>
        <v>21</v>
      </c>
      <c r="M170" s="267">
        <v>45460</v>
      </c>
      <c r="N170" s="267">
        <v>45480</v>
      </c>
      <c r="O170" s="266">
        <f t="shared" si="244"/>
        <v>292471.2</v>
      </c>
      <c r="P170" s="268" t="s">
        <v>17</v>
      </c>
      <c r="Q170" s="269">
        <v>1E-3</v>
      </c>
      <c r="R170" s="266">
        <f t="shared" si="250"/>
        <v>292.47120000000001</v>
      </c>
      <c r="S170" s="270">
        <v>0.8</v>
      </c>
      <c r="T170" s="271">
        <f>O170*S170</f>
        <v>233976.96000000002</v>
      </c>
      <c r="U170" s="266">
        <f t="shared" si="251"/>
        <v>292471.2</v>
      </c>
      <c r="V170" s="266">
        <v>1</v>
      </c>
      <c r="W170" s="266"/>
      <c r="X170" s="272">
        <v>110</v>
      </c>
      <c r="Y170" s="273">
        <f t="shared" si="246"/>
        <v>32171.832000000002</v>
      </c>
      <c r="Z170" s="273">
        <f t="shared" si="252"/>
        <v>110</v>
      </c>
      <c r="AA170" s="273">
        <f t="shared" si="253"/>
        <v>110</v>
      </c>
      <c r="AB170" s="274">
        <v>731178</v>
      </c>
      <c r="AC170" s="275">
        <v>0.4</v>
      </c>
      <c r="AE170" s="260"/>
      <c r="AF170" s="261">
        <v>0.35200000000000004</v>
      </c>
      <c r="AG170" s="260"/>
      <c r="AJ170" s="346">
        <f t="shared" si="247"/>
        <v>97490.400000000009</v>
      </c>
      <c r="AK170" s="346">
        <f t="shared" si="247"/>
        <v>97490.400000000009</v>
      </c>
      <c r="AL170" s="346">
        <f t="shared" si="247"/>
        <v>97490.400000000009</v>
      </c>
      <c r="AN170" s="346">
        <f t="shared" si="249"/>
        <v>97.490400000000008</v>
      </c>
      <c r="AO170" s="346">
        <f t="shared" si="248"/>
        <v>97.490400000000008</v>
      </c>
      <c r="AP170" s="346">
        <f t="shared" si="248"/>
        <v>97.490400000000008</v>
      </c>
    </row>
    <row r="171" spans="2:42" ht="18.649999999999999" customHeight="1" x14ac:dyDescent="0.35">
      <c r="B171" s="322" t="s">
        <v>130</v>
      </c>
      <c r="C171" s="293" t="s">
        <v>97</v>
      </c>
      <c r="D171" s="263" t="s">
        <v>99</v>
      </c>
      <c r="E171" s="263" t="s">
        <v>46</v>
      </c>
      <c r="F171" s="263" t="s">
        <v>100</v>
      </c>
      <c r="G171" s="263" t="s">
        <v>101</v>
      </c>
      <c r="H171" s="265" t="s">
        <v>88</v>
      </c>
      <c r="I171" s="265" t="s">
        <v>102</v>
      </c>
      <c r="J171" s="553" t="s">
        <v>96</v>
      </c>
      <c r="K171" s="263" t="s">
        <v>89</v>
      </c>
      <c r="L171" s="266">
        <f t="shared" si="243"/>
        <v>21</v>
      </c>
      <c r="M171" s="267">
        <v>45460</v>
      </c>
      <c r="N171" s="267">
        <v>45480</v>
      </c>
      <c r="O171" s="266">
        <f>U171*V171</f>
        <v>134703.70559260802</v>
      </c>
      <c r="P171" s="268" t="s">
        <v>17</v>
      </c>
      <c r="Q171" s="269">
        <v>1.4999999999999999E-2</v>
      </c>
      <c r="R171" s="266">
        <f>O171*Q171</f>
        <v>2020.5555838891203</v>
      </c>
      <c r="S171" s="268" t="s">
        <v>17</v>
      </c>
      <c r="T171" s="271" t="s">
        <v>17</v>
      </c>
      <c r="U171" s="266">
        <f>AB171*AC171</f>
        <v>158474.94775600944</v>
      </c>
      <c r="V171" s="266">
        <v>0.85</v>
      </c>
      <c r="W171" s="266"/>
      <c r="X171" s="272">
        <v>105</v>
      </c>
      <c r="Y171" s="273">
        <f t="shared" si="246"/>
        <v>14143.889087223843</v>
      </c>
      <c r="Z171" s="273">
        <f t="shared" si="252"/>
        <v>105</v>
      </c>
      <c r="AA171" s="273">
        <f t="shared" si="253"/>
        <v>7</v>
      </c>
      <c r="AB171" s="274">
        <f>AB169*95%</f>
        <v>590426.23499999987</v>
      </c>
      <c r="AC171" s="275">
        <v>0.26840769999999997</v>
      </c>
      <c r="AE171" s="260"/>
      <c r="AF171" s="261">
        <v>0.22</v>
      </c>
      <c r="AG171" s="260"/>
      <c r="AJ171" s="346">
        <f t="shared" si="247"/>
        <v>44901.235197536007</v>
      </c>
      <c r="AK171" s="346">
        <f t="shared" si="247"/>
        <v>44901.235197536007</v>
      </c>
      <c r="AL171" s="346">
        <f t="shared" si="247"/>
        <v>44901.235197536007</v>
      </c>
      <c r="AN171" s="346">
        <f t="shared" si="249"/>
        <v>673.51852796304013</v>
      </c>
      <c r="AO171" s="346">
        <f t="shared" si="248"/>
        <v>673.51852796304013</v>
      </c>
      <c r="AP171" s="346">
        <f t="shared" si="248"/>
        <v>673.51852796304013</v>
      </c>
    </row>
    <row r="172" spans="2:42" ht="18.649999999999999" customHeight="1" x14ac:dyDescent="0.35">
      <c r="B172" s="322" t="str">
        <f>B171</f>
        <v>Visakhapatnam</v>
      </c>
      <c r="C172" s="293" t="s">
        <v>97</v>
      </c>
      <c r="D172" s="310" t="s">
        <v>103</v>
      </c>
      <c r="E172" s="263" t="s">
        <v>46</v>
      </c>
      <c r="F172" s="310" t="s">
        <v>100</v>
      </c>
      <c r="G172" s="263" t="s">
        <v>98</v>
      </c>
      <c r="H172" s="265" t="s">
        <v>88</v>
      </c>
      <c r="I172" s="265" t="s">
        <v>104</v>
      </c>
      <c r="J172" s="553" t="s">
        <v>96</v>
      </c>
      <c r="K172" s="263" t="s">
        <v>105</v>
      </c>
      <c r="L172" s="266">
        <f t="shared" si="243"/>
        <v>21</v>
      </c>
      <c r="M172" s="267">
        <v>45460</v>
      </c>
      <c r="N172" s="267">
        <v>45480</v>
      </c>
      <c r="O172" s="266">
        <f>U172*V172</f>
        <v>117411.51274643998</v>
      </c>
      <c r="P172" s="268" t="s">
        <v>17</v>
      </c>
      <c r="Q172" s="269">
        <v>1.4999999999999999E-2</v>
      </c>
      <c r="R172" s="266">
        <f>O172*Q172</f>
        <v>1761.1726911965998</v>
      </c>
      <c r="S172" s="268" t="s">
        <v>17</v>
      </c>
      <c r="T172" s="271" t="s">
        <v>17</v>
      </c>
      <c r="U172" s="266">
        <f>AB172*AC172</f>
        <v>138131.19146639999</v>
      </c>
      <c r="V172" s="266">
        <v>0.85</v>
      </c>
      <c r="W172" s="266"/>
      <c r="X172" s="272">
        <v>120</v>
      </c>
      <c r="Y172" s="273">
        <f t="shared" si="246"/>
        <v>14089.381529572798</v>
      </c>
      <c r="Z172" s="273">
        <f t="shared" si="252"/>
        <v>120</v>
      </c>
      <c r="AA172" s="273">
        <f t="shared" si="253"/>
        <v>8</v>
      </c>
      <c r="AB172" s="274">
        <v>321645</v>
      </c>
      <c r="AC172" s="275">
        <v>0.42945232</v>
      </c>
      <c r="AE172" s="260"/>
      <c r="AF172" s="261">
        <v>0.35200000000000004</v>
      </c>
      <c r="AG172" s="260"/>
      <c r="AH172" s="320"/>
      <c r="AJ172" s="346">
        <f t="shared" si="247"/>
        <v>39137.17091547999</v>
      </c>
      <c r="AK172" s="346">
        <f t="shared" si="247"/>
        <v>39137.17091547999</v>
      </c>
      <c r="AL172" s="346">
        <f t="shared" si="247"/>
        <v>39137.17091547999</v>
      </c>
      <c r="AN172" s="346">
        <f t="shared" si="249"/>
        <v>587.05756373219992</v>
      </c>
      <c r="AO172" s="346">
        <f t="shared" si="248"/>
        <v>587.05756373219992</v>
      </c>
      <c r="AP172" s="346">
        <f t="shared" si="248"/>
        <v>587.05756373219992</v>
      </c>
    </row>
    <row r="173" spans="2:42" ht="18.649999999999999" customHeight="1" x14ac:dyDescent="0.35">
      <c r="B173" s="322" t="str">
        <f>B172</f>
        <v>Visakhapatnam</v>
      </c>
      <c r="C173" s="293" t="s">
        <v>97</v>
      </c>
      <c r="D173" s="310" t="s">
        <v>106</v>
      </c>
      <c r="E173" s="311" t="s">
        <v>46</v>
      </c>
      <c r="F173" s="311" t="s">
        <v>91</v>
      </c>
      <c r="G173" s="263" t="s">
        <v>98</v>
      </c>
      <c r="H173" s="310" t="s">
        <v>88</v>
      </c>
      <c r="I173" s="263" t="s">
        <v>107</v>
      </c>
      <c r="J173" s="553" t="s">
        <v>96</v>
      </c>
      <c r="K173" s="263" t="s">
        <v>89</v>
      </c>
      <c r="L173" s="266">
        <f t="shared" si="243"/>
        <v>21</v>
      </c>
      <c r="M173" s="267">
        <v>45460</v>
      </c>
      <c r="N173" s="267">
        <v>45480</v>
      </c>
      <c r="O173" s="266">
        <f>U173*V173</f>
        <v>32039.212495366999</v>
      </c>
      <c r="P173" s="268" t="s">
        <v>17</v>
      </c>
      <c r="Q173" s="312">
        <v>0.01</v>
      </c>
      <c r="R173" s="266">
        <f t="shared" ref="R173" si="254">O173*Q173</f>
        <v>320.39212495367002</v>
      </c>
      <c r="S173" s="268" t="s">
        <v>17</v>
      </c>
      <c r="T173" s="271" t="s">
        <v>17</v>
      </c>
      <c r="U173" s="266">
        <f t="shared" ref="U173" si="255">AB173*AC173</f>
        <v>37693.19117102</v>
      </c>
      <c r="V173" s="266">
        <v>0.85</v>
      </c>
      <c r="W173" s="266"/>
      <c r="X173" s="272">
        <v>200</v>
      </c>
      <c r="Y173" s="273">
        <f>O173*X173/1000</f>
        <v>6407.8424990734002</v>
      </c>
      <c r="Z173" s="273">
        <f t="shared" si="252"/>
        <v>200</v>
      </c>
      <c r="AA173" s="273">
        <f t="shared" si="253"/>
        <v>20</v>
      </c>
      <c r="AB173" s="274">
        <v>127666</v>
      </c>
      <c r="AC173" s="275">
        <v>0.29524846999999999</v>
      </c>
      <c r="AE173" s="260"/>
      <c r="AF173" s="261">
        <v>0.22</v>
      </c>
      <c r="AG173" s="260"/>
      <c r="AH173" s="562"/>
      <c r="AJ173" s="346">
        <f t="shared" si="247"/>
        <v>10679.737498455666</v>
      </c>
      <c r="AK173" s="346">
        <f t="shared" si="247"/>
        <v>10679.737498455666</v>
      </c>
      <c r="AL173" s="346">
        <f t="shared" si="247"/>
        <v>10679.737498455666</v>
      </c>
      <c r="AN173" s="346">
        <f t="shared" si="249"/>
        <v>106.79737498455667</v>
      </c>
      <c r="AO173" s="346">
        <f t="shared" si="248"/>
        <v>106.79737498455667</v>
      </c>
      <c r="AP173" s="346">
        <f t="shared" si="248"/>
        <v>106.79737498455667</v>
      </c>
    </row>
    <row r="174" spans="2:42" ht="18.649999999999999" customHeight="1" x14ac:dyDescent="0.35">
      <c r="B174" s="277" t="str">
        <f>B171</f>
        <v>Visakhapatnam</v>
      </c>
      <c r="C174" s="278"/>
      <c r="D174" s="279" t="s">
        <v>18</v>
      </c>
      <c r="E174" s="280"/>
      <c r="F174" s="279"/>
      <c r="G174" s="280"/>
      <c r="H174" s="280"/>
      <c r="I174" s="281"/>
      <c r="J174" s="546"/>
      <c r="K174" s="283"/>
      <c r="L174" s="284"/>
      <c r="M174" s="284"/>
      <c r="N174" s="284"/>
      <c r="O174" s="284">
        <f>SUM(O167:O173)</f>
        <v>2548264.5512153911</v>
      </c>
      <c r="P174" s="284"/>
      <c r="Q174" s="285">
        <f>R174/O174</f>
        <v>1.8292829027441876E-3</v>
      </c>
      <c r="R174" s="284">
        <f>SUM(R167:R173)</f>
        <v>4661.4967752074053</v>
      </c>
      <c r="S174" s="286"/>
      <c r="T174" s="284">
        <f>SUM(T167:T173)</f>
        <v>1823503.6528210207</v>
      </c>
      <c r="U174" s="284">
        <f>U170+(SUM(U167:U169,U171:U173)*20%)</f>
        <v>502020.64054501709</v>
      </c>
      <c r="V174" s="284">
        <f>O174/U174</f>
        <v>5.0760154969900757</v>
      </c>
      <c r="W174" s="284"/>
      <c r="X174" s="287"/>
      <c r="Y174" s="317">
        <f>SUM(Y167:Y173)</f>
        <v>346092.59176607121</v>
      </c>
      <c r="Z174" s="288">
        <f t="shared" si="252"/>
        <v>135.8150163808553</v>
      </c>
      <c r="AA174" s="288">
        <f t="shared" si="253"/>
        <v>74.244949306153373</v>
      </c>
      <c r="AB174" s="284">
        <f>AB170+(SUM(AB167:AB169,AB171:AB173)*2%)</f>
        <v>774300.63069999998</v>
      </c>
      <c r="AC174" s="289">
        <f>U174/AB174</f>
        <v>0.64835365055969219</v>
      </c>
      <c r="AD174" s="261"/>
      <c r="AE174" s="290"/>
      <c r="AF174" s="261">
        <v>0.62146860147669347</v>
      </c>
      <c r="AG174" s="290"/>
      <c r="AH174" s="460"/>
      <c r="AI174" s="459"/>
    </row>
    <row r="175" spans="2:42" ht="18.649999999999999" customHeight="1" x14ac:dyDescent="0.35">
      <c r="B175" s="323" t="s">
        <v>131</v>
      </c>
      <c r="C175" s="293" t="s">
        <v>93</v>
      </c>
      <c r="D175" s="294" t="s">
        <v>94</v>
      </c>
      <c r="E175" s="294" t="s">
        <v>45</v>
      </c>
      <c r="F175" s="295" t="s">
        <v>87</v>
      </c>
      <c r="G175" s="295" t="s">
        <v>50</v>
      </c>
      <c r="H175" s="296" t="s">
        <v>95</v>
      </c>
      <c r="I175" s="296" t="s">
        <v>572</v>
      </c>
      <c r="J175" s="551" t="s">
        <v>96</v>
      </c>
      <c r="K175" s="295" t="s">
        <v>89</v>
      </c>
      <c r="L175" s="298">
        <f t="shared" ref="L175:L191" si="256">N175-(M175-1)</f>
        <v>21</v>
      </c>
      <c r="M175" s="299">
        <v>45460</v>
      </c>
      <c r="N175" s="299">
        <v>45480</v>
      </c>
      <c r="O175" s="298">
        <f t="shared" ref="O175:O190" si="257">U175*V175</f>
        <v>2813276.6999999997</v>
      </c>
      <c r="P175" s="300" t="s">
        <v>17</v>
      </c>
      <c r="Q175" s="301"/>
      <c r="R175" s="298"/>
      <c r="S175" s="302">
        <v>0.85</v>
      </c>
      <c r="T175" s="303">
        <f t="shared" ref="T175:T176" si="258">O175*S175</f>
        <v>2391285.1949999998</v>
      </c>
      <c r="U175" s="298">
        <f>AB175*AC175</f>
        <v>937758.89999999991</v>
      </c>
      <c r="V175" s="298">
        <v>3</v>
      </c>
      <c r="W175" s="298"/>
      <c r="X175" s="304">
        <v>170</v>
      </c>
      <c r="Y175" s="305">
        <f t="shared" ref="Y175:Y191" si="259">(O175/1000)*X175</f>
        <v>478257.03899999999</v>
      </c>
      <c r="Z175" s="305">
        <f t="shared" si="252"/>
        <v>170</v>
      </c>
      <c r="AA175" s="305"/>
      <c r="AB175" s="306">
        <v>1129830</v>
      </c>
      <c r="AC175" s="307">
        <v>0.83</v>
      </c>
      <c r="AD175" s="261"/>
      <c r="AE175" s="260"/>
      <c r="AF175" s="261">
        <v>0.70400000000000007</v>
      </c>
      <c r="AG175" s="260"/>
      <c r="AJ175" s="346">
        <f t="shared" si="247"/>
        <v>937758.9</v>
      </c>
      <c r="AK175" s="346">
        <f t="shared" si="247"/>
        <v>937758.9</v>
      </c>
      <c r="AL175" s="346">
        <f t="shared" si="247"/>
        <v>937758.9</v>
      </c>
      <c r="AN175" s="346">
        <f>$R175/$L175*7</f>
        <v>0</v>
      </c>
      <c r="AO175" s="346">
        <f t="shared" ref="AO175:AP190" si="260">$R175/$L175*7</f>
        <v>0</v>
      </c>
      <c r="AP175" s="346">
        <f t="shared" si="260"/>
        <v>0</v>
      </c>
    </row>
    <row r="176" spans="2:42" ht="18.649999999999999" customHeight="1" x14ac:dyDescent="0.35">
      <c r="B176" s="323" t="s">
        <v>131</v>
      </c>
      <c r="C176" s="293" t="s">
        <v>93</v>
      </c>
      <c r="D176" s="295" t="s">
        <v>86</v>
      </c>
      <c r="E176" s="295" t="s">
        <v>45</v>
      </c>
      <c r="F176" s="295" t="s">
        <v>87</v>
      </c>
      <c r="G176" s="296" t="s">
        <v>50</v>
      </c>
      <c r="H176" s="296" t="s">
        <v>95</v>
      </c>
      <c r="I176" s="296" t="s">
        <v>573</v>
      </c>
      <c r="J176" s="551" t="s">
        <v>96</v>
      </c>
      <c r="K176" s="295" t="s">
        <v>89</v>
      </c>
      <c r="L176" s="298">
        <f t="shared" si="256"/>
        <v>21</v>
      </c>
      <c r="M176" s="299">
        <v>45460</v>
      </c>
      <c r="N176" s="299">
        <v>45480</v>
      </c>
      <c r="O176" s="298">
        <f t="shared" si="257"/>
        <v>25915026.919999998</v>
      </c>
      <c r="P176" s="300" t="s">
        <v>17</v>
      </c>
      <c r="Q176" s="301"/>
      <c r="R176" s="298"/>
      <c r="S176" s="302">
        <v>0.8</v>
      </c>
      <c r="T176" s="303">
        <f t="shared" si="258"/>
        <v>20732021.535999998</v>
      </c>
      <c r="U176" s="298">
        <f>AB176*AC176</f>
        <v>6478756.7299999995</v>
      </c>
      <c r="V176" s="298">
        <v>4</v>
      </c>
      <c r="W176" s="298"/>
      <c r="X176" s="304">
        <v>150</v>
      </c>
      <c r="Y176" s="305">
        <f t="shared" si="259"/>
        <v>3887254.0379999997</v>
      </c>
      <c r="Z176" s="305">
        <f t="shared" si="252"/>
        <v>150</v>
      </c>
      <c r="AA176" s="305"/>
      <c r="AB176" s="306">
        <v>7805731</v>
      </c>
      <c r="AC176" s="307">
        <v>0.83</v>
      </c>
      <c r="AF176" s="261">
        <v>0.748</v>
      </c>
      <c r="AJ176" s="346">
        <f t="shared" si="247"/>
        <v>8638342.3066666666</v>
      </c>
      <c r="AK176" s="346">
        <f t="shared" si="247"/>
        <v>8638342.3066666666</v>
      </c>
      <c r="AL176" s="346">
        <f t="shared" si="247"/>
        <v>8638342.3066666666</v>
      </c>
      <c r="AN176" s="346">
        <f t="shared" ref="AN176:AP191" si="261">$R176/$L176*7</f>
        <v>0</v>
      </c>
      <c r="AO176" s="346">
        <f t="shared" si="260"/>
        <v>0</v>
      </c>
      <c r="AP176" s="346">
        <f t="shared" si="260"/>
        <v>0</v>
      </c>
    </row>
    <row r="177" spans="2:42" ht="18.649999999999999" customHeight="1" x14ac:dyDescent="0.35">
      <c r="B177" s="323" t="s">
        <v>131</v>
      </c>
      <c r="C177" s="293" t="s">
        <v>97</v>
      </c>
      <c r="D177" s="264" t="s">
        <v>561</v>
      </c>
      <c r="E177" s="264" t="s">
        <v>45</v>
      </c>
      <c r="F177" s="263" t="s">
        <v>87</v>
      </c>
      <c r="G177" s="263" t="s">
        <v>98</v>
      </c>
      <c r="H177" s="265" t="s">
        <v>90</v>
      </c>
      <c r="I177" s="265" t="s">
        <v>574</v>
      </c>
      <c r="J177" s="552" t="s">
        <v>96</v>
      </c>
      <c r="K177" s="263" t="s">
        <v>89</v>
      </c>
      <c r="L177" s="266">
        <f t="shared" si="256"/>
        <v>21</v>
      </c>
      <c r="M177" s="267">
        <v>45460</v>
      </c>
      <c r="N177" s="267">
        <v>45480</v>
      </c>
      <c r="O177" s="266">
        <f t="shared" si="257"/>
        <v>7566077.4600000009</v>
      </c>
      <c r="P177" s="268" t="s">
        <v>17</v>
      </c>
      <c r="Q177" s="269">
        <v>1E-3</v>
      </c>
      <c r="R177" s="266">
        <f t="shared" ref="R177:R178" si="262">O177*Q177</f>
        <v>7566.0774600000013</v>
      </c>
      <c r="S177" s="270">
        <v>0.8</v>
      </c>
      <c r="T177" s="271">
        <f>O177*S177</f>
        <v>6052861.9680000013</v>
      </c>
      <c r="U177" s="266">
        <f t="shared" ref="U177:U178" si="263">AB177*AC177</f>
        <v>5044051.6400000006</v>
      </c>
      <c r="V177" s="266">
        <v>1.5</v>
      </c>
      <c r="W177" s="266"/>
      <c r="X177" s="272">
        <v>70</v>
      </c>
      <c r="Y177" s="273">
        <f t="shared" si="259"/>
        <v>529625.42220000015</v>
      </c>
      <c r="Z177" s="273">
        <f t="shared" si="252"/>
        <v>70</v>
      </c>
      <c r="AA177" s="273">
        <f>Y177/R177</f>
        <v>70</v>
      </c>
      <c r="AB177" s="274">
        <f>14835446*85%</f>
        <v>12610129.1</v>
      </c>
      <c r="AC177" s="275">
        <v>0.4</v>
      </c>
      <c r="AD177" s="260">
        <f>AB178+(SUM(AB175:AB177)*2%)</f>
        <v>15266359.801999999</v>
      </c>
      <c r="AE177" s="260">
        <f>U176+(SUM(U175:U175,U177:U178)*20%)</f>
        <v>8861954.5179999992</v>
      </c>
      <c r="AF177" s="261">
        <v>0.35200000000000004</v>
      </c>
      <c r="AG177" s="260"/>
      <c r="AJ177" s="346">
        <f t="shared" si="247"/>
        <v>2522025.8200000003</v>
      </c>
      <c r="AK177" s="346">
        <f t="shared" si="247"/>
        <v>2522025.8200000003</v>
      </c>
      <c r="AL177" s="346">
        <f t="shared" si="247"/>
        <v>2522025.8200000003</v>
      </c>
      <c r="AN177" s="346">
        <f t="shared" si="261"/>
        <v>2522.0258200000007</v>
      </c>
      <c r="AO177" s="346">
        <f t="shared" si="260"/>
        <v>2522.0258200000007</v>
      </c>
      <c r="AP177" s="346">
        <f t="shared" si="260"/>
        <v>2522.0258200000007</v>
      </c>
    </row>
    <row r="178" spans="2:42" ht="18.649999999999999" customHeight="1" x14ac:dyDescent="0.35">
      <c r="B178" s="323" t="s">
        <v>131</v>
      </c>
      <c r="C178" s="293" t="s">
        <v>97</v>
      </c>
      <c r="D178" s="264" t="s">
        <v>86</v>
      </c>
      <c r="E178" s="264" t="s">
        <v>45</v>
      </c>
      <c r="F178" s="263" t="s">
        <v>87</v>
      </c>
      <c r="G178" s="263" t="s">
        <v>98</v>
      </c>
      <c r="H178" s="265" t="s">
        <v>90</v>
      </c>
      <c r="I178" s="265" t="s">
        <v>571</v>
      </c>
      <c r="J178" s="552" t="s">
        <v>96</v>
      </c>
      <c r="K178" s="263" t="s">
        <v>89</v>
      </c>
      <c r="L178" s="266">
        <f t="shared" si="256"/>
        <v>21</v>
      </c>
      <c r="M178" s="267">
        <v>45460</v>
      </c>
      <c r="N178" s="267">
        <v>45480</v>
      </c>
      <c r="O178" s="266">
        <f t="shared" si="257"/>
        <v>7417723</v>
      </c>
      <c r="P178" s="268" t="s">
        <v>17</v>
      </c>
      <c r="Q178" s="269">
        <v>1E-3</v>
      </c>
      <c r="R178" s="266">
        <f t="shared" si="262"/>
        <v>7417.723</v>
      </c>
      <c r="S178" s="270">
        <v>0.8</v>
      </c>
      <c r="T178" s="271">
        <f>O178*S178</f>
        <v>5934178.4000000004</v>
      </c>
      <c r="U178" s="266">
        <f t="shared" si="263"/>
        <v>5934178.4000000004</v>
      </c>
      <c r="V178" s="266">
        <v>1.25</v>
      </c>
      <c r="W178" s="266"/>
      <c r="X178" s="272">
        <v>110</v>
      </c>
      <c r="Y178" s="273">
        <f t="shared" si="259"/>
        <v>815949.53</v>
      </c>
      <c r="Z178" s="273">
        <f t="shared" si="252"/>
        <v>110</v>
      </c>
      <c r="AA178" s="273">
        <f>Y178/R178</f>
        <v>110</v>
      </c>
      <c r="AB178" s="274">
        <v>14835446</v>
      </c>
      <c r="AC178" s="275">
        <v>0.4</v>
      </c>
      <c r="AE178" s="260"/>
      <c r="AF178" s="261">
        <v>0.35200000000000004</v>
      </c>
      <c r="AG178" s="260"/>
      <c r="AJ178" s="346">
        <f t="shared" si="247"/>
        <v>2472574.333333333</v>
      </c>
      <c r="AK178" s="346">
        <f t="shared" si="247"/>
        <v>2472574.333333333</v>
      </c>
      <c r="AL178" s="346">
        <f t="shared" si="247"/>
        <v>2472574.333333333</v>
      </c>
      <c r="AN178" s="346">
        <f t="shared" si="261"/>
        <v>2472.5743333333335</v>
      </c>
      <c r="AO178" s="346">
        <f t="shared" si="260"/>
        <v>2472.5743333333335</v>
      </c>
      <c r="AP178" s="346">
        <f t="shared" si="260"/>
        <v>2472.5743333333335</v>
      </c>
    </row>
    <row r="179" spans="2:42" ht="18.649999999999999" customHeight="1" x14ac:dyDescent="0.35">
      <c r="B179" s="323" t="s">
        <v>132</v>
      </c>
      <c r="C179" s="293" t="s">
        <v>93</v>
      </c>
      <c r="D179" s="294" t="s">
        <v>94</v>
      </c>
      <c r="E179" s="294" t="s">
        <v>45</v>
      </c>
      <c r="F179" s="295" t="s">
        <v>87</v>
      </c>
      <c r="G179" s="295" t="s">
        <v>50</v>
      </c>
      <c r="H179" s="296" t="s">
        <v>95</v>
      </c>
      <c r="I179" s="296" t="s">
        <v>572</v>
      </c>
      <c r="J179" s="551" t="s">
        <v>96</v>
      </c>
      <c r="K179" s="295" t="s">
        <v>89</v>
      </c>
      <c r="L179" s="298">
        <f t="shared" si="256"/>
        <v>21</v>
      </c>
      <c r="M179" s="299">
        <v>45460</v>
      </c>
      <c r="N179" s="299">
        <v>45480</v>
      </c>
      <c r="O179" s="298">
        <f t="shared" si="257"/>
        <v>464783.39999999997</v>
      </c>
      <c r="P179" s="300" t="s">
        <v>17</v>
      </c>
      <c r="Q179" s="301"/>
      <c r="R179" s="298"/>
      <c r="S179" s="302">
        <v>0.85</v>
      </c>
      <c r="T179" s="303">
        <f t="shared" ref="T179:T180" si="264">O179*S179</f>
        <v>395065.88999999996</v>
      </c>
      <c r="U179" s="298">
        <f>AB179*AC179</f>
        <v>154927.79999999999</v>
      </c>
      <c r="V179" s="298">
        <v>3</v>
      </c>
      <c r="W179" s="298"/>
      <c r="X179" s="304">
        <v>170</v>
      </c>
      <c r="Y179" s="305">
        <f t="shared" si="259"/>
        <v>79013.178</v>
      </c>
      <c r="Z179" s="305">
        <f t="shared" si="252"/>
        <v>170</v>
      </c>
      <c r="AA179" s="305"/>
      <c r="AB179" s="306">
        <v>186660</v>
      </c>
      <c r="AC179" s="307">
        <v>0.83</v>
      </c>
      <c r="AD179" s="261"/>
      <c r="AE179" s="260"/>
      <c r="AF179" s="261">
        <v>0.70400000000000007</v>
      </c>
      <c r="AG179" s="260"/>
      <c r="AJ179" s="346">
        <f t="shared" si="247"/>
        <v>154927.79999999999</v>
      </c>
      <c r="AK179" s="346">
        <f t="shared" si="247"/>
        <v>154927.79999999999</v>
      </c>
      <c r="AL179" s="346">
        <f t="shared" si="247"/>
        <v>154927.79999999999</v>
      </c>
      <c r="AN179" s="346">
        <f t="shared" si="261"/>
        <v>0</v>
      </c>
      <c r="AO179" s="346">
        <f t="shared" si="260"/>
        <v>0</v>
      </c>
      <c r="AP179" s="346">
        <f t="shared" si="260"/>
        <v>0</v>
      </c>
    </row>
    <row r="180" spans="2:42" ht="18.649999999999999" customHeight="1" x14ac:dyDescent="0.35">
      <c r="B180" s="323" t="s">
        <v>132</v>
      </c>
      <c r="C180" s="293" t="s">
        <v>93</v>
      </c>
      <c r="D180" s="295" t="s">
        <v>86</v>
      </c>
      <c r="E180" s="295" t="s">
        <v>45</v>
      </c>
      <c r="F180" s="295" t="s">
        <v>87</v>
      </c>
      <c r="G180" s="296" t="s">
        <v>50</v>
      </c>
      <c r="H180" s="296" t="s">
        <v>95</v>
      </c>
      <c r="I180" s="296" t="s">
        <v>573</v>
      </c>
      <c r="J180" s="551" t="s">
        <v>96</v>
      </c>
      <c r="K180" s="295" t="s">
        <v>89</v>
      </c>
      <c r="L180" s="298">
        <f t="shared" si="256"/>
        <v>21</v>
      </c>
      <c r="M180" s="299">
        <v>45460</v>
      </c>
      <c r="N180" s="299">
        <v>45480</v>
      </c>
      <c r="O180" s="298">
        <f t="shared" si="257"/>
        <v>1918073.5599999998</v>
      </c>
      <c r="P180" s="300" t="s">
        <v>17</v>
      </c>
      <c r="Q180" s="301"/>
      <c r="R180" s="298"/>
      <c r="S180" s="302">
        <v>0.8</v>
      </c>
      <c r="T180" s="303">
        <f t="shared" si="264"/>
        <v>1534458.848</v>
      </c>
      <c r="U180" s="298">
        <f>AB180*AC180</f>
        <v>479518.38999999996</v>
      </c>
      <c r="V180" s="298">
        <v>4</v>
      </c>
      <c r="W180" s="298"/>
      <c r="X180" s="304">
        <v>150</v>
      </c>
      <c r="Y180" s="305">
        <f t="shared" si="259"/>
        <v>287711.03399999999</v>
      </c>
      <c r="Z180" s="305">
        <f t="shared" si="252"/>
        <v>150</v>
      </c>
      <c r="AA180" s="305"/>
      <c r="AB180" s="306">
        <v>577733</v>
      </c>
      <c r="AC180" s="307">
        <v>0.83</v>
      </c>
      <c r="AF180" s="261">
        <v>0.748</v>
      </c>
      <c r="AJ180" s="346">
        <f t="shared" si="247"/>
        <v>639357.85333333327</v>
      </c>
      <c r="AK180" s="346">
        <f t="shared" si="247"/>
        <v>639357.85333333327</v>
      </c>
      <c r="AL180" s="346">
        <f t="shared" si="247"/>
        <v>639357.85333333327</v>
      </c>
      <c r="AN180" s="346">
        <f t="shared" si="261"/>
        <v>0</v>
      </c>
      <c r="AO180" s="346">
        <f t="shared" si="260"/>
        <v>0</v>
      </c>
      <c r="AP180" s="346">
        <f t="shared" si="260"/>
        <v>0</v>
      </c>
    </row>
    <row r="181" spans="2:42" ht="18.649999999999999" customHeight="1" x14ac:dyDescent="0.35">
      <c r="B181" s="323" t="s">
        <v>132</v>
      </c>
      <c r="C181" s="293" t="s">
        <v>97</v>
      </c>
      <c r="D181" s="264" t="s">
        <v>561</v>
      </c>
      <c r="E181" s="264" t="s">
        <v>45</v>
      </c>
      <c r="F181" s="263" t="s">
        <v>87</v>
      </c>
      <c r="G181" s="263" t="s">
        <v>98</v>
      </c>
      <c r="H181" s="265" t="s">
        <v>90</v>
      </c>
      <c r="I181" s="265" t="s">
        <v>574</v>
      </c>
      <c r="J181" s="552" t="s">
        <v>96</v>
      </c>
      <c r="K181" s="263" t="s">
        <v>89</v>
      </c>
      <c r="L181" s="266">
        <f t="shared" si="256"/>
        <v>21</v>
      </c>
      <c r="M181" s="267">
        <v>45460</v>
      </c>
      <c r="N181" s="267">
        <v>45480</v>
      </c>
      <c r="O181" s="266">
        <f t="shared" si="257"/>
        <v>561060.17999999993</v>
      </c>
      <c r="P181" s="268" t="s">
        <v>17</v>
      </c>
      <c r="Q181" s="269">
        <v>1E-3</v>
      </c>
      <c r="R181" s="266">
        <f t="shared" ref="R181:R182" si="265">O181*Q181</f>
        <v>561.06017999999995</v>
      </c>
      <c r="S181" s="270">
        <v>0.8</v>
      </c>
      <c r="T181" s="271">
        <f>O181*S181</f>
        <v>448848.14399999997</v>
      </c>
      <c r="U181" s="266">
        <f t="shared" ref="U181:U182" si="266">AB181*AC181</f>
        <v>374040.12</v>
      </c>
      <c r="V181" s="266">
        <v>1.5</v>
      </c>
      <c r="W181" s="266"/>
      <c r="X181" s="272">
        <v>70</v>
      </c>
      <c r="Y181" s="273">
        <f t="shared" si="259"/>
        <v>39274.212599999999</v>
      </c>
      <c r="Z181" s="273">
        <f t="shared" si="252"/>
        <v>70</v>
      </c>
      <c r="AA181" s="273">
        <f>Y181/R181</f>
        <v>70</v>
      </c>
      <c r="AB181" s="274">
        <f>1100118*85%</f>
        <v>935100.29999999993</v>
      </c>
      <c r="AC181" s="275">
        <v>0.4</v>
      </c>
      <c r="AD181" s="260">
        <f>AB182+(SUM(AB179:AB181)*2%)</f>
        <v>1134107.8659999999</v>
      </c>
      <c r="AE181" s="260">
        <f>U180+(SUM(U179:U179,U181:U182)*20%)</f>
        <v>673321.41399999987</v>
      </c>
      <c r="AF181" s="261">
        <v>0.35200000000000004</v>
      </c>
      <c r="AG181" s="260"/>
      <c r="AJ181" s="346">
        <f t="shared" si="247"/>
        <v>187020.05999999997</v>
      </c>
      <c r="AK181" s="346">
        <f t="shared" si="247"/>
        <v>187020.05999999997</v>
      </c>
      <c r="AL181" s="346">
        <f t="shared" si="247"/>
        <v>187020.05999999997</v>
      </c>
      <c r="AN181" s="346">
        <f t="shared" si="261"/>
        <v>187.02006</v>
      </c>
      <c r="AO181" s="346">
        <f t="shared" si="260"/>
        <v>187.02006</v>
      </c>
      <c r="AP181" s="346">
        <f t="shared" si="260"/>
        <v>187.02006</v>
      </c>
    </row>
    <row r="182" spans="2:42" ht="18.649999999999999" customHeight="1" x14ac:dyDescent="0.35">
      <c r="B182" s="323" t="s">
        <v>132</v>
      </c>
      <c r="C182" s="293" t="s">
        <v>97</v>
      </c>
      <c r="D182" s="264" t="s">
        <v>86</v>
      </c>
      <c r="E182" s="264" t="s">
        <v>45</v>
      </c>
      <c r="F182" s="263" t="s">
        <v>87</v>
      </c>
      <c r="G182" s="263" t="s">
        <v>98</v>
      </c>
      <c r="H182" s="265" t="s">
        <v>90</v>
      </c>
      <c r="I182" s="265" t="s">
        <v>571</v>
      </c>
      <c r="J182" s="552" t="s">
        <v>96</v>
      </c>
      <c r="K182" s="263" t="s">
        <v>89</v>
      </c>
      <c r="L182" s="266">
        <f t="shared" si="256"/>
        <v>21</v>
      </c>
      <c r="M182" s="267">
        <v>45460</v>
      </c>
      <c r="N182" s="267">
        <v>45480</v>
      </c>
      <c r="O182" s="266">
        <f t="shared" si="257"/>
        <v>550059</v>
      </c>
      <c r="P182" s="268" t="s">
        <v>17</v>
      </c>
      <c r="Q182" s="269">
        <v>1E-3</v>
      </c>
      <c r="R182" s="266">
        <f t="shared" si="265"/>
        <v>550.05899999999997</v>
      </c>
      <c r="S182" s="270">
        <v>0.8</v>
      </c>
      <c r="T182" s="271">
        <f>O182*S182</f>
        <v>440047.2</v>
      </c>
      <c r="U182" s="266">
        <f t="shared" si="266"/>
        <v>440047.2</v>
      </c>
      <c r="V182" s="266">
        <v>1.25</v>
      </c>
      <c r="W182" s="266"/>
      <c r="X182" s="272">
        <v>110</v>
      </c>
      <c r="Y182" s="273">
        <f t="shared" si="259"/>
        <v>60506.49</v>
      </c>
      <c r="Z182" s="273">
        <f t="shared" si="252"/>
        <v>110</v>
      </c>
      <c r="AA182" s="273">
        <f>Y182/R182</f>
        <v>110</v>
      </c>
      <c r="AB182" s="274">
        <v>1100118</v>
      </c>
      <c r="AC182" s="275">
        <v>0.4</v>
      </c>
      <c r="AE182" s="260"/>
      <c r="AF182" s="261">
        <v>0.35200000000000004</v>
      </c>
      <c r="AG182" s="260"/>
      <c r="AJ182" s="346">
        <f t="shared" si="247"/>
        <v>183353</v>
      </c>
      <c r="AK182" s="346">
        <f t="shared" si="247"/>
        <v>183353</v>
      </c>
      <c r="AL182" s="346">
        <f t="shared" si="247"/>
        <v>183353</v>
      </c>
      <c r="AN182" s="346">
        <f t="shared" si="261"/>
        <v>183.35300000000001</v>
      </c>
      <c r="AO182" s="346">
        <f t="shared" si="260"/>
        <v>183.35300000000001</v>
      </c>
      <c r="AP182" s="346">
        <f t="shared" si="260"/>
        <v>183.35300000000001</v>
      </c>
    </row>
    <row r="183" spans="2:42" ht="18.649999999999999" customHeight="1" x14ac:dyDescent="0.35">
      <c r="B183" s="323" t="s">
        <v>133</v>
      </c>
      <c r="C183" s="293" t="s">
        <v>93</v>
      </c>
      <c r="D183" s="294" t="s">
        <v>94</v>
      </c>
      <c r="E183" s="294" t="s">
        <v>45</v>
      </c>
      <c r="F183" s="295" t="s">
        <v>87</v>
      </c>
      <c r="G183" s="295" t="s">
        <v>50</v>
      </c>
      <c r="H183" s="296" t="s">
        <v>95</v>
      </c>
      <c r="I183" s="296" t="s">
        <v>572</v>
      </c>
      <c r="J183" s="551" t="s">
        <v>96</v>
      </c>
      <c r="K183" s="295" t="s">
        <v>89</v>
      </c>
      <c r="L183" s="298">
        <f t="shared" si="256"/>
        <v>21</v>
      </c>
      <c r="M183" s="299">
        <v>45460</v>
      </c>
      <c r="N183" s="299">
        <v>45480</v>
      </c>
      <c r="O183" s="298">
        <f t="shared" si="257"/>
        <v>289860.89999999997</v>
      </c>
      <c r="P183" s="300" t="s">
        <v>17</v>
      </c>
      <c r="Q183" s="301"/>
      <c r="R183" s="298"/>
      <c r="S183" s="302">
        <v>0.85</v>
      </c>
      <c r="T183" s="303">
        <f t="shared" ref="T183:T184" si="267">O183*S183</f>
        <v>246381.76499999996</v>
      </c>
      <c r="U183" s="298">
        <f>AB183*AC183</f>
        <v>96620.299999999988</v>
      </c>
      <c r="V183" s="298">
        <v>3</v>
      </c>
      <c r="W183" s="298"/>
      <c r="X183" s="304">
        <v>170</v>
      </c>
      <c r="Y183" s="305">
        <f t="shared" si="259"/>
        <v>49276.352999999996</v>
      </c>
      <c r="Z183" s="305">
        <f t="shared" si="252"/>
        <v>170</v>
      </c>
      <c r="AA183" s="305"/>
      <c r="AB183" s="306">
        <v>116410</v>
      </c>
      <c r="AC183" s="307">
        <v>0.83</v>
      </c>
      <c r="AD183" s="261"/>
      <c r="AE183" s="260"/>
      <c r="AF183" s="261">
        <v>0.70400000000000007</v>
      </c>
      <c r="AG183" s="260"/>
      <c r="AJ183" s="346">
        <f t="shared" ref="AJ183:AL196" si="268">$O183/$L183*7</f>
        <v>96620.299999999988</v>
      </c>
      <c r="AK183" s="346">
        <f t="shared" si="268"/>
        <v>96620.299999999988</v>
      </c>
      <c r="AL183" s="346">
        <f t="shared" si="268"/>
        <v>96620.299999999988</v>
      </c>
      <c r="AN183" s="346">
        <f t="shared" si="261"/>
        <v>0</v>
      </c>
      <c r="AO183" s="346">
        <f t="shared" si="260"/>
        <v>0</v>
      </c>
      <c r="AP183" s="346">
        <f t="shared" si="260"/>
        <v>0</v>
      </c>
    </row>
    <row r="184" spans="2:42" ht="18.649999999999999" customHeight="1" x14ac:dyDescent="0.35">
      <c r="B184" s="323" t="s">
        <v>133</v>
      </c>
      <c r="C184" s="293" t="s">
        <v>93</v>
      </c>
      <c r="D184" s="295" t="s">
        <v>86</v>
      </c>
      <c r="E184" s="295" t="s">
        <v>45</v>
      </c>
      <c r="F184" s="295" t="s">
        <v>87</v>
      </c>
      <c r="G184" s="296" t="s">
        <v>50</v>
      </c>
      <c r="H184" s="296" t="s">
        <v>95</v>
      </c>
      <c r="I184" s="296" t="s">
        <v>573</v>
      </c>
      <c r="J184" s="551" t="s">
        <v>96</v>
      </c>
      <c r="K184" s="295" t="s">
        <v>89</v>
      </c>
      <c r="L184" s="298">
        <f t="shared" si="256"/>
        <v>21</v>
      </c>
      <c r="M184" s="299">
        <v>45460</v>
      </c>
      <c r="N184" s="299">
        <v>45480</v>
      </c>
      <c r="O184" s="298">
        <f t="shared" si="257"/>
        <v>704052.48</v>
      </c>
      <c r="P184" s="300" t="s">
        <v>17</v>
      </c>
      <c r="Q184" s="301"/>
      <c r="R184" s="298"/>
      <c r="S184" s="302">
        <v>0.8</v>
      </c>
      <c r="T184" s="303">
        <f t="shared" si="267"/>
        <v>563241.98400000005</v>
      </c>
      <c r="U184" s="298">
        <f>AB184*AC184</f>
        <v>176013.12</v>
      </c>
      <c r="V184" s="298">
        <v>4</v>
      </c>
      <c r="W184" s="298"/>
      <c r="X184" s="304">
        <v>150</v>
      </c>
      <c r="Y184" s="305">
        <f t="shared" si="259"/>
        <v>105607.87199999999</v>
      </c>
      <c r="Z184" s="305">
        <f t="shared" si="252"/>
        <v>150</v>
      </c>
      <c r="AA184" s="305"/>
      <c r="AB184" s="306">
        <v>212064</v>
      </c>
      <c r="AC184" s="307">
        <v>0.83</v>
      </c>
      <c r="AF184" s="261">
        <v>0.748</v>
      </c>
      <c r="AJ184" s="346">
        <f t="shared" si="268"/>
        <v>234684.15999999997</v>
      </c>
      <c r="AK184" s="346">
        <f t="shared" si="268"/>
        <v>234684.15999999997</v>
      </c>
      <c r="AL184" s="346">
        <f t="shared" si="268"/>
        <v>234684.15999999997</v>
      </c>
      <c r="AN184" s="346">
        <f t="shared" si="261"/>
        <v>0</v>
      </c>
      <c r="AO184" s="346">
        <f t="shared" si="260"/>
        <v>0</v>
      </c>
      <c r="AP184" s="346">
        <f t="shared" si="260"/>
        <v>0</v>
      </c>
    </row>
    <row r="185" spans="2:42" ht="18.649999999999999" customHeight="1" x14ac:dyDescent="0.35">
      <c r="B185" s="323" t="s">
        <v>133</v>
      </c>
      <c r="C185" s="293" t="s">
        <v>97</v>
      </c>
      <c r="D185" s="264" t="s">
        <v>561</v>
      </c>
      <c r="E185" s="264" t="s">
        <v>45</v>
      </c>
      <c r="F185" s="263" t="s">
        <v>87</v>
      </c>
      <c r="G185" s="263" t="s">
        <v>98</v>
      </c>
      <c r="H185" s="265" t="s">
        <v>90</v>
      </c>
      <c r="I185" s="265" t="s">
        <v>574</v>
      </c>
      <c r="J185" s="552" t="s">
        <v>96</v>
      </c>
      <c r="K185" s="263" t="s">
        <v>89</v>
      </c>
      <c r="L185" s="266">
        <f t="shared" si="256"/>
        <v>21</v>
      </c>
      <c r="M185" s="267">
        <v>45460</v>
      </c>
      <c r="N185" s="267">
        <v>45480</v>
      </c>
      <c r="O185" s="266">
        <f t="shared" si="257"/>
        <v>191834.46</v>
      </c>
      <c r="P185" s="268" t="s">
        <v>17</v>
      </c>
      <c r="Q185" s="269">
        <v>1E-3</v>
      </c>
      <c r="R185" s="266">
        <f t="shared" ref="R185:R186" si="269">O185*Q185</f>
        <v>191.83446000000001</v>
      </c>
      <c r="S185" s="270">
        <v>0.8</v>
      </c>
      <c r="T185" s="271">
        <f>O185*S185</f>
        <v>153467.568</v>
      </c>
      <c r="U185" s="266">
        <f t="shared" ref="U185:U186" si="270">AB185*AC185</f>
        <v>127889.64</v>
      </c>
      <c r="V185" s="266">
        <v>1.5</v>
      </c>
      <c r="W185" s="266"/>
      <c r="X185" s="272">
        <v>70</v>
      </c>
      <c r="Y185" s="273">
        <f t="shared" si="259"/>
        <v>13428.412199999999</v>
      </c>
      <c r="Z185" s="273">
        <f t="shared" si="252"/>
        <v>69.999999999999986</v>
      </c>
      <c r="AA185" s="273">
        <f>Y185/R185</f>
        <v>69.999999999999986</v>
      </c>
      <c r="AB185" s="274">
        <f>376146*85%</f>
        <v>319724.09999999998</v>
      </c>
      <c r="AC185" s="275">
        <v>0.4</v>
      </c>
      <c r="AD185" s="260">
        <f>AB186+(SUM(AB183:AB185)*2%)</f>
        <v>389109.962</v>
      </c>
      <c r="AE185" s="260">
        <f>U184+(SUM(U183:U183,U185:U186)*20%)</f>
        <v>251006.788</v>
      </c>
      <c r="AF185" s="261">
        <v>0.35200000000000004</v>
      </c>
      <c r="AG185" s="260"/>
      <c r="AJ185" s="346">
        <f t="shared" si="268"/>
        <v>63944.819999999992</v>
      </c>
      <c r="AK185" s="346">
        <f t="shared" si="268"/>
        <v>63944.819999999992</v>
      </c>
      <c r="AL185" s="346">
        <f t="shared" si="268"/>
        <v>63944.819999999992</v>
      </c>
      <c r="AN185" s="346">
        <f t="shared" si="261"/>
        <v>63.94482</v>
      </c>
      <c r="AO185" s="346">
        <f t="shared" si="260"/>
        <v>63.94482</v>
      </c>
      <c r="AP185" s="346">
        <f t="shared" si="260"/>
        <v>63.94482</v>
      </c>
    </row>
    <row r="186" spans="2:42" ht="18.649999999999999" customHeight="1" x14ac:dyDescent="0.35">
      <c r="B186" s="323" t="s">
        <v>133</v>
      </c>
      <c r="C186" s="293" t="s">
        <v>97</v>
      </c>
      <c r="D186" s="264" t="s">
        <v>86</v>
      </c>
      <c r="E186" s="264" t="s">
        <v>45</v>
      </c>
      <c r="F186" s="263" t="s">
        <v>87</v>
      </c>
      <c r="G186" s="263" t="s">
        <v>98</v>
      </c>
      <c r="H186" s="265" t="s">
        <v>90</v>
      </c>
      <c r="I186" s="265" t="s">
        <v>571</v>
      </c>
      <c r="J186" s="552" t="s">
        <v>96</v>
      </c>
      <c r="K186" s="263" t="s">
        <v>89</v>
      </c>
      <c r="L186" s="266">
        <f t="shared" si="256"/>
        <v>21</v>
      </c>
      <c r="M186" s="267">
        <v>45460</v>
      </c>
      <c r="N186" s="267">
        <v>45480</v>
      </c>
      <c r="O186" s="266">
        <f t="shared" si="257"/>
        <v>188073</v>
      </c>
      <c r="P186" s="268" t="s">
        <v>17</v>
      </c>
      <c r="Q186" s="269">
        <v>1E-3</v>
      </c>
      <c r="R186" s="266">
        <f t="shared" si="269"/>
        <v>188.07300000000001</v>
      </c>
      <c r="S186" s="270">
        <v>0.8</v>
      </c>
      <c r="T186" s="271">
        <f>O186*S186</f>
        <v>150458.4</v>
      </c>
      <c r="U186" s="266">
        <f t="shared" si="270"/>
        <v>150458.4</v>
      </c>
      <c r="V186" s="266">
        <v>1.25</v>
      </c>
      <c r="W186" s="266"/>
      <c r="X186" s="272">
        <v>110</v>
      </c>
      <c r="Y186" s="273">
        <f t="shared" si="259"/>
        <v>20688.030000000002</v>
      </c>
      <c r="Z186" s="273">
        <f t="shared" si="252"/>
        <v>110.00000000000001</v>
      </c>
      <c r="AA186" s="273">
        <f>Y186/R186</f>
        <v>110.00000000000001</v>
      </c>
      <c r="AB186" s="274">
        <v>376146</v>
      </c>
      <c r="AC186" s="275">
        <v>0.4</v>
      </c>
      <c r="AE186" s="260"/>
      <c r="AF186" s="261">
        <v>0.35200000000000004</v>
      </c>
      <c r="AG186" s="260"/>
      <c r="AJ186" s="346">
        <f t="shared" si="268"/>
        <v>62691</v>
      </c>
      <c r="AK186" s="346">
        <f t="shared" si="268"/>
        <v>62691</v>
      </c>
      <c r="AL186" s="346">
        <f t="shared" si="268"/>
        <v>62691</v>
      </c>
      <c r="AN186" s="346">
        <f t="shared" si="261"/>
        <v>62.691000000000003</v>
      </c>
      <c r="AO186" s="346">
        <f t="shared" si="260"/>
        <v>62.691000000000003</v>
      </c>
      <c r="AP186" s="346">
        <f t="shared" si="260"/>
        <v>62.691000000000003</v>
      </c>
    </row>
    <row r="187" spans="2:42" ht="18.649999999999999" customHeight="1" x14ac:dyDescent="0.35">
      <c r="B187" s="323" t="s">
        <v>134</v>
      </c>
      <c r="C187" s="293" t="s">
        <v>93</v>
      </c>
      <c r="D187" s="294" t="s">
        <v>94</v>
      </c>
      <c r="E187" s="294" t="s">
        <v>45</v>
      </c>
      <c r="F187" s="295" t="s">
        <v>87</v>
      </c>
      <c r="G187" s="295" t="s">
        <v>50</v>
      </c>
      <c r="H187" s="296" t="s">
        <v>95</v>
      </c>
      <c r="I187" s="296" t="s">
        <v>572</v>
      </c>
      <c r="J187" s="551" t="s">
        <v>96</v>
      </c>
      <c r="K187" s="295" t="s">
        <v>89</v>
      </c>
      <c r="L187" s="298">
        <f t="shared" si="256"/>
        <v>21</v>
      </c>
      <c r="M187" s="299">
        <v>45460</v>
      </c>
      <c r="N187" s="299">
        <v>45480</v>
      </c>
      <c r="O187" s="298">
        <f t="shared" si="257"/>
        <v>135169.65</v>
      </c>
      <c r="P187" s="300" t="s">
        <v>17</v>
      </c>
      <c r="Q187" s="301"/>
      <c r="R187" s="298"/>
      <c r="S187" s="302">
        <v>0.85</v>
      </c>
      <c r="T187" s="303">
        <f t="shared" ref="T187:T188" si="271">O187*S187</f>
        <v>114894.20249999998</v>
      </c>
      <c r="U187" s="298">
        <f>AB187*AC187</f>
        <v>45056.549999999996</v>
      </c>
      <c r="V187" s="298">
        <v>3</v>
      </c>
      <c r="W187" s="298"/>
      <c r="X187" s="304">
        <v>170</v>
      </c>
      <c r="Y187" s="305">
        <f t="shared" si="259"/>
        <v>22978.840499999998</v>
      </c>
      <c r="Z187" s="305">
        <f t="shared" si="252"/>
        <v>169.99999999999997</v>
      </c>
      <c r="AA187" s="305"/>
      <c r="AB187" s="306">
        <v>54285</v>
      </c>
      <c r="AC187" s="307">
        <v>0.83</v>
      </c>
      <c r="AD187" s="261"/>
      <c r="AE187" s="260"/>
      <c r="AF187" s="261">
        <v>0.70400000000000007</v>
      </c>
      <c r="AG187" s="260"/>
      <c r="AJ187" s="346">
        <f t="shared" si="268"/>
        <v>45056.549999999996</v>
      </c>
      <c r="AK187" s="346">
        <f t="shared" si="268"/>
        <v>45056.549999999996</v>
      </c>
      <c r="AL187" s="346">
        <f t="shared" si="268"/>
        <v>45056.549999999996</v>
      </c>
      <c r="AN187" s="346">
        <f t="shared" si="261"/>
        <v>0</v>
      </c>
      <c r="AO187" s="346">
        <f t="shared" si="260"/>
        <v>0</v>
      </c>
      <c r="AP187" s="346">
        <f t="shared" si="260"/>
        <v>0</v>
      </c>
    </row>
    <row r="188" spans="2:42" ht="18.649999999999999" customHeight="1" x14ac:dyDescent="0.35">
      <c r="B188" s="323" t="s">
        <v>134</v>
      </c>
      <c r="C188" s="293" t="s">
        <v>93</v>
      </c>
      <c r="D188" s="295" t="s">
        <v>86</v>
      </c>
      <c r="E188" s="295" t="s">
        <v>45</v>
      </c>
      <c r="F188" s="295" t="s">
        <v>87</v>
      </c>
      <c r="G188" s="296" t="s">
        <v>50</v>
      </c>
      <c r="H188" s="296" t="s">
        <v>95</v>
      </c>
      <c r="I188" s="296" t="s">
        <v>573</v>
      </c>
      <c r="J188" s="551" t="s">
        <v>96</v>
      </c>
      <c r="K188" s="295" t="s">
        <v>89</v>
      </c>
      <c r="L188" s="298">
        <f t="shared" si="256"/>
        <v>21</v>
      </c>
      <c r="M188" s="299">
        <v>45460</v>
      </c>
      <c r="N188" s="299">
        <v>45480</v>
      </c>
      <c r="O188" s="298">
        <f t="shared" si="257"/>
        <v>841211.64</v>
      </c>
      <c r="P188" s="300" t="s">
        <v>17</v>
      </c>
      <c r="Q188" s="301"/>
      <c r="R188" s="298"/>
      <c r="S188" s="302">
        <v>0.8</v>
      </c>
      <c r="T188" s="303">
        <f t="shared" si="271"/>
        <v>672969.31200000003</v>
      </c>
      <c r="U188" s="298">
        <f>AB188*AC188</f>
        <v>210302.91</v>
      </c>
      <c r="V188" s="298">
        <v>4</v>
      </c>
      <c r="W188" s="298"/>
      <c r="X188" s="304">
        <v>150</v>
      </c>
      <c r="Y188" s="305">
        <f t="shared" si="259"/>
        <v>126181.746</v>
      </c>
      <c r="Z188" s="305">
        <f t="shared" si="252"/>
        <v>150</v>
      </c>
      <c r="AA188" s="305"/>
      <c r="AB188" s="306">
        <v>253377</v>
      </c>
      <c r="AC188" s="307">
        <v>0.83</v>
      </c>
      <c r="AF188" s="261">
        <v>0.748</v>
      </c>
      <c r="AJ188" s="346">
        <f t="shared" si="268"/>
        <v>280403.88</v>
      </c>
      <c r="AK188" s="346">
        <f t="shared" si="268"/>
        <v>280403.88</v>
      </c>
      <c r="AL188" s="346">
        <f t="shared" si="268"/>
        <v>280403.88</v>
      </c>
      <c r="AN188" s="346">
        <f t="shared" si="261"/>
        <v>0</v>
      </c>
      <c r="AO188" s="346">
        <f t="shared" si="260"/>
        <v>0</v>
      </c>
      <c r="AP188" s="346">
        <f t="shared" si="260"/>
        <v>0</v>
      </c>
    </row>
    <row r="189" spans="2:42" ht="18.649999999999999" customHeight="1" x14ac:dyDescent="0.35">
      <c r="B189" s="323" t="s">
        <v>134</v>
      </c>
      <c r="C189" s="293" t="s">
        <v>97</v>
      </c>
      <c r="D189" s="264" t="s">
        <v>561</v>
      </c>
      <c r="E189" s="264" t="s">
        <v>45</v>
      </c>
      <c r="F189" s="263" t="s">
        <v>87</v>
      </c>
      <c r="G189" s="263" t="s">
        <v>98</v>
      </c>
      <c r="H189" s="265" t="s">
        <v>90</v>
      </c>
      <c r="I189" s="265" t="s">
        <v>574</v>
      </c>
      <c r="J189" s="552" t="s">
        <v>96</v>
      </c>
      <c r="K189" s="263" t="s">
        <v>89</v>
      </c>
      <c r="L189" s="266">
        <f t="shared" si="256"/>
        <v>21</v>
      </c>
      <c r="M189" s="267">
        <v>45460</v>
      </c>
      <c r="N189" s="267">
        <v>45480</v>
      </c>
      <c r="O189" s="266">
        <f t="shared" si="257"/>
        <v>243697.89</v>
      </c>
      <c r="P189" s="268" t="s">
        <v>17</v>
      </c>
      <c r="Q189" s="269">
        <v>1E-3</v>
      </c>
      <c r="R189" s="266">
        <f t="shared" ref="R189:R190" si="272">O189*Q189</f>
        <v>243.69789000000003</v>
      </c>
      <c r="S189" s="270">
        <v>0.8</v>
      </c>
      <c r="T189" s="271">
        <f>O189*S189</f>
        <v>194958.31200000003</v>
      </c>
      <c r="U189" s="266">
        <f t="shared" ref="U189:U190" si="273">AB189*AC189</f>
        <v>162465.26</v>
      </c>
      <c r="V189" s="266">
        <v>1.5</v>
      </c>
      <c r="W189" s="266"/>
      <c r="X189" s="272">
        <v>70</v>
      </c>
      <c r="Y189" s="273">
        <f t="shared" si="259"/>
        <v>17058.852299999999</v>
      </c>
      <c r="Z189" s="273">
        <f t="shared" si="252"/>
        <v>69.999999999999986</v>
      </c>
      <c r="AA189" s="273">
        <f t="shared" ref="AA189:AA194" si="274">Y189/R189</f>
        <v>69.999999999999986</v>
      </c>
      <c r="AB189" s="274">
        <f>477839*85%</f>
        <v>406163.14999999997</v>
      </c>
      <c r="AC189" s="275">
        <v>0.4</v>
      </c>
      <c r="AD189" s="260">
        <f>AB190+(SUM(AB187:AB189)*2%)</f>
        <v>492115.50300000003</v>
      </c>
      <c r="AE189" s="260">
        <f>U188+(SUM(U187:U187,U189:U190)*20%)</f>
        <v>290034.39199999999</v>
      </c>
      <c r="AF189" s="261">
        <v>0.35200000000000004</v>
      </c>
      <c r="AG189" s="260"/>
      <c r="AJ189" s="346">
        <f t="shared" si="268"/>
        <v>81232.63</v>
      </c>
      <c r="AK189" s="346">
        <f t="shared" si="268"/>
        <v>81232.63</v>
      </c>
      <c r="AL189" s="346">
        <f t="shared" si="268"/>
        <v>81232.63</v>
      </c>
      <c r="AN189" s="346">
        <f t="shared" si="261"/>
        <v>81.23263</v>
      </c>
      <c r="AO189" s="346">
        <f t="shared" si="260"/>
        <v>81.23263</v>
      </c>
      <c r="AP189" s="346">
        <f t="shared" si="260"/>
        <v>81.23263</v>
      </c>
    </row>
    <row r="190" spans="2:42" ht="18.649999999999999" customHeight="1" x14ac:dyDescent="0.35">
      <c r="B190" s="323" t="s">
        <v>134</v>
      </c>
      <c r="C190" s="293" t="s">
        <v>97</v>
      </c>
      <c r="D190" s="264" t="s">
        <v>86</v>
      </c>
      <c r="E190" s="264" t="s">
        <v>45</v>
      </c>
      <c r="F190" s="263" t="s">
        <v>87</v>
      </c>
      <c r="G190" s="263" t="s">
        <v>98</v>
      </c>
      <c r="H190" s="265" t="s">
        <v>90</v>
      </c>
      <c r="I190" s="265" t="s">
        <v>571</v>
      </c>
      <c r="J190" s="552" t="s">
        <v>96</v>
      </c>
      <c r="K190" s="263" t="s">
        <v>89</v>
      </c>
      <c r="L190" s="266">
        <f t="shared" si="256"/>
        <v>21</v>
      </c>
      <c r="M190" s="267">
        <v>45460</v>
      </c>
      <c r="N190" s="267">
        <v>45480</v>
      </c>
      <c r="O190" s="266">
        <f t="shared" si="257"/>
        <v>238919.5</v>
      </c>
      <c r="P190" s="268" t="s">
        <v>17</v>
      </c>
      <c r="Q190" s="269">
        <v>1E-3</v>
      </c>
      <c r="R190" s="266">
        <f t="shared" si="272"/>
        <v>238.9195</v>
      </c>
      <c r="S190" s="270">
        <v>0.8</v>
      </c>
      <c r="T190" s="271">
        <f>O190*S190</f>
        <v>191135.6</v>
      </c>
      <c r="U190" s="266">
        <f t="shared" si="273"/>
        <v>191135.6</v>
      </c>
      <c r="V190" s="266">
        <v>1.25</v>
      </c>
      <c r="W190" s="266"/>
      <c r="X190" s="272">
        <v>110</v>
      </c>
      <c r="Y190" s="273">
        <f t="shared" si="259"/>
        <v>26281.145</v>
      </c>
      <c r="Z190" s="273">
        <f t="shared" si="252"/>
        <v>110</v>
      </c>
      <c r="AA190" s="273">
        <f t="shared" si="274"/>
        <v>110</v>
      </c>
      <c r="AB190" s="274">
        <v>477839</v>
      </c>
      <c r="AC190" s="275">
        <v>0.4</v>
      </c>
      <c r="AE190" s="260"/>
      <c r="AF190" s="261">
        <v>0.35200000000000004</v>
      </c>
      <c r="AG190" s="260"/>
      <c r="AJ190" s="346">
        <f t="shared" si="268"/>
        <v>79639.833333333328</v>
      </c>
      <c r="AK190" s="346">
        <f t="shared" si="268"/>
        <v>79639.833333333328</v>
      </c>
      <c r="AL190" s="346">
        <f t="shared" si="268"/>
        <v>79639.833333333328</v>
      </c>
      <c r="AN190" s="346">
        <f t="shared" si="261"/>
        <v>79.639833333333328</v>
      </c>
      <c r="AO190" s="346">
        <f t="shared" si="260"/>
        <v>79.639833333333328</v>
      </c>
      <c r="AP190" s="346">
        <f t="shared" si="260"/>
        <v>79.639833333333328</v>
      </c>
    </row>
    <row r="191" spans="2:42" ht="18.649999999999999" customHeight="1" x14ac:dyDescent="0.35">
      <c r="B191" s="323" t="s">
        <v>135</v>
      </c>
      <c r="C191" s="293" t="s">
        <v>97</v>
      </c>
      <c r="D191" s="263" t="s">
        <v>99</v>
      </c>
      <c r="E191" s="263" t="s">
        <v>46</v>
      </c>
      <c r="F191" s="263" t="s">
        <v>100</v>
      </c>
      <c r="G191" s="263" t="s">
        <v>101</v>
      </c>
      <c r="H191" s="265" t="s">
        <v>88</v>
      </c>
      <c r="I191" s="265" t="s">
        <v>102</v>
      </c>
      <c r="J191" s="553" t="s">
        <v>96</v>
      </c>
      <c r="K191" s="263" t="s">
        <v>89</v>
      </c>
      <c r="L191" s="266">
        <f t="shared" si="256"/>
        <v>21</v>
      </c>
      <c r="M191" s="267">
        <v>45460</v>
      </c>
      <c r="N191" s="267">
        <v>45480</v>
      </c>
      <c r="O191" s="266">
        <f>U191*V191</f>
        <v>3778074.0228000004</v>
      </c>
      <c r="P191" s="268" t="s">
        <v>17</v>
      </c>
      <c r="Q191" s="269">
        <v>1.4999999999999999E-2</v>
      </c>
      <c r="R191" s="266">
        <f>O191*Q191</f>
        <v>56671.110342000007</v>
      </c>
      <c r="S191" s="268" t="s">
        <v>17</v>
      </c>
      <c r="T191" s="271" t="s">
        <v>17</v>
      </c>
      <c r="U191" s="266">
        <f>AB191*AC191</f>
        <v>3778074.0228000004</v>
      </c>
      <c r="V191" s="266">
        <v>1</v>
      </c>
      <c r="W191" s="266"/>
      <c r="X191" s="272">
        <v>105</v>
      </c>
      <c r="Y191" s="273">
        <f t="shared" si="259"/>
        <v>396697.77239400003</v>
      </c>
      <c r="Z191" s="273">
        <f t="shared" si="252"/>
        <v>105</v>
      </c>
      <c r="AA191" s="273">
        <f t="shared" si="274"/>
        <v>7</v>
      </c>
      <c r="AB191" s="274">
        <f>15741975.095*60%</f>
        <v>9445185.057</v>
      </c>
      <c r="AC191" s="275">
        <v>0.4</v>
      </c>
      <c r="AE191" s="260"/>
      <c r="AF191" s="261">
        <v>0.35200000000000004</v>
      </c>
      <c r="AG191" s="260"/>
      <c r="AJ191" s="346">
        <f t="shared" si="268"/>
        <v>1259358.0076000001</v>
      </c>
      <c r="AK191" s="346">
        <f t="shared" si="268"/>
        <v>1259358.0076000001</v>
      </c>
      <c r="AL191" s="346">
        <f t="shared" si="268"/>
        <v>1259358.0076000001</v>
      </c>
      <c r="AN191" s="346">
        <f t="shared" si="261"/>
        <v>18890.370114000001</v>
      </c>
      <c r="AO191" s="346">
        <f t="shared" si="261"/>
        <v>18890.370114000001</v>
      </c>
      <c r="AP191" s="346">
        <f t="shared" si="261"/>
        <v>18890.370114000001</v>
      </c>
    </row>
    <row r="192" spans="2:42" ht="18.649999999999999" customHeight="1" x14ac:dyDescent="0.35">
      <c r="B192" s="324" t="str">
        <f>B191</f>
        <v>Rest of T57</v>
      </c>
      <c r="C192" s="325"/>
      <c r="D192" s="326" t="s">
        <v>18</v>
      </c>
      <c r="E192" s="327"/>
      <c r="F192" s="326"/>
      <c r="G192" s="327"/>
      <c r="H192" s="327"/>
      <c r="I192" s="328"/>
      <c r="J192" s="547"/>
      <c r="K192" s="330"/>
      <c r="L192" s="331"/>
      <c r="M192" s="331"/>
      <c r="N192" s="331"/>
      <c r="O192" s="331">
        <f>SUM(O175:O191)</f>
        <v>53816973.762799993</v>
      </c>
      <c r="P192" s="331"/>
      <c r="Q192" s="332">
        <f>R192/O192</f>
        <v>1.3681288575704792E-3</v>
      </c>
      <c r="R192" s="331">
        <f>SUM(R175:R191)</f>
        <v>73628.554832000009</v>
      </c>
      <c r="S192" s="333"/>
      <c r="T192" s="334">
        <f>SUM(T175:T191)</f>
        <v>40216274.324500002</v>
      </c>
      <c r="U192" s="331">
        <f>AE177+AE181+AE185+AE189+(SUM(U191:U191)*3%)</f>
        <v>10189659.332683999</v>
      </c>
      <c r="V192" s="331">
        <f>O192/U192</f>
        <v>5.2815282636759529</v>
      </c>
      <c r="W192" s="331"/>
      <c r="X192" s="335"/>
      <c r="Y192" s="336">
        <f>SUM(Y175:Y191)</f>
        <v>6955789.9671940012</v>
      </c>
      <c r="Z192" s="337">
        <f t="shared" si="252"/>
        <v>129.24899861244268</v>
      </c>
      <c r="AA192" s="337">
        <f t="shared" si="274"/>
        <v>94.471363495659929</v>
      </c>
      <c r="AB192" s="331">
        <f>AD177+AD181+AD185+AD189+(SUM(AB191:AB191)*2%)</f>
        <v>17470596.834139999</v>
      </c>
      <c r="AC192" s="338">
        <f>U192/AB192</f>
        <v>0.583246206722141</v>
      </c>
      <c r="AD192" s="261"/>
      <c r="AE192" s="290"/>
      <c r="AF192" s="261">
        <v>0.68351319358205043</v>
      </c>
      <c r="AG192" s="290"/>
      <c r="AH192" s="460"/>
      <c r="AI192" s="459"/>
    </row>
    <row r="193" spans="2:42" ht="18.649999999999999" customHeight="1" x14ac:dyDescent="0.35">
      <c r="B193" s="339" t="s">
        <v>136</v>
      </c>
      <c r="C193" s="293" t="s">
        <v>97</v>
      </c>
      <c r="D193" s="340" t="s">
        <v>137</v>
      </c>
      <c r="E193" s="341" t="s">
        <v>46</v>
      </c>
      <c r="F193" s="340" t="s">
        <v>138</v>
      </c>
      <c r="G193" s="341" t="s">
        <v>101</v>
      </c>
      <c r="H193" s="341" t="s">
        <v>88</v>
      </c>
      <c r="I193" s="341" t="s">
        <v>139</v>
      </c>
      <c r="J193" s="553" t="s">
        <v>96</v>
      </c>
      <c r="K193" s="341" t="s">
        <v>89</v>
      </c>
      <c r="L193" s="342">
        <f>N193-(M193-1)</f>
        <v>21</v>
      </c>
      <c r="M193" s="267">
        <v>45460</v>
      </c>
      <c r="N193" s="267">
        <v>45480</v>
      </c>
      <c r="O193" s="342">
        <f>Y193/X193*1000</f>
        <v>7142857.1428571427</v>
      </c>
      <c r="P193" s="344" t="s">
        <v>17</v>
      </c>
      <c r="Q193" s="345">
        <v>1.4999999999999999E-2</v>
      </c>
      <c r="R193" s="346">
        <f>O193*Q193</f>
        <v>107142.85714285713</v>
      </c>
      <c r="S193" s="344" t="s">
        <v>17</v>
      </c>
      <c r="T193" s="344" t="s">
        <v>17</v>
      </c>
      <c r="U193" s="342">
        <f>O193/V193</f>
        <v>3571428.5714285714</v>
      </c>
      <c r="V193" s="347">
        <v>2</v>
      </c>
      <c r="W193" s="347"/>
      <c r="X193" s="348">
        <v>105</v>
      </c>
      <c r="Y193" s="273">
        <f>1500000/2</f>
        <v>750000</v>
      </c>
      <c r="Z193" s="273">
        <f t="shared" si="252"/>
        <v>105</v>
      </c>
      <c r="AA193" s="273">
        <f t="shared" si="274"/>
        <v>7.0000000000000009</v>
      </c>
      <c r="AB193" s="346">
        <v>53766063</v>
      </c>
      <c r="AC193" s="209">
        <f>U193/AB193</f>
        <v>6.6425331745576605E-2</v>
      </c>
      <c r="AE193" s="260"/>
      <c r="AF193" s="261">
        <v>7.7939055914809874E-2</v>
      </c>
      <c r="AG193" s="260"/>
      <c r="AJ193" s="346">
        <f t="shared" si="268"/>
        <v>2380952.3809523811</v>
      </c>
      <c r="AK193" s="346">
        <f t="shared" si="268"/>
        <v>2380952.3809523811</v>
      </c>
      <c r="AL193" s="346">
        <f t="shared" si="268"/>
        <v>2380952.3809523811</v>
      </c>
      <c r="AM193" s="355"/>
      <c r="AN193" s="346">
        <f>$R193/$L193*7</f>
        <v>35714.28571428571</v>
      </c>
      <c r="AO193" s="346">
        <f t="shared" ref="AO193:AP196" si="275">$R193/$L193*7</f>
        <v>35714.28571428571</v>
      </c>
      <c r="AP193" s="346">
        <f t="shared" si="275"/>
        <v>35714.28571428571</v>
      </c>
    </row>
    <row r="194" spans="2:42" ht="18.649999999999999" customHeight="1" x14ac:dyDescent="0.35">
      <c r="B194" s="339" t="s">
        <v>136</v>
      </c>
      <c r="C194" s="293" t="s">
        <v>97</v>
      </c>
      <c r="D194" s="340" t="s">
        <v>140</v>
      </c>
      <c r="E194" s="341" t="s">
        <v>46</v>
      </c>
      <c r="F194" s="340" t="s">
        <v>138</v>
      </c>
      <c r="G194" s="341" t="s">
        <v>101</v>
      </c>
      <c r="H194" s="341" t="s">
        <v>88</v>
      </c>
      <c r="I194" s="341" t="s">
        <v>139</v>
      </c>
      <c r="J194" s="553" t="s">
        <v>96</v>
      </c>
      <c r="K194" s="341" t="s">
        <v>89</v>
      </c>
      <c r="L194" s="342">
        <f>N194-(M194-1)</f>
        <v>21</v>
      </c>
      <c r="M194" s="267">
        <v>45460</v>
      </c>
      <c r="N194" s="267">
        <v>45480</v>
      </c>
      <c r="O194" s="342">
        <f>Y194/X194*1000</f>
        <v>7142857.1428571427</v>
      </c>
      <c r="P194" s="344" t="s">
        <v>17</v>
      </c>
      <c r="Q194" s="345">
        <v>1.4999999999999999E-2</v>
      </c>
      <c r="R194" s="346">
        <f>O194*Q194</f>
        <v>107142.85714285713</v>
      </c>
      <c r="S194" s="344" t="s">
        <v>17</v>
      </c>
      <c r="T194" s="344" t="s">
        <v>17</v>
      </c>
      <c r="U194" s="342">
        <f>O194/V194</f>
        <v>3571428.5714285714</v>
      </c>
      <c r="V194" s="347">
        <v>2</v>
      </c>
      <c r="W194" s="347"/>
      <c r="X194" s="348">
        <v>105</v>
      </c>
      <c r="Y194" s="273">
        <f>1500000/2</f>
        <v>750000</v>
      </c>
      <c r="Z194" s="273">
        <f t="shared" si="252"/>
        <v>105</v>
      </c>
      <c r="AA194" s="273">
        <f t="shared" si="274"/>
        <v>7.0000000000000009</v>
      </c>
      <c r="AB194" s="209"/>
      <c r="AC194" s="209"/>
      <c r="AF194" s="261">
        <v>0</v>
      </c>
      <c r="AJ194" s="346">
        <f t="shared" si="268"/>
        <v>2380952.3809523811</v>
      </c>
      <c r="AK194" s="346">
        <f t="shared" si="268"/>
        <v>2380952.3809523811</v>
      </c>
      <c r="AL194" s="346">
        <f t="shared" si="268"/>
        <v>2380952.3809523811</v>
      </c>
      <c r="AN194" s="346">
        <f>$R194/$L194*7</f>
        <v>35714.28571428571</v>
      </c>
      <c r="AO194" s="346">
        <f t="shared" si="275"/>
        <v>35714.28571428571</v>
      </c>
      <c r="AP194" s="346">
        <f t="shared" si="275"/>
        <v>35714.28571428571</v>
      </c>
    </row>
    <row r="195" spans="2:42" ht="18.649999999999999" customHeight="1" thickBot="1" x14ac:dyDescent="0.4">
      <c r="B195" s="437" t="s">
        <v>142</v>
      </c>
      <c r="C195" s="438"/>
      <c r="D195" s="439"/>
      <c r="E195" s="330"/>
      <c r="F195" s="439"/>
      <c r="G195" s="330"/>
      <c r="H195" s="330"/>
      <c r="I195" s="330"/>
      <c r="J195" s="548"/>
      <c r="K195" s="330"/>
      <c r="L195" s="331"/>
      <c r="M195" s="331"/>
      <c r="N195" s="331"/>
      <c r="O195" s="331">
        <f>SUM(O193:O194)</f>
        <v>14285714.285714285</v>
      </c>
      <c r="P195" s="331"/>
      <c r="Q195" s="332">
        <v>1.4999999999999999E-2</v>
      </c>
      <c r="R195" s="331">
        <f>SUM(R193:R194)</f>
        <v>214285.71428571426</v>
      </c>
      <c r="S195" s="333"/>
      <c r="T195" s="334"/>
      <c r="U195" s="331">
        <f>U193+SUM(U194)*15%</f>
        <v>4107142.8571428573</v>
      </c>
      <c r="V195" s="331">
        <v>10</v>
      </c>
      <c r="W195" s="331"/>
      <c r="X195" s="335">
        <v>175</v>
      </c>
      <c r="Y195" s="336">
        <f>SUM(Y193:Y194)</f>
        <v>1500000</v>
      </c>
      <c r="Z195" s="337"/>
      <c r="AA195" s="337"/>
      <c r="AB195" s="440"/>
      <c r="AC195" s="338"/>
      <c r="AD195" s="355"/>
      <c r="AE195" s="290"/>
      <c r="AF195" s="261">
        <v>0</v>
      </c>
      <c r="AG195" s="290"/>
    </row>
    <row r="196" spans="2:42" ht="18.649999999999999" customHeight="1" thickBot="1" x14ac:dyDescent="0.4">
      <c r="B196" s="441" t="s">
        <v>136</v>
      </c>
      <c r="C196" s="442" t="s">
        <v>97</v>
      </c>
      <c r="D196" s="449" t="s">
        <v>529</v>
      </c>
      <c r="E196" s="449" t="s">
        <v>46</v>
      </c>
      <c r="F196" s="449" t="s">
        <v>530</v>
      </c>
      <c r="G196" s="449" t="s">
        <v>98</v>
      </c>
      <c r="H196" s="450" t="s">
        <v>88</v>
      </c>
      <c r="I196" s="450" t="s">
        <v>139</v>
      </c>
      <c r="J196" s="549" t="s">
        <v>531</v>
      </c>
      <c r="K196" s="449" t="s">
        <v>105</v>
      </c>
      <c r="L196" s="451">
        <f t="shared" ref="L196" si="276">N196-(M196-1)</f>
        <v>21</v>
      </c>
      <c r="M196" s="452">
        <v>45460</v>
      </c>
      <c r="N196" s="452">
        <v>45480</v>
      </c>
      <c r="O196" s="451">
        <f>R196/Q196</f>
        <v>273600000</v>
      </c>
      <c r="P196" s="453" t="s">
        <v>17</v>
      </c>
      <c r="Q196" s="443">
        <v>7.0000000000000001E-3</v>
      </c>
      <c r="R196" s="451">
        <f>3830400*50%</f>
        <v>1915200</v>
      </c>
      <c r="S196" s="453" t="s">
        <v>17</v>
      </c>
      <c r="T196" s="454"/>
      <c r="U196" s="451">
        <f>O196/V196</f>
        <v>68400000</v>
      </c>
      <c r="V196" s="451">
        <v>4</v>
      </c>
      <c r="W196" s="451"/>
      <c r="X196" s="455">
        <v>4</v>
      </c>
      <c r="Y196" s="444">
        <f>R196*X196</f>
        <v>7660800</v>
      </c>
      <c r="Z196" s="444">
        <f>Y196/O196*1000</f>
        <v>28</v>
      </c>
      <c r="AA196" s="444">
        <f>Y196/R196</f>
        <v>4</v>
      </c>
      <c r="AB196" s="456"/>
      <c r="AC196" s="457"/>
      <c r="AD196" s="445"/>
      <c r="AE196" s="445"/>
      <c r="AF196" s="261">
        <v>0</v>
      </c>
      <c r="AG196" s="445"/>
      <c r="AH196" s="446" t="s">
        <v>532</v>
      </c>
      <c r="AJ196" s="346">
        <f t="shared" si="268"/>
        <v>91200000</v>
      </c>
      <c r="AK196" s="346">
        <f t="shared" si="268"/>
        <v>91200000</v>
      </c>
      <c r="AL196" s="346">
        <f t="shared" si="268"/>
        <v>91200000</v>
      </c>
      <c r="AN196" s="346">
        <f>$R196/$L196*7</f>
        <v>638400</v>
      </c>
      <c r="AO196" s="346">
        <f t="shared" si="275"/>
        <v>638400</v>
      </c>
      <c r="AP196" s="346">
        <f t="shared" si="275"/>
        <v>638400</v>
      </c>
    </row>
    <row r="197" spans="2:42" x14ac:dyDescent="0.35">
      <c r="B197" s="356" t="s">
        <v>18</v>
      </c>
      <c r="C197" s="356"/>
      <c r="D197" s="356"/>
      <c r="E197" s="357"/>
      <c r="F197" s="356"/>
      <c r="G197" s="356"/>
      <c r="H197" s="356"/>
      <c r="I197" s="356"/>
      <c r="J197" s="550"/>
      <c r="K197" s="356"/>
      <c r="L197" s="356"/>
      <c r="M197" s="356"/>
      <c r="N197" s="356"/>
      <c r="O197" s="358">
        <f>O192+O174+O166+O158+O150+O142+O134+O126+O118+O106+O94+O20+O82+O70+O39+O58+O195+O27+O46+O196+O8</f>
        <v>759645709.47308183</v>
      </c>
      <c r="P197" s="356"/>
      <c r="Q197" s="356"/>
      <c r="R197" s="358">
        <f>R192+R174+R166+R158+R150+R142+R134+R126+R118+R106+R94+R20+R82+R70+R39+R58+R195+R27+R46+R196+R8</f>
        <v>3750126.1822670847</v>
      </c>
      <c r="S197" s="356"/>
      <c r="T197" s="358">
        <f>T192+T174+T166+T158+T150+T142+T134+T126+T118+T106+T94+T20+T82+T70+T39+T58+T195+T27+T46+T196+T8</f>
        <v>294212534.01901782</v>
      </c>
      <c r="U197" s="358">
        <f>U192+U174+U166+U158+U150+U142+U134+U126+U118+U106+U94+U20+U82+U70+U39+U58+U27+U46+((U195+U196+U8)*10%)</f>
        <v>76436511.07769157</v>
      </c>
      <c r="V197" s="359">
        <f>O197/U197</f>
        <v>9.938257238101345</v>
      </c>
      <c r="W197" s="359"/>
      <c r="X197" s="356"/>
      <c r="Y197" s="360">
        <f>Y192+Y174+Y166+Y158+Y150+Y142+Y134+Y126+Y118+Y106+Y94+Y20+Y82+Y70+Y39+Y58+Y195+Y27+Y46+Y196+Y8</f>
        <v>72304473.263051361</v>
      </c>
      <c r="Z197" s="356"/>
      <c r="AA197" s="356"/>
      <c r="AB197" s="358">
        <f>91*10^6</f>
        <v>91000000</v>
      </c>
      <c r="AC197" s="447">
        <f>U197/AB197</f>
        <v>0.83996166019441287</v>
      </c>
      <c r="AF197" s="261">
        <v>0.81053499196340073</v>
      </c>
      <c r="AJ197" s="358">
        <f>SUM(AJ3:AJ196)</f>
        <v>253163455.49293217</v>
      </c>
      <c r="AK197" s="358">
        <f t="shared" ref="AK197:AL197" si="277">SUM(AK3:AK196)</f>
        <v>254579242.01007503</v>
      </c>
      <c r="AL197" s="358">
        <f t="shared" si="277"/>
        <v>251903011.97007501</v>
      </c>
      <c r="AN197" s="358">
        <f t="shared" ref="AN197" si="278">SUM(AN3:AN196)</f>
        <v>1243577.072908076</v>
      </c>
      <c r="AO197" s="358">
        <f t="shared" ref="AO197" si="279">SUM(AO3:AO196)</f>
        <v>1259965.1297795044</v>
      </c>
      <c r="AP197" s="358">
        <f t="shared" ref="AP197" si="280">SUM(AP3:AP196)</f>
        <v>1246583.9795795043</v>
      </c>
    </row>
    <row r="198" spans="2:42" x14ac:dyDescent="0.35">
      <c r="Y198" s="261"/>
    </row>
    <row r="199" spans="2:42" x14ac:dyDescent="0.35">
      <c r="O199" s="364"/>
    </row>
    <row r="200" spans="2:42" x14ac:dyDescent="0.35">
      <c r="O200" s="290"/>
      <c r="AJ200" s="261"/>
      <c r="AK200" s="261"/>
      <c r="AL200" s="261"/>
    </row>
    <row r="201" spans="2:42" x14ac:dyDescent="0.35">
      <c r="Q201" s="261"/>
      <c r="R201" s="290"/>
      <c r="AH201" s="365"/>
    </row>
    <row r="202" spans="2:42" x14ac:dyDescent="0.35">
      <c r="M202" s="366"/>
      <c r="O202" s="290"/>
      <c r="R202" s="290"/>
      <c r="AH202" s="365"/>
    </row>
    <row r="203" spans="2:42" x14ac:dyDescent="0.35">
      <c r="R203" s="290"/>
      <c r="AH203" s="365"/>
    </row>
    <row r="204" spans="2:42" x14ac:dyDescent="0.35">
      <c r="E204" s="364"/>
      <c r="R204" s="290"/>
      <c r="AH204" s="365"/>
    </row>
    <row r="205" spans="2:42" x14ac:dyDescent="0.35">
      <c r="E205" s="364"/>
      <c r="R205" s="290"/>
      <c r="AE205" s="260"/>
      <c r="AF205" s="260"/>
      <c r="AG205" s="260"/>
    </row>
    <row r="206" spans="2:42" x14ac:dyDescent="0.35">
      <c r="E206" s="364"/>
      <c r="T206" s="260"/>
      <c r="Y206" s="545"/>
    </row>
    <row r="207" spans="2:42" x14ac:dyDescent="0.35">
      <c r="E207" s="364"/>
      <c r="Z207" s="261"/>
    </row>
    <row r="208" spans="2:42" x14ac:dyDescent="0.35">
      <c r="E208" s="364"/>
    </row>
    <row r="209" spans="5:34" x14ac:dyDescent="0.35">
      <c r="E209" s="364"/>
      <c r="Y209" s="261"/>
    </row>
    <row r="210" spans="5:34" x14ac:dyDescent="0.35">
      <c r="E210" s="364"/>
    </row>
    <row r="211" spans="5:34" x14ac:dyDescent="0.35">
      <c r="E211" s="364"/>
    </row>
    <row r="212" spans="5:34" x14ac:dyDescent="0.35">
      <c r="E212" s="364"/>
    </row>
    <row r="215" spans="5:34" x14ac:dyDescent="0.35">
      <c r="X215" s="364"/>
      <c r="AH215" s="365"/>
    </row>
  </sheetData>
  <autoFilter ref="B2:AP197" xr:uid="{CD331D63-BB99-4064-98C6-99BA085ED374}"/>
  <mergeCells count="2">
    <mergeCell ref="AJ1:AL1"/>
    <mergeCell ref="AN1:AP1"/>
  </mergeCells>
  <hyperlinks>
    <hyperlink ref="J51" location="Targeting_Core!A1" display="Reff : Targeting Sheet" xr:uid="{7010DE6B-B93C-4EAB-92F8-BCB71E4FDBC0}"/>
    <hyperlink ref="J47" location="Targeting_Core!A1" display="Reff : Targeting Sheet" xr:uid="{48D4042E-93C1-4B08-8180-4CC707040B21}"/>
    <hyperlink ref="J48" location="Targeting_Core!A1" display="Reff : Targeting Sheet" xr:uid="{85EA2697-72B7-4D84-9558-3C8998A4F6DF}"/>
    <hyperlink ref="J49" location="Targeting_Core!A1" display="Reff : Targeting Sheet" xr:uid="{37415FB0-A788-41DB-8B8C-2A11E1469692}"/>
    <hyperlink ref="J32" location="Targeting_Core!A1" display="Reff : Targeting Sheet" xr:uid="{348CAB00-5432-46E8-82DC-7308E99D19CA}"/>
    <hyperlink ref="J30" location="Targeting_Core!A1" display="Reff : Targeting Sheet" xr:uid="{3A54D4A5-4BD6-4BAE-8060-656D24BBBCB4}"/>
    <hyperlink ref="J63" location="Targeting_Core!A1" display="Reff : Targeting Sheet" xr:uid="{9A8AAD26-407C-403F-BED7-ED3036C18591}"/>
    <hyperlink ref="J59" location="Targeting_Core!A1" display="Reff : Targeting Sheet" xr:uid="{FF2AE72A-EB2F-47EC-AAB3-93786AC57616}"/>
    <hyperlink ref="J60" location="Targeting_Core!A1" display="Reff : Targeting Sheet" xr:uid="{74C7E14F-7001-4B9E-AA16-DD28CE79E88B}"/>
    <hyperlink ref="J61" location="Targeting_Core!A1" display="Reff : Targeting Sheet" xr:uid="{BA421D3A-0604-41EB-912C-399EB26BE6C9}"/>
    <hyperlink ref="J75" location="Targeting_Core!A1" display="Reff : Targeting Sheet" xr:uid="{E3B301ED-E3C1-42C5-B3EB-517A1C5FA7A1}"/>
    <hyperlink ref="J71" location="Targeting_Core!A1" display="Reff : Targeting Sheet" xr:uid="{63B650B4-A48F-40B6-A82E-6542A633E949}"/>
    <hyperlink ref="J72" location="Targeting_Core!A1" display="Reff : Targeting Sheet" xr:uid="{96375CF9-F026-4E83-A2DF-9F058390DB77}"/>
    <hyperlink ref="J73" location="Targeting_Core!A1" display="Reff : Targeting Sheet" xr:uid="{9F97E7E1-EB8E-4C7E-B0B6-577A650756B7}"/>
    <hyperlink ref="J13" location="Targeting_Core!A1" display="Reff : Targeting Sheet" xr:uid="{2789B60C-08F6-41C7-B7F0-4A3CF26758CE}"/>
    <hyperlink ref="J9" location="Targeting_Core!A1" display="Reff : Targeting Sheet" xr:uid="{F02BCFA4-894F-47B5-9863-E357EA5363B2}"/>
    <hyperlink ref="J10" location="Targeting_Core!A1" display="Reff : Targeting Sheet" xr:uid="{45A8FC04-302E-4551-BE70-4FF159411F82}"/>
    <hyperlink ref="J11" location="Targeting_Core!A1" display="Reff : Targeting Sheet" xr:uid="{D643ECEC-41B9-4638-8085-3E6CC86C0EFE}"/>
    <hyperlink ref="J87" location="Targeting_Core!A1" display="Reff : Targeting Sheet" xr:uid="{94F91FA6-35FC-4A57-8AA1-1D8E49B21C5F}"/>
    <hyperlink ref="J83" location="Targeting_Core!A1" display="Reff : Targeting Sheet" xr:uid="{D3C81788-6A9A-4954-9C9B-D7842391FBC3}"/>
    <hyperlink ref="J84" location="Targeting_Core!A1" display="Reff : Targeting Sheet" xr:uid="{51EBFC59-03DB-4AF0-8560-931C88A78BA4}"/>
    <hyperlink ref="J85" location="Targeting_Core!A1" display="Reff : Targeting Sheet" xr:uid="{9AD870AE-7753-4E45-B4B7-EF786A1B8720}"/>
    <hyperlink ref="J99" location="Targeting_Core!A1" display="Reff : Targeting Sheet" xr:uid="{96E917A8-67A3-4EEB-88C4-A5EBDD509F6D}"/>
    <hyperlink ref="J95" location="Targeting_Core!A1" display="Reff : Targeting Sheet" xr:uid="{0E570F78-8E49-4744-BA69-EFAADDF37230}"/>
    <hyperlink ref="J96" location="Targeting_Core!A1" display="Reff : Targeting Sheet" xr:uid="{59E8E7FF-175D-4645-8F4B-20FEC25CC015}"/>
    <hyperlink ref="J97" location="Targeting_Core!A1" display="Reff : Targeting Sheet" xr:uid="{D1FE6FE5-6DF8-4866-BEB3-05C0E39C4369}"/>
    <hyperlink ref="J111" location="Targeting_Core!A1" display="Reff : Targeting Sheet" xr:uid="{78DA0E4C-1BBA-47C6-8CEB-28CC574591DA}"/>
    <hyperlink ref="J107" location="Targeting_Core!A1" display="Reff : Targeting Sheet" xr:uid="{B484432B-B2DB-48DE-94FB-A67E5C71D967}"/>
    <hyperlink ref="J108" location="Targeting_Core!A1" display="Reff : Targeting Sheet" xr:uid="{2D6374D9-A257-4828-8633-D9778ACA0978}"/>
    <hyperlink ref="J109" location="Targeting_Core!A1" display="Reff : Targeting Sheet" xr:uid="{5E447569-6454-406D-8AC4-9F710793FCC5}"/>
    <hyperlink ref="J123" location="Targeting_Core!A1" display="Reff : Targeting Sheet" xr:uid="{13BF3630-E163-41AB-9E41-809336D812C0}"/>
    <hyperlink ref="J119" location="Targeting_Core!A1" display="Reff : Targeting Sheet" xr:uid="{0D435B8A-EE7F-47BD-86D6-4DAE62412855}"/>
    <hyperlink ref="J120" location="Targeting_Core!A1" display="Reff : Targeting Sheet" xr:uid="{D115792D-6342-4395-A834-7C31EF687A4D}"/>
    <hyperlink ref="J121" location="Targeting_Core!A1" display="Reff : Targeting Sheet" xr:uid="{26DBA85C-503B-4A6B-B428-A241A43C5EB5}"/>
    <hyperlink ref="J131" location="Targeting_Core!A1" display="Reff : Targeting Sheet" xr:uid="{88583752-81FB-49A2-AE0C-389D53674DD2}"/>
    <hyperlink ref="J127" location="Targeting_Core!A1" display="Reff : Targeting Sheet" xr:uid="{CEA4BB5E-51EF-435C-BDF5-E7F3DB5156DA}"/>
    <hyperlink ref="J128" location="Targeting_Core!A1" display="Reff : Targeting Sheet" xr:uid="{AFD4A392-B3B2-42AF-BDB5-F789429BEF7C}"/>
    <hyperlink ref="J129" location="Targeting_Core!A1" display="Reff : Targeting Sheet" xr:uid="{ED8954CD-5493-4803-AE8F-B9D9DE6E98CE}"/>
    <hyperlink ref="J139" location="Targeting_Core!A1" display="Reff : Targeting Sheet" xr:uid="{A5B46E61-4105-4937-BB1B-862E68F00530}"/>
    <hyperlink ref="J135" location="Targeting_Core!A1" display="Reff : Targeting Sheet" xr:uid="{201A4EEA-9F61-40B3-A8BE-7234BAC43E2A}"/>
    <hyperlink ref="J136" location="Targeting_Core!A1" display="Reff : Targeting Sheet" xr:uid="{FAA5EF70-9519-4BFB-9D4F-7EC81E84A6BC}"/>
    <hyperlink ref="J137" location="Targeting_Core!A1" display="Reff : Targeting Sheet" xr:uid="{9C1B5E9B-41B1-4F5A-8838-944DBDBBF5B4}"/>
    <hyperlink ref="J147" location="Targeting_Core!A1" display="Reff : Targeting Sheet" xr:uid="{1F1B2C93-0F12-4A28-9109-FC2B4C4F2BAE}"/>
    <hyperlink ref="J143" location="Targeting_Core!A1" display="Reff : Targeting Sheet" xr:uid="{F137F9D1-7CD9-413E-9356-4FC1F98D70B4}"/>
    <hyperlink ref="J144" location="Targeting_Core!A1" display="Reff : Targeting Sheet" xr:uid="{417C94F3-C9B4-4671-8B67-E018B5886311}"/>
    <hyperlink ref="J145" location="Targeting_Core!A1" display="Reff : Targeting Sheet" xr:uid="{4C9DE22B-C52C-435F-B442-905AFD5D20AA}"/>
    <hyperlink ref="J155" location="Targeting_Core!A1" display="Reff : Targeting Sheet" xr:uid="{C77F5C22-2CD2-4955-B80B-10FDCF0A269F}"/>
    <hyperlink ref="J151" location="Targeting_Core!A1" display="Reff : Targeting Sheet" xr:uid="{92E63734-BAAA-4FBA-AA9F-9D8E82567818}"/>
    <hyperlink ref="J152" location="Targeting_Core!A1" display="Reff : Targeting Sheet" xr:uid="{89B5B2DE-3D3D-4525-929C-300B4DB1A594}"/>
    <hyperlink ref="J153" location="Targeting_Core!A1" display="Reff : Targeting Sheet" xr:uid="{66EE8A20-B9A8-4B3A-9CC0-8164E451EADF}"/>
    <hyperlink ref="J163" location="Targeting_Core!A1" display="Reff : Targeting Sheet" xr:uid="{43027BF5-CDB6-4644-91E0-C08A840343B7}"/>
    <hyperlink ref="J159" location="Targeting_Core!A1" display="Reff : Targeting Sheet" xr:uid="{614628AB-D01A-4972-ADA0-B6B070EFA8AA}"/>
    <hyperlink ref="J160" location="Targeting_Core!A1" display="Reff : Targeting Sheet" xr:uid="{E2822501-8E3C-4340-9E39-537C1CEB5EEB}"/>
    <hyperlink ref="J161" location="Targeting_Core!A1" display="Reff : Targeting Sheet" xr:uid="{5BF13270-FBD8-478B-A802-8E163E023ECB}"/>
    <hyperlink ref="J171" location="Targeting_Core!A1" display="Reff : Targeting Sheet" xr:uid="{02EC2475-315A-4E52-8149-DAD0ABF2E970}"/>
    <hyperlink ref="J167" location="Targeting_Core!A1" display="Reff : Targeting Sheet" xr:uid="{16737A35-1542-4C61-A8BA-0657CDB1ECA8}"/>
    <hyperlink ref="J168" location="Targeting_Core!A1" display="Reff : Targeting Sheet" xr:uid="{1B61BA4F-DB6B-4FDD-ADD7-C3E11BAC4D69}"/>
    <hyperlink ref="J169" location="Targeting_Core!A1" display="Reff : Targeting Sheet" xr:uid="{EE076905-23A5-4DD2-85BC-4A8473AAD3B5}"/>
    <hyperlink ref="J191" location="Targeting_Core!A1" display="Reff : Targeting Sheet" xr:uid="{19AD75BD-2358-45A6-AE1A-ED62DA79202F}"/>
    <hyperlink ref="J175" location="Targeting_Core!A1" display="Reff : Targeting Sheet" xr:uid="{0AD2D1CE-CEBE-4181-B0A0-F5D4688F80FD}"/>
    <hyperlink ref="J176" location="Targeting_Core!A1" display="Reff : Targeting Sheet" xr:uid="{0DCFBF23-721A-4E77-84AC-05F04439BD46}"/>
    <hyperlink ref="J177" location="Targeting_Core!A1" display="Reff : Targeting Sheet" xr:uid="{C86DE484-E5DE-4ACA-B9E4-C5C30D859FC3}"/>
    <hyperlink ref="J53" location="Targeting_Core!A1" display="Reff : Targeting Sheet" xr:uid="{B52D83AD-D342-495D-8411-2ADE28A3E69D}"/>
    <hyperlink ref="J34" location="Targeting_Core!A1" display="Reff : Targeting Sheet" xr:uid="{1101840A-5800-4A70-BB34-C29A353A9812}"/>
    <hyperlink ref="J65" location="Targeting_Core!A1" display="Reff : Targeting Sheet" xr:uid="{D170742A-0FE7-4664-955C-B86CCC5AA469}"/>
    <hyperlink ref="J77" location="Targeting_Core!A1" display="Reff : Targeting Sheet" xr:uid="{5CA81D51-ABA1-4D85-9CF9-CD1CF41EA375}"/>
    <hyperlink ref="J15" location="Targeting_Core!A1" display="Reff : Targeting Sheet" xr:uid="{29C7867C-69D3-47FF-9D1F-CE77C61F3ECB}"/>
    <hyperlink ref="J89" location="Targeting_Core!A1" display="Reff : Targeting Sheet" xr:uid="{92147EC5-8720-4B72-917A-02D65807C455}"/>
    <hyperlink ref="J101" location="Targeting_Core!A1" display="Reff : Targeting Sheet" xr:uid="{B044F9C2-BDEF-48A4-9D37-6548C4722D41}"/>
    <hyperlink ref="J113" location="Targeting_Core!A1" display="Reff : Targeting Sheet" xr:uid="{0EE68426-1EA6-4A3B-9C49-51226BDC87C0}"/>
    <hyperlink ref="J125" location="Targeting_Core!A1" display="Reff : Targeting Sheet" xr:uid="{43C35969-732A-4C69-85A4-C3D7A5B1289D}"/>
    <hyperlink ref="J133" location="Targeting_Core!A1" display="Reff : Targeting Sheet" xr:uid="{7167BD58-51E5-4526-AAC4-395735725FF0}"/>
    <hyperlink ref="J141" location="Targeting_Core!A1" display="Reff : Targeting Sheet" xr:uid="{F99CC619-0D4E-46E3-AEF3-AFD543F4CD8B}"/>
    <hyperlink ref="J149" location="Targeting_Core!A1" display="Reff : Targeting Sheet" xr:uid="{271D88A6-AFDE-4989-9DC1-699D0B08A1AC}"/>
    <hyperlink ref="J157" location="Targeting_Core!A1" display="Reff : Targeting Sheet" xr:uid="{26210A1A-BC67-4B82-9A90-394A64FA876F}"/>
    <hyperlink ref="J165" location="Targeting_Core!A1" display="Reff : Targeting Sheet" xr:uid="{9D420A37-C1C9-49FD-9494-5D8BE83B5399}"/>
    <hyperlink ref="J173" location="Targeting_Core!A1" display="Reff : Targeting Sheet" xr:uid="{606CF44F-8817-4538-8CFB-5C445FDDC4AF}"/>
    <hyperlink ref="J179" location="Targeting_Core!A1" display="Reff : Targeting Sheet" xr:uid="{FA8A9D93-9654-4B52-B76D-C2523016A596}"/>
    <hyperlink ref="J180" location="Targeting_Core!A1" display="Reff : Targeting Sheet" xr:uid="{DD15A372-388C-45BB-9E72-163441136020}"/>
    <hyperlink ref="J181" location="Targeting_Core!A1" display="Reff : Targeting Sheet" xr:uid="{8EDF1400-EC5D-4CA5-9167-6512E362CEF1}"/>
    <hyperlink ref="J183" location="Targeting_Core!A1" display="Reff : Targeting Sheet" xr:uid="{614DA540-188A-495F-92C0-34390D4FD5DC}"/>
    <hyperlink ref="J184" location="Targeting_Core!A1" display="Reff : Targeting Sheet" xr:uid="{4EA0DA50-5D35-4A52-9853-535F2CD93C82}"/>
    <hyperlink ref="J185" location="Targeting_Core!A1" display="Reff : Targeting Sheet" xr:uid="{0C5372B9-0584-4329-8A71-BDA88CE1761F}"/>
    <hyperlink ref="J187" location="Targeting_Core!A1" display="Reff : Targeting Sheet" xr:uid="{E28BA139-DC75-4593-9659-2052C8623F18}"/>
    <hyperlink ref="J188" location="Targeting_Core!A1" display="Reff : Targeting Sheet" xr:uid="{F05C0468-63DA-402A-93FF-96A7C2C05B1E}"/>
    <hyperlink ref="J189" location="Targeting_Core!A1" display="Reff : Targeting Sheet" xr:uid="{C52DD101-555C-474F-9897-DE0B2F04FE9D}"/>
    <hyperlink ref="J29" location="Targeting_Core!A1" display="Reff : Targeting Sheet" xr:uid="{0D08C820-E097-43F8-8D88-4BD00D4DADEE}"/>
    <hyperlink ref="J28" location="Targeting_Core!A1" display="Reff : Targeting Sheet" xr:uid="{71B96836-08E9-4A06-8D29-A87F354E0EA6}"/>
    <hyperlink ref="J193:J194" location="Targeting_Core!A1" display="Reff : Targeting Sheet" xr:uid="{85601304-2116-4D67-94E6-77F76FF59503}"/>
    <hyperlink ref="J23" location="Targeting_Core!A1" display="Reff : Targeting Sheet" xr:uid="{804ECE84-CA94-4FBC-9D0A-F8E351E870F9}"/>
    <hyperlink ref="J25" location="Targeting_Core!A1" display="Reff : Targeting Sheet" xr:uid="{D9DAD352-8A85-47A8-AE61-78D0E0D72295}"/>
    <hyperlink ref="J42" location="Targeting_Core!A1" display="Reff : Targeting Sheet" xr:uid="{EF221C82-AEDB-48EF-950D-85B67972D68B}"/>
    <hyperlink ref="J44" location="Targeting_Core!A1" display="Reff : Targeting Sheet" xr:uid="{1EF9E6FF-042B-4AA8-AFC5-44EC97814B36}"/>
    <hyperlink ref="J12" location="Targeting_Core!A1" display="Reff : Targeting Sheet" xr:uid="{AB81471B-8556-4B49-AAE9-67CC629A732D}"/>
    <hyperlink ref="J21" location="Targeting_Core!A1" display="Reff : Targeting Sheet" xr:uid="{AE013D33-BA84-475C-B90E-F81D318455D5}"/>
    <hyperlink ref="J22" location="Targeting_Core!A1" display="Reff : Targeting Sheet" xr:uid="{D6B99BE2-E776-4907-A1CA-54D655C826B2}"/>
    <hyperlink ref="J31" location="Targeting_Core!A1" display="Reff : Targeting Sheet" xr:uid="{FAD1B406-6AF4-474A-BB3C-ED087C569E1E}"/>
    <hyperlink ref="J40" location="Targeting_Core!A1" display="Reff : Targeting Sheet" xr:uid="{99E47248-3BEE-4118-A9E1-963E887C152C}"/>
    <hyperlink ref="J41" location="Targeting_Core!A1" display="Reff : Targeting Sheet" xr:uid="{E863FB71-9396-4C02-8B67-831C67766EFC}"/>
    <hyperlink ref="J50" location="Targeting_Core!A1" display="Reff : Targeting Sheet" xr:uid="{3E836326-FB6D-4A41-8C8C-91081E14A6E4}"/>
    <hyperlink ref="J62" location="Targeting_Core!A1" display="Reff : Targeting Sheet" xr:uid="{DA0698B9-0207-47A0-98B2-09036C5C07A7}"/>
    <hyperlink ref="J74" location="Targeting_Core!A1" display="Reff : Targeting Sheet" xr:uid="{83EE880D-27F6-48FB-8031-BB8F03C36B1C}"/>
    <hyperlink ref="J86" location="Targeting_Core!A1" display="Reff : Targeting Sheet" xr:uid="{501F9654-7503-4020-99BB-4C5399BA34B9}"/>
    <hyperlink ref="J98" location="Targeting_Core!A1" display="Reff : Targeting Sheet" xr:uid="{BEE3BB00-8A5C-4D63-85BA-0EEDB8EE12F4}"/>
    <hyperlink ref="J110" location="Targeting_Core!A1" display="Reff : Targeting Sheet" xr:uid="{BFB151AC-7E9B-4219-ADE8-CB212DA1D4CE}"/>
    <hyperlink ref="J122" location="Targeting_Core!A1" display="Reff : Targeting Sheet" xr:uid="{DBF07ECA-353E-4C3E-8D91-AE22A22E8525}"/>
    <hyperlink ref="J130" location="Targeting_Core!A1" display="Reff : Targeting Sheet" xr:uid="{CAC2BDB7-DBC2-4981-95DC-6AE92C140BC8}"/>
    <hyperlink ref="J138" location="Targeting_Core!A1" display="Reff : Targeting Sheet" xr:uid="{9DDE96CF-26AD-495A-B55C-4A35CE397C84}"/>
    <hyperlink ref="J146" location="Targeting_Core!A1" display="Reff : Targeting Sheet" xr:uid="{65292011-68AB-458A-85D2-AA1A2262EEB7}"/>
    <hyperlink ref="J154" location="Targeting_Core!A1" display="Reff : Targeting Sheet" xr:uid="{A34AEE8A-DA41-49EA-A77A-E7C3BA289E29}"/>
    <hyperlink ref="J162" location="Targeting_Core!A1" display="Reff : Targeting Sheet" xr:uid="{04870791-CD1F-4B95-A432-DD923901FD90}"/>
    <hyperlink ref="J170" location="Targeting_Core!A1" display="Reff : Targeting Sheet" xr:uid="{59864764-1109-4E72-85B7-18BF0C0399F0}"/>
    <hyperlink ref="J178" location="Targeting_Core!A1" display="Reff : Targeting Sheet" xr:uid="{991488A8-143F-44A5-9D6E-32991DDD8D16}"/>
    <hyperlink ref="J182" location="Targeting_Core!A1" display="Reff : Targeting Sheet" xr:uid="{84557E48-A952-4FE7-8AE8-A4B8E1C021F1}"/>
    <hyperlink ref="J186" location="Targeting_Core!A1" display="Reff : Targeting Sheet" xr:uid="{8ECC0563-687A-4465-92CB-CC7A321BA082}"/>
    <hyperlink ref="J190" location="Targeting_Core!A1" display="Reff : Targeting Sheet" xr:uid="{64B3DE4C-C614-4F92-AB43-EDD078A1405F}"/>
  </hyperlink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F4265-36FE-4617-A2B4-F522901FBDA3}">
  <sheetPr>
    <tabColor theme="9" tint="0.79998168889431442"/>
  </sheetPr>
  <dimension ref="A2:O71"/>
  <sheetViews>
    <sheetView showGridLines="0" zoomScale="80" zoomScaleNormal="80" workbookViewId="0">
      <selection activeCell="G16" sqref="G16"/>
    </sheetView>
  </sheetViews>
  <sheetFormatPr defaultColWidth="8.81640625" defaultRowHeight="12" x14ac:dyDescent="0.3"/>
  <cols>
    <col min="1" max="1" width="41.54296875" style="369" customWidth="1"/>
    <col min="2" max="2" width="17.54296875" style="369" bestFit="1" customWidth="1"/>
    <col min="3" max="3" width="14.453125" style="369" customWidth="1"/>
    <col min="4" max="4" width="10.81640625" style="369" bestFit="1" customWidth="1"/>
    <col min="5" max="5" width="14" style="369" customWidth="1"/>
    <col min="6" max="8" width="14.453125" style="369" customWidth="1"/>
    <col min="9" max="12" width="17.1796875" style="369" customWidth="1"/>
    <col min="13" max="13" width="20.81640625" style="369" customWidth="1"/>
    <col min="14" max="14" width="35.54296875" style="369" bestFit="1" customWidth="1"/>
    <col min="15" max="15" width="33.54296875" style="369" bestFit="1" customWidth="1"/>
    <col min="16" max="16384" width="8.81640625" style="369"/>
  </cols>
  <sheetData>
    <row r="2" spans="1:15" ht="24" x14ac:dyDescent="0.3">
      <c r="A2" s="581" t="s">
        <v>143</v>
      </c>
      <c r="B2" s="368" t="s">
        <v>144</v>
      </c>
      <c r="C2" s="368" t="s">
        <v>145</v>
      </c>
      <c r="D2" s="368" t="s">
        <v>146</v>
      </c>
      <c r="E2" s="368" t="s">
        <v>147</v>
      </c>
      <c r="F2" s="368" t="s">
        <v>116</v>
      </c>
      <c r="G2" s="367" t="s">
        <v>109</v>
      </c>
      <c r="H2" s="367" t="s">
        <v>103</v>
      </c>
      <c r="I2" s="367" t="s">
        <v>106</v>
      </c>
      <c r="J2" s="368" t="s">
        <v>148</v>
      </c>
      <c r="K2" s="368" t="s">
        <v>140</v>
      </c>
      <c r="L2" s="368" t="s">
        <v>141</v>
      </c>
      <c r="M2" s="368" t="s">
        <v>597</v>
      </c>
      <c r="N2" s="368" t="s">
        <v>607</v>
      </c>
    </row>
    <row r="3" spans="1:15" ht="72" x14ac:dyDescent="0.3">
      <c r="A3" s="582"/>
      <c r="B3" s="370" t="s">
        <v>19</v>
      </c>
      <c r="C3" s="370" t="s">
        <v>602</v>
      </c>
      <c r="D3" s="370" t="s">
        <v>19</v>
      </c>
      <c r="E3" s="370" t="s">
        <v>149</v>
      </c>
      <c r="F3" s="370" t="s">
        <v>601</v>
      </c>
      <c r="G3" s="370" t="s">
        <v>150</v>
      </c>
      <c r="H3" s="371" t="s">
        <v>151</v>
      </c>
      <c r="I3" s="371" t="s">
        <v>151</v>
      </c>
      <c r="J3" s="371" t="s">
        <v>152</v>
      </c>
      <c r="K3" s="372" t="s">
        <v>153</v>
      </c>
      <c r="L3" s="372" t="s">
        <v>153</v>
      </c>
      <c r="M3" s="370" t="s">
        <v>598</v>
      </c>
      <c r="N3" s="370" t="s">
        <v>19</v>
      </c>
    </row>
    <row r="5" spans="1:15" hidden="1" x14ac:dyDescent="0.3"/>
    <row r="8" spans="1:15" x14ac:dyDescent="0.3">
      <c r="A8" s="581" t="s">
        <v>154</v>
      </c>
      <c r="B8" s="368" t="s">
        <v>544</v>
      </c>
      <c r="C8" s="368" t="s">
        <v>86</v>
      </c>
      <c r="D8" s="368" t="s">
        <v>99</v>
      </c>
      <c r="E8" s="368" t="s">
        <v>103</v>
      </c>
      <c r="F8" s="368" t="s">
        <v>106</v>
      </c>
      <c r="G8" s="368" t="s">
        <v>526</v>
      </c>
      <c r="H8" s="368" t="s">
        <v>528</v>
      </c>
      <c r="I8" s="368" t="s">
        <v>595</v>
      </c>
      <c r="J8" s="373"/>
      <c r="K8" s="373"/>
      <c r="L8" s="373"/>
      <c r="M8" s="373"/>
      <c r="N8" s="373"/>
      <c r="O8" s="373"/>
    </row>
    <row r="9" spans="1:15" s="373" customFormat="1" ht="48" x14ac:dyDescent="0.35">
      <c r="A9" s="582"/>
      <c r="B9" s="370" t="s">
        <v>155</v>
      </c>
      <c r="C9" s="370" t="s">
        <v>603</v>
      </c>
      <c r="D9" s="370" t="s">
        <v>155</v>
      </c>
      <c r="E9" s="370" t="s">
        <v>155</v>
      </c>
      <c r="F9" s="370" t="s">
        <v>155</v>
      </c>
      <c r="G9" s="370" t="s">
        <v>155</v>
      </c>
      <c r="H9" s="370" t="s">
        <v>155</v>
      </c>
      <c r="I9" s="370" t="s">
        <v>596</v>
      </c>
    </row>
    <row r="10" spans="1:15" s="373" customFormat="1" ht="15" customHeight="1" x14ac:dyDescent="0.35"/>
    <row r="11" spans="1:15" s="373" customFormat="1" ht="12.5" thickBot="1" x14ac:dyDescent="0.35">
      <c r="A11" s="583" t="s">
        <v>156</v>
      </c>
      <c r="B11" s="583"/>
    </row>
    <row r="12" spans="1:15" s="374" customFormat="1" ht="24.65" customHeight="1" thickBot="1" x14ac:dyDescent="0.4">
      <c r="A12" s="584" t="s">
        <v>157</v>
      </c>
      <c r="B12" s="585"/>
      <c r="H12" s="373"/>
      <c r="I12" s="373"/>
      <c r="J12" s="373"/>
      <c r="K12" s="373"/>
      <c r="L12" s="373"/>
      <c r="M12" s="373"/>
      <c r="N12" s="373"/>
      <c r="O12" s="373"/>
    </row>
    <row r="13" spans="1:15" x14ac:dyDescent="0.3">
      <c r="A13" s="583" t="s">
        <v>158</v>
      </c>
      <c r="B13" s="583"/>
      <c r="C13" s="374"/>
      <c r="I13" s="375"/>
      <c r="J13" s="375"/>
      <c r="K13" s="375"/>
      <c r="L13" s="375"/>
    </row>
    <row r="14" spans="1:15" ht="16" thickBot="1" x14ac:dyDescent="0.4">
      <c r="A14" s="376" t="s">
        <v>159</v>
      </c>
      <c r="B14" s="376" t="s">
        <v>160</v>
      </c>
      <c r="C14" s="376" t="s">
        <v>161</v>
      </c>
    </row>
    <row r="15" spans="1:15" ht="13" x14ac:dyDescent="0.3">
      <c r="A15" s="377" t="s">
        <v>162</v>
      </c>
      <c r="B15" s="378" t="s">
        <v>163</v>
      </c>
      <c r="C15" s="379" t="s">
        <v>164</v>
      </c>
    </row>
    <row r="16" spans="1:15" ht="13.5" thickBot="1" x14ac:dyDescent="0.35">
      <c r="A16" s="380" t="s">
        <v>24</v>
      </c>
      <c r="B16" s="381" t="s">
        <v>163</v>
      </c>
      <c r="C16" s="382" t="s">
        <v>165</v>
      </c>
    </row>
    <row r="17" spans="1:3" ht="13" x14ac:dyDescent="0.3">
      <c r="A17" s="383" t="s">
        <v>166</v>
      </c>
      <c r="B17" s="384" t="s">
        <v>61</v>
      </c>
      <c r="C17" s="385" t="s">
        <v>167</v>
      </c>
    </row>
    <row r="18" spans="1:3" ht="13" x14ac:dyDescent="0.3">
      <c r="A18" s="386" t="s">
        <v>25</v>
      </c>
      <c r="B18" s="387" t="s">
        <v>61</v>
      </c>
      <c r="C18" s="388" t="s">
        <v>168</v>
      </c>
    </row>
    <row r="19" spans="1:3" ht="13" x14ac:dyDescent="0.3">
      <c r="A19" s="386" t="s">
        <v>169</v>
      </c>
      <c r="B19" s="387" t="s">
        <v>61</v>
      </c>
      <c r="C19" s="388" t="s">
        <v>167</v>
      </c>
    </row>
    <row r="20" spans="1:3" ht="13" x14ac:dyDescent="0.3">
      <c r="A20" s="386" t="s">
        <v>122</v>
      </c>
      <c r="B20" s="387" t="s">
        <v>61</v>
      </c>
      <c r="C20" s="388" t="s">
        <v>170</v>
      </c>
    </row>
    <row r="21" spans="1:3" ht="13" x14ac:dyDescent="0.3">
      <c r="A21" s="386" t="s">
        <v>22</v>
      </c>
      <c r="B21" s="387" t="s">
        <v>61</v>
      </c>
      <c r="C21" s="388" t="s">
        <v>165</v>
      </c>
    </row>
    <row r="22" spans="1:3" ht="13.5" thickBot="1" x14ac:dyDescent="0.35">
      <c r="A22" s="389" t="s">
        <v>123</v>
      </c>
      <c r="B22" s="390" t="s">
        <v>61</v>
      </c>
      <c r="C22" s="391" t="s">
        <v>171</v>
      </c>
    </row>
    <row r="23" spans="1:3" ht="13" x14ac:dyDescent="0.3">
      <c r="A23" s="392" t="s">
        <v>124</v>
      </c>
      <c r="B23" s="393" t="s">
        <v>62</v>
      </c>
      <c r="C23" s="393" t="s">
        <v>168</v>
      </c>
    </row>
    <row r="24" spans="1:3" ht="13" x14ac:dyDescent="0.3">
      <c r="A24" s="394" t="s">
        <v>125</v>
      </c>
      <c r="B24" s="395" t="s">
        <v>62</v>
      </c>
      <c r="C24" s="395" t="s">
        <v>167</v>
      </c>
    </row>
    <row r="25" spans="1:3" ht="13" x14ac:dyDescent="0.3">
      <c r="A25" s="394" t="s">
        <v>126</v>
      </c>
      <c r="B25" s="395" t="s">
        <v>62</v>
      </c>
      <c r="C25" s="395" t="s">
        <v>165</v>
      </c>
    </row>
    <row r="26" spans="1:3" ht="13" x14ac:dyDescent="0.3">
      <c r="A26" s="394" t="s">
        <v>127</v>
      </c>
      <c r="B26" s="395" t="s">
        <v>62</v>
      </c>
      <c r="C26" s="395" t="s">
        <v>167</v>
      </c>
    </row>
    <row r="27" spans="1:3" ht="13" x14ac:dyDescent="0.3">
      <c r="A27" s="394" t="s">
        <v>128</v>
      </c>
      <c r="B27" s="395" t="s">
        <v>62</v>
      </c>
      <c r="C27" s="395" t="s">
        <v>167</v>
      </c>
    </row>
    <row r="28" spans="1:3" ht="13" x14ac:dyDescent="0.3">
      <c r="A28" s="394" t="s">
        <v>129</v>
      </c>
      <c r="B28" s="395" t="s">
        <v>62</v>
      </c>
      <c r="C28" s="395" t="s">
        <v>167</v>
      </c>
    </row>
    <row r="29" spans="1:3" ht="13.5" thickBot="1" x14ac:dyDescent="0.35">
      <c r="A29" s="396" t="s">
        <v>130</v>
      </c>
      <c r="B29" s="397" t="s">
        <v>62</v>
      </c>
      <c r="C29" s="397" t="s">
        <v>164</v>
      </c>
    </row>
    <row r="30" spans="1:3" ht="13" x14ac:dyDescent="0.3">
      <c r="A30" s="398" t="s">
        <v>172</v>
      </c>
      <c r="B30" s="578" t="s">
        <v>131</v>
      </c>
      <c r="C30" s="578" t="s">
        <v>167</v>
      </c>
    </row>
    <row r="31" spans="1:3" ht="13" x14ac:dyDescent="0.3">
      <c r="A31" s="399" t="s">
        <v>173</v>
      </c>
      <c r="B31" s="579"/>
      <c r="C31" s="579"/>
    </row>
    <row r="32" spans="1:3" ht="13" x14ac:dyDescent="0.3">
      <c r="A32" s="399" t="s">
        <v>174</v>
      </c>
      <c r="B32" s="579"/>
      <c r="C32" s="579"/>
    </row>
    <row r="33" spans="1:3" ht="13" x14ac:dyDescent="0.3">
      <c r="A33" s="399" t="s">
        <v>175</v>
      </c>
      <c r="B33" s="579"/>
      <c r="C33" s="579"/>
    </row>
    <row r="34" spans="1:3" ht="13" x14ac:dyDescent="0.3">
      <c r="A34" s="399" t="s">
        <v>176</v>
      </c>
      <c r="B34" s="579"/>
      <c r="C34" s="579"/>
    </row>
    <row r="35" spans="1:3" ht="13" x14ac:dyDescent="0.3">
      <c r="A35" s="399" t="s">
        <v>177</v>
      </c>
      <c r="B35" s="579"/>
      <c r="C35" s="579"/>
    </row>
    <row r="36" spans="1:3" ht="13" x14ac:dyDescent="0.3">
      <c r="A36" s="399" t="s">
        <v>178</v>
      </c>
      <c r="B36" s="579"/>
      <c r="C36" s="579"/>
    </row>
    <row r="37" spans="1:3" ht="13" x14ac:dyDescent="0.3">
      <c r="A37" s="399" t="s">
        <v>179</v>
      </c>
      <c r="B37" s="579"/>
      <c r="C37" s="579"/>
    </row>
    <row r="38" spans="1:3" ht="13" x14ac:dyDescent="0.3">
      <c r="A38" s="399" t="s">
        <v>180</v>
      </c>
      <c r="B38" s="579"/>
      <c r="C38" s="579"/>
    </row>
    <row r="39" spans="1:3" ht="13" x14ac:dyDescent="0.3">
      <c r="A39" s="399" t="s">
        <v>181</v>
      </c>
      <c r="B39" s="579"/>
      <c r="C39" s="579"/>
    </row>
    <row r="40" spans="1:3" ht="13" x14ac:dyDescent="0.3">
      <c r="A40" s="399" t="s">
        <v>182</v>
      </c>
      <c r="B40" s="579"/>
      <c r="C40" s="579"/>
    </row>
    <row r="41" spans="1:3" ht="13" x14ac:dyDescent="0.3">
      <c r="A41" s="399" t="s">
        <v>183</v>
      </c>
      <c r="B41" s="579"/>
      <c r="C41" s="579"/>
    </row>
    <row r="42" spans="1:3" ht="13" x14ac:dyDescent="0.3">
      <c r="A42" s="399" t="s">
        <v>184</v>
      </c>
      <c r="B42" s="579"/>
      <c r="C42" s="579"/>
    </row>
    <row r="43" spans="1:3" ht="13" x14ac:dyDescent="0.3">
      <c r="A43" s="399" t="s">
        <v>185</v>
      </c>
      <c r="B43" s="579"/>
      <c r="C43" s="579"/>
    </row>
    <row r="44" spans="1:3" ht="13" x14ac:dyDescent="0.3">
      <c r="A44" s="399" t="s">
        <v>186</v>
      </c>
      <c r="B44" s="579"/>
      <c r="C44" s="579"/>
    </row>
    <row r="45" spans="1:3" ht="13" x14ac:dyDescent="0.3">
      <c r="A45" s="399" t="s">
        <v>187</v>
      </c>
      <c r="B45" s="579"/>
      <c r="C45" s="579"/>
    </row>
    <row r="46" spans="1:3" ht="13" x14ac:dyDescent="0.3">
      <c r="A46" s="399" t="s">
        <v>188</v>
      </c>
      <c r="B46" s="579"/>
      <c r="C46" s="579"/>
    </row>
    <row r="47" spans="1:3" ht="13" x14ac:dyDescent="0.3">
      <c r="A47" s="399" t="s">
        <v>189</v>
      </c>
      <c r="B47" s="579"/>
      <c r="C47" s="579"/>
    </row>
    <row r="48" spans="1:3" ht="13" x14ac:dyDescent="0.3">
      <c r="A48" s="399" t="s">
        <v>190</v>
      </c>
      <c r="B48" s="579"/>
      <c r="C48" s="579"/>
    </row>
    <row r="49" spans="1:3" ht="13" x14ac:dyDescent="0.3">
      <c r="A49" s="399" t="s">
        <v>191</v>
      </c>
      <c r="B49" s="579"/>
      <c r="C49" s="579"/>
    </row>
    <row r="50" spans="1:3" ht="13" x14ac:dyDescent="0.3">
      <c r="A50" s="399" t="s">
        <v>192</v>
      </c>
      <c r="B50" s="579"/>
      <c r="C50" s="579"/>
    </row>
    <row r="51" spans="1:3" ht="13" x14ac:dyDescent="0.3">
      <c r="A51" s="399" t="s">
        <v>193</v>
      </c>
      <c r="B51" s="579"/>
      <c r="C51" s="579"/>
    </row>
    <row r="52" spans="1:3" ht="13" x14ac:dyDescent="0.3">
      <c r="A52" s="399" t="s">
        <v>194</v>
      </c>
      <c r="B52" s="579"/>
      <c r="C52" s="579"/>
    </row>
    <row r="53" spans="1:3" ht="13" x14ac:dyDescent="0.3">
      <c r="A53" s="399" t="s">
        <v>195</v>
      </c>
      <c r="B53" s="579"/>
      <c r="C53" s="579"/>
    </row>
    <row r="54" spans="1:3" ht="13" x14ac:dyDescent="0.3">
      <c r="A54" s="399" t="s">
        <v>196</v>
      </c>
      <c r="B54" s="579"/>
      <c r="C54" s="579"/>
    </row>
    <row r="55" spans="1:3" ht="13" x14ac:dyDescent="0.3">
      <c r="A55" s="399" t="s">
        <v>197</v>
      </c>
      <c r="B55" s="579"/>
      <c r="C55" s="579"/>
    </row>
    <row r="56" spans="1:3" ht="13" x14ac:dyDescent="0.3">
      <c r="A56" s="399" t="s">
        <v>198</v>
      </c>
      <c r="B56" s="579"/>
      <c r="C56" s="579"/>
    </row>
    <row r="57" spans="1:3" ht="13" x14ac:dyDescent="0.3">
      <c r="A57" s="399" t="s">
        <v>199</v>
      </c>
      <c r="B57" s="579"/>
      <c r="C57" s="579"/>
    </row>
    <row r="58" spans="1:3" ht="13" x14ac:dyDescent="0.3">
      <c r="A58" s="399" t="s">
        <v>200</v>
      </c>
      <c r="B58" s="579"/>
      <c r="C58" s="579"/>
    </row>
    <row r="59" spans="1:3" ht="13" x14ac:dyDescent="0.3">
      <c r="A59" s="400" t="s">
        <v>201</v>
      </c>
      <c r="B59" s="579"/>
      <c r="C59" s="579"/>
    </row>
    <row r="60" spans="1:3" ht="13" x14ac:dyDescent="0.3">
      <c r="A60" s="399" t="s">
        <v>202</v>
      </c>
      <c r="B60" s="579"/>
      <c r="C60" s="579"/>
    </row>
    <row r="61" spans="1:3" ht="13.5" thickBot="1" x14ac:dyDescent="0.35">
      <c r="A61" s="401" t="s">
        <v>203</v>
      </c>
      <c r="B61" s="580"/>
      <c r="C61" s="580"/>
    </row>
    <row r="62" spans="1:3" ht="13" x14ac:dyDescent="0.3">
      <c r="A62" s="402" t="s">
        <v>204</v>
      </c>
      <c r="B62" s="578" t="s">
        <v>134</v>
      </c>
      <c r="C62" s="578" t="s">
        <v>205</v>
      </c>
    </row>
    <row r="63" spans="1:3" ht="13.5" thickBot="1" x14ac:dyDescent="0.35">
      <c r="A63" s="403" t="s">
        <v>206</v>
      </c>
      <c r="B63" s="580"/>
      <c r="C63" s="580"/>
    </row>
    <row r="64" spans="1:3" ht="13" x14ac:dyDescent="0.3">
      <c r="A64" s="402" t="s">
        <v>207</v>
      </c>
      <c r="B64" s="578" t="s">
        <v>132</v>
      </c>
      <c r="C64" s="578" t="s">
        <v>168</v>
      </c>
    </row>
    <row r="65" spans="1:3" ht="13" x14ac:dyDescent="0.3">
      <c r="A65" s="400" t="s">
        <v>208</v>
      </c>
      <c r="B65" s="579"/>
      <c r="C65" s="579"/>
    </row>
    <row r="66" spans="1:3" ht="13" x14ac:dyDescent="0.3">
      <c r="A66" s="400" t="s">
        <v>209</v>
      </c>
      <c r="B66" s="579"/>
      <c r="C66" s="579"/>
    </row>
    <row r="67" spans="1:3" ht="13" x14ac:dyDescent="0.3">
      <c r="A67" s="400" t="s">
        <v>210</v>
      </c>
      <c r="B67" s="579"/>
      <c r="C67" s="579"/>
    </row>
    <row r="68" spans="1:3" ht="13.5" thickBot="1" x14ac:dyDescent="0.35">
      <c r="A68" s="403" t="s">
        <v>211</v>
      </c>
      <c r="B68" s="580"/>
      <c r="C68" s="580"/>
    </row>
    <row r="69" spans="1:3" ht="13" x14ac:dyDescent="0.3">
      <c r="A69" s="402" t="s">
        <v>212</v>
      </c>
      <c r="B69" s="578" t="s">
        <v>133</v>
      </c>
      <c r="C69" s="578" t="s">
        <v>164</v>
      </c>
    </row>
    <row r="70" spans="1:3" ht="13" x14ac:dyDescent="0.3">
      <c r="A70" s="400" t="s">
        <v>213</v>
      </c>
      <c r="B70" s="579"/>
      <c r="C70" s="579"/>
    </row>
    <row r="71" spans="1:3" ht="13.5" thickBot="1" x14ac:dyDescent="0.35">
      <c r="A71" s="403" t="s">
        <v>214</v>
      </c>
      <c r="B71" s="580"/>
      <c r="C71" s="580"/>
    </row>
  </sheetData>
  <mergeCells count="13">
    <mergeCell ref="B69:B71"/>
    <mergeCell ref="C69:C71"/>
    <mergeCell ref="A2:A3"/>
    <mergeCell ref="A8:A9"/>
    <mergeCell ref="A11:B11"/>
    <mergeCell ref="A12:B12"/>
    <mergeCell ref="A13:B13"/>
    <mergeCell ref="B30:B61"/>
    <mergeCell ref="C30:C61"/>
    <mergeCell ref="B62:B63"/>
    <mergeCell ref="C62:C63"/>
    <mergeCell ref="B64:B68"/>
    <mergeCell ref="C64:C68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39EB0-0667-481C-86F5-A33751C686BE}">
  <sheetPr>
    <tabColor theme="9" tint="0.79998168889431442"/>
  </sheetPr>
  <dimension ref="A1:AJ284"/>
  <sheetViews>
    <sheetView zoomScale="60" zoomScaleNormal="60" workbookViewId="0">
      <selection activeCell="J162" sqref="J162"/>
    </sheetView>
  </sheetViews>
  <sheetFormatPr defaultRowHeight="14.5" x14ac:dyDescent="0.35"/>
  <cols>
    <col min="1" max="1" width="19.81640625" bestFit="1" customWidth="1"/>
    <col min="2" max="2" width="31.6328125" hidden="1" customWidth="1"/>
    <col min="3" max="3" width="16" bestFit="1" customWidth="1"/>
    <col min="4" max="4" width="8.81640625" customWidth="1"/>
    <col min="5" max="6" width="13.1796875" customWidth="1"/>
    <col min="7" max="7" width="8.81640625" hidden="1" customWidth="1"/>
    <col min="8" max="8" width="22.1796875" bestFit="1" customWidth="1"/>
    <col min="9" max="9" width="34.1796875" hidden="1" customWidth="1"/>
    <col min="10" max="10" width="8.54296875" bestFit="1" customWidth="1"/>
    <col min="11" max="11" width="8.81640625" customWidth="1"/>
    <col min="14" max="14" width="12.81640625" bestFit="1" customWidth="1"/>
    <col min="15" max="27" width="0" hidden="1" customWidth="1"/>
    <col min="28" max="28" width="2.6328125" customWidth="1"/>
    <col min="29" max="33" width="12.81640625" bestFit="1" customWidth="1"/>
    <col min="34" max="34" width="12.54296875" bestFit="1" customWidth="1"/>
    <col min="35" max="35" width="16.453125" customWidth="1"/>
    <col min="36" max="36" width="12.81640625" bestFit="1" customWidth="1"/>
  </cols>
  <sheetData>
    <row r="1" spans="1:36" x14ac:dyDescent="0.35">
      <c r="A1" s="249" t="str">
        <f>'Digital Plan - UPI'!B1</f>
        <v xml:space="preserve">Markets </v>
      </c>
      <c r="B1" s="250" t="str">
        <f>'Digital Plan - UPI'!C1</f>
        <v>Input</v>
      </c>
      <c r="C1" s="250" t="str">
        <f>'Digital Plan - UPI'!D1</f>
        <v>Publisher</v>
      </c>
      <c r="D1" s="250" t="str">
        <f>'Digital Plan - UPI'!E1</f>
        <v>Creative</v>
      </c>
      <c r="E1" s="250" t="str">
        <f>'Digital Plan - UPI'!F1</f>
        <v xml:space="preserve">Genres </v>
      </c>
      <c r="F1" s="250" t="str">
        <f>'Digital Plan - UPI'!G1</f>
        <v>Platform</v>
      </c>
      <c r="G1" s="250" t="str">
        <f>'Digital Plan - UPI'!H1</f>
        <v>Section</v>
      </c>
      <c r="H1" s="250" t="str">
        <f>'Digital Plan - UPI'!I1</f>
        <v>Ad Unit</v>
      </c>
      <c r="I1" s="250" t="str">
        <f>'Digital Plan - UPI'!J1</f>
        <v>Targeting</v>
      </c>
      <c r="J1" s="250" t="str">
        <f>'Digital Plan - UPI'!K1</f>
        <v>Deal Type</v>
      </c>
      <c r="K1" s="251" t="str">
        <f>'Digital Plan - UPI'!L1</f>
        <v>No of Days</v>
      </c>
      <c r="L1" s="251" t="str">
        <f>'Digital Plan - UPI'!M1</f>
        <v>Start Date</v>
      </c>
      <c r="M1" s="251" t="str">
        <f>'Digital Plan - UPI'!N1</f>
        <v>End Date</v>
      </c>
      <c r="N1" s="251" t="str">
        <f>'Digital Plan - UPI'!O1</f>
        <v>Est. Imp</v>
      </c>
      <c r="O1" s="251" t="str">
        <f>'Digital Plan - UPI'!P1</f>
        <v>No of Units/Trips</v>
      </c>
      <c r="P1" s="252" t="str">
        <f>'Digital Plan - UPI'!Q1</f>
        <v>CTR%</v>
      </c>
      <c r="Q1" s="251" t="str">
        <f>'Digital Plan - UPI'!R1</f>
        <v>Est. Clicks</v>
      </c>
      <c r="R1" s="251" t="str">
        <f>'Digital Plan - UPI'!S1</f>
        <v>VTR</v>
      </c>
      <c r="S1" s="253" t="str">
        <f>'Digital Plan - UPI'!T1</f>
        <v>Views</v>
      </c>
      <c r="T1" s="251" t="str">
        <f>'Digital Plan - UPI'!U1</f>
        <v>Reach</v>
      </c>
      <c r="U1" s="254" t="str">
        <f>'Digital Plan - UPI'!V1</f>
        <v>Avg Freq</v>
      </c>
      <c r="V1" s="255" t="str">
        <f>'Digital Plan - UPI'!X1</f>
        <v>Net Rate</v>
      </c>
      <c r="W1" s="256" t="str">
        <f>'Digital Plan - UPI'!Y1</f>
        <v>Total Net Cost</v>
      </c>
      <c r="X1" s="257" t="str">
        <f>'Digital Plan - UPI'!Z1</f>
        <v>eCPM</v>
      </c>
      <c r="Y1" s="257" t="str">
        <f>'Digital Plan - UPI'!AA1</f>
        <v>eCPC</v>
      </c>
      <c r="Z1" s="258" t="str">
        <f>'Digital Plan - UPI'!AB1</f>
        <v>Universe</v>
      </c>
      <c r="AA1" s="259" t="str">
        <f>'Digital Plan - UPI'!AC1</f>
        <v>Reach%</v>
      </c>
      <c r="AB1" s="259"/>
      <c r="AC1" s="251" t="s">
        <v>215</v>
      </c>
      <c r="AD1" s="251" t="s">
        <v>216</v>
      </c>
      <c r="AE1" s="251" t="s">
        <v>217</v>
      </c>
      <c r="AF1" s="251" t="s">
        <v>218</v>
      </c>
      <c r="AG1" s="251" t="s">
        <v>219</v>
      </c>
      <c r="AH1" s="251" t="s">
        <v>220</v>
      </c>
      <c r="AI1" s="251" t="s">
        <v>221</v>
      </c>
      <c r="AJ1" s="251" t="s">
        <v>222</v>
      </c>
    </row>
    <row r="2" spans="1:36" x14ac:dyDescent="0.35">
      <c r="A2" s="262" t="e">
        <f>'Digital Plan - UPI'!#REF!</f>
        <v>#REF!</v>
      </c>
      <c r="B2" s="263" t="e">
        <f>'Digital Plan - UPI'!#REF!</f>
        <v>#REF!</v>
      </c>
      <c r="C2" s="264" t="e">
        <f>'Digital Plan - UPI'!#REF!</f>
        <v>#REF!</v>
      </c>
      <c r="D2" s="264" t="e">
        <f>'Digital Plan - UPI'!#REF!</f>
        <v>#REF!</v>
      </c>
      <c r="E2" s="404" t="e">
        <f>'Digital Plan - UPI'!#REF!</f>
        <v>#REF!</v>
      </c>
      <c r="F2" s="404" t="e">
        <f>'Digital Plan - UPI'!#REF!</f>
        <v>#REF!</v>
      </c>
      <c r="G2" s="265" t="e">
        <f>'Digital Plan - UPI'!#REF!</f>
        <v>#REF!</v>
      </c>
      <c r="H2" s="265" t="e">
        <f>'Digital Plan - UPI'!#REF!</f>
        <v>#REF!</v>
      </c>
      <c r="I2" s="265" t="e">
        <f>'Digital Plan - UPI'!#REF!</f>
        <v>#REF!</v>
      </c>
      <c r="J2" s="263" t="e">
        <f>'Digital Plan - UPI'!#REF!</f>
        <v>#REF!</v>
      </c>
      <c r="K2" s="266" t="e">
        <f>'Digital Plan - UPI'!#REF!</f>
        <v>#REF!</v>
      </c>
      <c r="L2" s="267" t="e">
        <f>'Digital Plan - UPI'!#REF!</f>
        <v>#REF!</v>
      </c>
      <c r="M2" s="267" t="e">
        <f>'Digital Plan - UPI'!#REF!</f>
        <v>#REF!</v>
      </c>
      <c r="N2" s="266" t="e">
        <f>'Digital Plan - UPI'!#REF!</f>
        <v>#REF!</v>
      </c>
      <c r="O2" s="268" t="e">
        <f>'Digital Plan - UPI'!#REF!</f>
        <v>#REF!</v>
      </c>
      <c r="P2" s="269" t="e">
        <f>'Digital Plan - UPI'!#REF!</f>
        <v>#REF!</v>
      </c>
      <c r="Q2" s="269" t="e">
        <f>'Digital Plan - UPI'!#REF!</f>
        <v>#REF!</v>
      </c>
      <c r="R2" s="270" t="e">
        <f>'Digital Plan - UPI'!#REF!</f>
        <v>#REF!</v>
      </c>
      <c r="S2" s="271" t="e">
        <f>'Digital Plan - UPI'!#REF!</f>
        <v>#REF!</v>
      </c>
      <c r="T2" s="266" t="e">
        <f>'Digital Plan - UPI'!#REF!</f>
        <v>#REF!</v>
      </c>
      <c r="U2" s="266" t="e">
        <f>'Digital Plan - UPI'!#REF!</f>
        <v>#REF!</v>
      </c>
      <c r="V2" s="272" t="e">
        <f>'Digital Plan - UPI'!#REF!</f>
        <v>#REF!</v>
      </c>
      <c r="W2" s="273" t="e">
        <f>'Digital Plan - UPI'!#REF!</f>
        <v>#REF!</v>
      </c>
      <c r="X2" s="273" t="e">
        <f>'Digital Plan - UPI'!#REF!</f>
        <v>#REF!</v>
      </c>
      <c r="Y2" s="273" t="e">
        <f>'Digital Plan - UPI'!#REF!</f>
        <v>#REF!</v>
      </c>
      <c r="Z2" s="274" t="e">
        <f>'Digital Plan - UPI'!#REF!</f>
        <v>#REF!</v>
      </c>
      <c r="AA2" s="275" t="e">
        <f>'Digital Plan - UPI'!#REF!</f>
        <v>#REF!</v>
      </c>
      <c r="AB2" s="259"/>
      <c r="AC2" s="266"/>
      <c r="AD2" s="266" t="e">
        <f>N2</f>
        <v>#REF!</v>
      </c>
      <c r="AE2" s="266"/>
      <c r="AF2" s="266"/>
      <c r="AG2" s="266"/>
      <c r="AH2" s="266"/>
      <c r="AI2" s="266"/>
      <c r="AJ2" s="266"/>
    </row>
    <row r="3" spans="1:36" x14ac:dyDescent="0.35">
      <c r="A3" s="262" t="e">
        <f>'Digital Plan - UPI'!#REF!</f>
        <v>#REF!</v>
      </c>
      <c r="B3" s="263" t="e">
        <f>'Digital Plan - UPI'!#REF!</f>
        <v>#REF!</v>
      </c>
      <c r="C3" s="264" t="e">
        <f>'Digital Plan - UPI'!#REF!</f>
        <v>#REF!</v>
      </c>
      <c r="D3" s="264" t="e">
        <f>'Digital Plan - UPI'!#REF!</f>
        <v>#REF!</v>
      </c>
      <c r="E3" s="404" t="e">
        <f>'Digital Plan - UPI'!#REF!</f>
        <v>#REF!</v>
      </c>
      <c r="F3" s="404" t="e">
        <f>'Digital Plan - UPI'!#REF!</f>
        <v>#REF!</v>
      </c>
      <c r="G3" s="265" t="e">
        <f>'Digital Plan - UPI'!#REF!</f>
        <v>#REF!</v>
      </c>
      <c r="H3" s="265" t="e">
        <f>'Digital Plan - UPI'!#REF!</f>
        <v>#REF!</v>
      </c>
      <c r="I3" s="265" t="e">
        <f>'Digital Plan - UPI'!#REF!</f>
        <v>#REF!</v>
      </c>
      <c r="J3" s="263" t="e">
        <f>'Digital Plan - UPI'!#REF!</f>
        <v>#REF!</v>
      </c>
      <c r="K3" s="266" t="e">
        <f>'Digital Plan - UPI'!#REF!</f>
        <v>#REF!</v>
      </c>
      <c r="L3" s="267" t="e">
        <f>'Digital Plan - UPI'!#REF!</f>
        <v>#REF!</v>
      </c>
      <c r="M3" s="267" t="e">
        <f>'Digital Plan - UPI'!#REF!</f>
        <v>#REF!</v>
      </c>
      <c r="N3" s="266" t="e">
        <f>'Digital Plan - UPI'!#REF!</f>
        <v>#REF!</v>
      </c>
      <c r="O3" s="268" t="e">
        <f>'Digital Plan - UPI'!#REF!</f>
        <v>#REF!</v>
      </c>
      <c r="P3" s="269" t="e">
        <f>'Digital Plan - UPI'!#REF!</f>
        <v>#REF!</v>
      </c>
      <c r="Q3" s="269" t="e">
        <f>'Digital Plan - UPI'!#REF!</f>
        <v>#REF!</v>
      </c>
      <c r="R3" s="270" t="e">
        <f>'Digital Plan - UPI'!#REF!</f>
        <v>#REF!</v>
      </c>
      <c r="S3" s="271" t="e">
        <f>'Digital Plan - UPI'!#REF!</f>
        <v>#REF!</v>
      </c>
      <c r="T3" s="266" t="e">
        <f>'Digital Plan - UPI'!#REF!</f>
        <v>#REF!</v>
      </c>
      <c r="U3" s="266" t="e">
        <f>'Digital Plan - UPI'!#REF!</f>
        <v>#REF!</v>
      </c>
      <c r="V3" s="272" t="e">
        <f>'Digital Plan - UPI'!#REF!</f>
        <v>#REF!</v>
      </c>
      <c r="W3" s="273" t="e">
        <f>'Digital Plan - UPI'!#REF!</f>
        <v>#REF!</v>
      </c>
      <c r="X3" s="273" t="e">
        <f>'Digital Plan - UPI'!#REF!</f>
        <v>#REF!</v>
      </c>
      <c r="Y3" s="273" t="e">
        <f>'Digital Plan - UPI'!#REF!</f>
        <v>#REF!</v>
      </c>
      <c r="Z3" s="274" t="e">
        <f>'Digital Plan - UPI'!#REF!</f>
        <v>#REF!</v>
      </c>
      <c r="AA3" s="275" t="e">
        <f>'Digital Plan - UPI'!#REF!</f>
        <v>#REF!</v>
      </c>
      <c r="AB3" s="259"/>
      <c r="AC3" s="266"/>
      <c r="AD3" s="266"/>
      <c r="AE3" s="266"/>
      <c r="AF3" s="266" t="e">
        <f>N3</f>
        <v>#REF!</v>
      </c>
      <c r="AG3" s="266"/>
      <c r="AH3" s="266"/>
      <c r="AI3" s="266"/>
      <c r="AJ3" s="266"/>
    </row>
    <row r="4" spans="1:36" x14ac:dyDescent="0.35">
      <c r="A4" s="262" t="e">
        <f>'Digital Plan - UPI'!#REF!</f>
        <v>#REF!</v>
      </c>
      <c r="B4" s="263" t="e">
        <f>'Digital Plan - UPI'!#REF!</f>
        <v>#REF!</v>
      </c>
      <c r="C4" s="264" t="e">
        <f>'Digital Plan - UPI'!#REF!</f>
        <v>#REF!</v>
      </c>
      <c r="D4" s="264" t="e">
        <f>'Digital Plan - UPI'!#REF!</f>
        <v>#REF!</v>
      </c>
      <c r="E4" s="404" t="e">
        <f>'Digital Plan - UPI'!#REF!</f>
        <v>#REF!</v>
      </c>
      <c r="F4" s="404" t="e">
        <f>'Digital Plan - UPI'!#REF!</f>
        <v>#REF!</v>
      </c>
      <c r="G4" s="265" t="e">
        <f>'Digital Plan - UPI'!#REF!</f>
        <v>#REF!</v>
      </c>
      <c r="H4" s="265" t="e">
        <f>'Digital Plan - UPI'!#REF!</f>
        <v>#REF!</v>
      </c>
      <c r="I4" s="265" t="e">
        <f>'Digital Plan - UPI'!#REF!</f>
        <v>#REF!</v>
      </c>
      <c r="J4" s="263" t="e">
        <f>'Digital Plan - UPI'!#REF!</f>
        <v>#REF!</v>
      </c>
      <c r="K4" s="266" t="e">
        <f>'Digital Plan - UPI'!#REF!</f>
        <v>#REF!</v>
      </c>
      <c r="L4" s="267" t="e">
        <f>'Digital Plan - UPI'!#REF!</f>
        <v>#REF!</v>
      </c>
      <c r="M4" s="267" t="e">
        <f>'Digital Plan - UPI'!#REF!</f>
        <v>#REF!</v>
      </c>
      <c r="N4" s="266" t="e">
        <f>'Digital Plan - UPI'!#REF!</f>
        <v>#REF!</v>
      </c>
      <c r="O4" s="268" t="e">
        <f>'Digital Plan - UPI'!#REF!</f>
        <v>#REF!</v>
      </c>
      <c r="P4" s="269" t="e">
        <f>'Digital Plan - UPI'!#REF!</f>
        <v>#REF!</v>
      </c>
      <c r="Q4" s="269" t="e">
        <f>'Digital Plan - UPI'!#REF!</f>
        <v>#REF!</v>
      </c>
      <c r="R4" s="270" t="e">
        <f>'Digital Plan - UPI'!#REF!</f>
        <v>#REF!</v>
      </c>
      <c r="S4" s="271" t="e">
        <f>'Digital Plan - UPI'!#REF!</f>
        <v>#REF!</v>
      </c>
      <c r="T4" s="266" t="e">
        <f>'Digital Plan - UPI'!#REF!</f>
        <v>#REF!</v>
      </c>
      <c r="U4" s="266" t="e">
        <f>'Digital Plan - UPI'!#REF!</f>
        <v>#REF!</v>
      </c>
      <c r="V4" s="272" t="e">
        <f>'Digital Plan - UPI'!#REF!</f>
        <v>#REF!</v>
      </c>
      <c r="W4" s="273" t="e">
        <f>'Digital Plan - UPI'!#REF!</f>
        <v>#REF!</v>
      </c>
      <c r="X4" s="273" t="e">
        <f>'Digital Plan - UPI'!#REF!</f>
        <v>#REF!</v>
      </c>
      <c r="Y4" s="273" t="e">
        <f>'Digital Plan - UPI'!#REF!</f>
        <v>#REF!</v>
      </c>
      <c r="Z4" s="274" t="e">
        <f>'Digital Plan - UPI'!#REF!</f>
        <v>#REF!</v>
      </c>
      <c r="AA4" s="275" t="e">
        <f>'Digital Plan - UPI'!#REF!</f>
        <v>#REF!</v>
      </c>
      <c r="AB4" s="259"/>
      <c r="AC4" s="266"/>
      <c r="AD4" s="266"/>
      <c r="AE4" s="266"/>
      <c r="AF4" s="266"/>
      <c r="AG4" s="266" t="e">
        <f>N4/3</f>
        <v>#REF!</v>
      </c>
      <c r="AH4" s="266" t="e">
        <f>AG4*2</f>
        <v>#REF!</v>
      </c>
      <c r="AI4" s="266"/>
      <c r="AJ4" s="266"/>
    </row>
    <row r="5" spans="1:36" x14ac:dyDescent="0.35">
      <c r="A5" s="262" t="e">
        <f>'Digital Plan - UPI'!#REF!</f>
        <v>#REF!</v>
      </c>
      <c r="B5" s="263" t="e">
        <f>'Digital Plan - UPI'!#REF!</f>
        <v>#REF!</v>
      </c>
      <c r="C5" s="264" t="e">
        <f>'Digital Plan - UPI'!#REF!</f>
        <v>#REF!</v>
      </c>
      <c r="D5" s="264" t="e">
        <f>'Digital Plan - UPI'!#REF!</f>
        <v>#REF!</v>
      </c>
      <c r="E5" s="404" t="e">
        <f>'Digital Plan - UPI'!#REF!</f>
        <v>#REF!</v>
      </c>
      <c r="F5" s="404" t="e">
        <f>'Digital Plan - UPI'!#REF!</f>
        <v>#REF!</v>
      </c>
      <c r="G5" s="265" t="e">
        <f>'Digital Plan - UPI'!#REF!</f>
        <v>#REF!</v>
      </c>
      <c r="H5" s="265" t="e">
        <f>'Digital Plan - UPI'!#REF!</f>
        <v>#REF!</v>
      </c>
      <c r="I5" s="265" t="e">
        <f>'Digital Plan - UPI'!#REF!</f>
        <v>#REF!</v>
      </c>
      <c r="J5" s="263" t="e">
        <f>'Digital Plan - UPI'!#REF!</f>
        <v>#REF!</v>
      </c>
      <c r="K5" s="266" t="e">
        <f>'Digital Plan - UPI'!#REF!</f>
        <v>#REF!</v>
      </c>
      <c r="L5" s="267" t="e">
        <f>'Digital Plan - UPI'!#REF!</f>
        <v>#REF!</v>
      </c>
      <c r="M5" s="267" t="e">
        <f>'Digital Plan - UPI'!#REF!</f>
        <v>#REF!</v>
      </c>
      <c r="N5" s="266" t="e">
        <f>'Digital Plan - UPI'!#REF!</f>
        <v>#REF!</v>
      </c>
      <c r="O5" s="268" t="e">
        <f>'Digital Plan - UPI'!#REF!</f>
        <v>#REF!</v>
      </c>
      <c r="P5" s="269" t="e">
        <f>'Digital Plan - UPI'!#REF!</f>
        <v>#REF!</v>
      </c>
      <c r="Q5" s="269" t="e">
        <f>'Digital Plan - UPI'!#REF!</f>
        <v>#REF!</v>
      </c>
      <c r="R5" s="270" t="e">
        <f>'Digital Plan - UPI'!#REF!</f>
        <v>#REF!</v>
      </c>
      <c r="S5" s="271" t="e">
        <f>'Digital Plan - UPI'!#REF!</f>
        <v>#REF!</v>
      </c>
      <c r="T5" s="266" t="e">
        <f>'Digital Plan - UPI'!#REF!</f>
        <v>#REF!</v>
      </c>
      <c r="U5" s="266" t="e">
        <f>'Digital Plan - UPI'!#REF!</f>
        <v>#REF!</v>
      </c>
      <c r="V5" s="272" t="e">
        <f>'Digital Plan - UPI'!#REF!</f>
        <v>#REF!</v>
      </c>
      <c r="W5" s="273" t="e">
        <f>'Digital Plan - UPI'!#REF!</f>
        <v>#REF!</v>
      </c>
      <c r="X5" s="273" t="e">
        <f>'Digital Plan - UPI'!#REF!</f>
        <v>#REF!</v>
      </c>
      <c r="Y5" s="273" t="e">
        <f>'Digital Plan - UPI'!#REF!</f>
        <v>#REF!</v>
      </c>
      <c r="Z5" s="274" t="e">
        <f>'Digital Plan - UPI'!#REF!</f>
        <v>#REF!</v>
      </c>
      <c r="AA5" s="275" t="e">
        <f>'Digital Plan - UPI'!#REF!</f>
        <v>#REF!</v>
      </c>
      <c r="AB5" s="259"/>
      <c r="AC5" s="266"/>
      <c r="AD5" s="266"/>
      <c r="AE5" s="266"/>
      <c r="AF5" s="266"/>
      <c r="AG5" s="266"/>
      <c r="AH5" s="266" t="e">
        <f>N5</f>
        <v>#REF!</v>
      </c>
      <c r="AI5" s="266"/>
      <c r="AJ5" s="266"/>
    </row>
    <row r="6" spans="1:36" x14ac:dyDescent="0.35">
      <c r="A6" s="262" t="e">
        <f>'Digital Plan - UPI'!#REF!</f>
        <v>#REF!</v>
      </c>
      <c r="B6" s="263" t="e">
        <f>'Digital Plan - UPI'!#REF!</f>
        <v>#REF!</v>
      </c>
      <c r="C6" s="264" t="e">
        <f>'Digital Plan - UPI'!#REF!</f>
        <v>#REF!</v>
      </c>
      <c r="D6" s="264" t="e">
        <f>'Digital Plan - UPI'!#REF!</f>
        <v>#REF!</v>
      </c>
      <c r="E6" s="404" t="e">
        <f>'Digital Plan - UPI'!#REF!</f>
        <v>#REF!</v>
      </c>
      <c r="F6" s="404" t="e">
        <f>'Digital Plan - UPI'!#REF!</f>
        <v>#REF!</v>
      </c>
      <c r="G6" s="265" t="e">
        <f>'Digital Plan - UPI'!#REF!</f>
        <v>#REF!</v>
      </c>
      <c r="H6" s="265" t="e">
        <f>'Digital Plan - UPI'!#REF!</f>
        <v>#REF!</v>
      </c>
      <c r="I6" s="265" t="e">
        <f>'Digital Plan - UPI'!#REF!</f>
        <v>#REF!</v>
      </c>
      <c r="J6" s="263" t="e">
        <f>'Digital Plan - UPI'!#REF!</f>
        <v>#REF!</v>
      </c>
      <c r="K6" s="266" t="e">
        <f>'Digital Plan - UPI'!#REF!</f>
        <v>#REF!</v>
      </c>
      <c r="L6" s="267" t="e">
        <f>'Digital Plan - UPI'!#REF!</f>
        <v>#REF!</v>
      </c>
      <c r="M6" s="267" t="e">
        <f>'Digital Plan - UPI'!#REF!</f>
        <v>#REF!</v>
      </c>
      <c r="N6" s="266" t="e">
        <f>'Digital Plan - UPI'!#REF!</f>
        <v>#REF!</v>
      </c>
      <c r="O6" s="268" t="e">
        <f>'Digital Plan - UPI'!#REF!</f>
        <v>#REF!</v>
      </c>
      <c r="P6" s="269" t="e">
        <f>'Digital Plan - UPI'!#REF!</f>
        <v>#REF!</v>
      </c>
      <c r="Q6" s="269" t="e">
        <f>'Digital Plan - UPI'!#REF!</f>
        <v>#REF!</v>
      </c>
      <c r="R6" s="270" t="e">
        <f>'Digital Plan - UPI'!#REF!</f>
        <v>#REF!</v>
      </c>
      <c r="S6" s="271" t="e">
        <f>'Digital Plan - UPI'!#REF!</f>
        <v>#REF!</v>
      </c>
      <c r="T6" s="266" t="e">
        <f>'Digital Plan - UPI'!#REF!</f>
        <v>#REF!</v>
      </c>
      <c r="U6" s="266" t="e">
        <f>'Digital Plan - UPI'!#REF!</f>
        <v>#REF!</v>
      </c>
      <c r="V6" s="272" t="e">
        <f>'Digital Plan - UPI'!#REF!</f>
        <v>#REF!</v>
      </c>
      <c r="W6" s="273" t="e">
        <f>'Digital Plan - UPI'!#REF!</f>
        <v>#REF!</v>
      </c>
      <c r="X6" s="273" t="e">
        <f>'Digital Plan - UPI'!#REF!</f>
        <v>#REF!</v>
      </c>
      <c r="Y6" s="273" t="e">
        <f>'Digital Plan - UPI'!#REF!</f>
        <v>#REF!</v>
      </c>
      <c r="Z6" s="274" t="e">
        <f>'Digital Plan - UPI'!#REF!</f>
        <v>#REF!</v>
      </c>
      <c r="AA6" s="275" t="e">
        <f>'Digital Plan - UPI'!#REF!</f>
        <v>#REF!</v>
      </c>
      <c r="AB6" s="259"/>
      <c r="AC6" s="266"/>
      <c r="AD6" s="266"/>
      <c r="AE6" s="266"/>
      <c r="AF6" s="266"/>
      <c r="AG6" s="266"/>
      <c r="AH6" s="266"/>
      <c r="AI6" s="266"/>
      <c r="AJ6" s="266" t="e">
        <f>N6</f>
        <v>#REF!</v>
      </c>
    </row>
    <row r="7" spans="1:36" x14ac:dyDescent="0.35">
      <c r="A7" s="277" t="e">
        <f>'Digital Plan - UPI'!#REF!</f>
        <v>#REF!</v>
      </c>
      <c r="B7" s="278" t="e">
        <f>'Digital Plan - UPI'!#REF!</f>
        <v>#REF!</v>
      </c>
      <c r="C7" s="279" t="e">
        <f>'Digital Plan - UPI'!#REF!</f>
        <v>#REF!</v>
      </c>
      <c r="D7" s="280" t="e">
        <f>'Digital Plan - UPI'!#REF!</f>
        <v>#REF!</v>
      </c>
      <c r="E7" s="405" t="e">
        <f>'Digital Plan - UPI'!#REF!</f>
        <v>#REF!</v>
      </c>
      <c r="F7" s="405" t="e">
        <f>'Digital Plan - UPI'!#REF!</f>
        <v>#REF!</v>
      </c>
      <c r="G7" s="280" t="e">
        <f>'Digital Plan - UPI'!#REF!</f>
        <v>#REF!</v>
      </c>
      <c r="H7" s="281" t="e">
        <f>'Digital Plan - UPI'!#REF!</f>
        <v>#REF!</v>
      </c>
      <c r="I7" s="282" t="e">
        <f>'Digital Plan - UPI'!#REF!</f>
        <v>#REF!</v>
      </c>
      <c r="J7" s="283" t="e">
        <f>'Digital Plan - UPI'!#REF!</f>
        <v>#REF!</v>
      </c>
      <c r="K7" s="284" t="e">
        <f>'Digital Plan - UPI'!#REF!</f>
        <v>#REF!</v>
      </c>
      <c r="L7" s="284" t="e">
        <f>'Digital Plan - UPI'!#REF!</f>
        <v>#REF!</v>
      </c>
      <c r="M7" s="284" t="e">
        <f>'Digital Plan - UPI'!#REF!</f>
        <v>#REF!</v>
      </c>
      <c r="N7" s="284" t="e">
        <f>'Digital Plan - UPI'!#REF!</f>
        <v>#REF!</v>
      </c>
      <c r="O7" s="284" t="e">
        <f>'Digital Plan - UPI'!#REF!</f>
        <v>#REF!</v>
      </c>
      <c r="P7" s="285" t="e">
        <f>'Digital Plan - UPI'!#REF!</f>
        <v>#REF!</v>
      </c>
      <c r="Q7" s="284" t="e">
        <f>'Digital Plan - UPI'!#REF!</f>
        <v>#REF!</v>
      </c>
      <c r="R7" s="286" t="e">
        <f>'Digital Plan - UPI'!#REF!</f>
        <v>#REF!</v>
      </c>
      <c r="S7" s="284" t="e">
        <f>'Digital Plan - UPI'!#REF!</f>
        <v>#REF!</v>
      </c>
      <c r="T7" s="284" t="e">
        <f>'Digital Plan - UPI'!#REF!</f>
        <v>#REF!</v>
      </c>
      <c r="U7" s="284" t="e">
        <f>'Digital Plan - UPI'!#REF!</f>
        <v>#REF!</v>
      </c>
      <c r="V7" s="287" t="e">
        <f>'Digital Plan - UPI'!#REF!</f>
        <v>#REF!</v>
      </c>
      <c r="W7" s="284" t="e">
        <f>'Digital Plan - UPI'!#REF!</f>
        <v>#REF!</v>
      </c>
      <c r="X7" s="288" t="e">
        <f>'Digital Plan - UPI'!#REF!</f>
        <v>#REF!</v>
      </c>
      <c r="Y7" s="288" t="e">
        <f>'Digital Plan - UPI'!#REF!</f>
        <v>#REF!</v>
      </c>
      <c r="Z7" s="284" t="e">
        <f>'Digital Plan - UPI'!#REF!</f>
        <v>#REF!</v>
      </c>
      <c r="AA7" s="289" t="e">
        <f>'Digital Plan - UPI'!#REF!</f>
        <v>#REF!</v>
      </c>
      <c r="AB7" s="259"/>
      <c r="AC7" s="284"/>
      <c r="AD7" s="284"/>
      <c r="AE7" s="284"/>
      <c r="AF7" s="284"/>
      <c r="AG7" s="284"/>
      <c r="AH7" s="284"/>
      <c r="AI7" s="284"/>
      <c r="AJ7" s="284"/>
    </row>
    <row r="8" spans="1:36" x14ac:dyDescent="0.35">
      <c r="A8" s="292" t="e">
        <f>'Digital Plan - UPI'!#REF!</f>
        <v>#REF!</v>
      </c>
      <c r="B8" s="293" t="e">
        <f>'Digital Plan - UPI'!#REF!</f>
        <v>#REF!</v>
      </c>
      <c r="C8" s="294" t="e">
        <f>'Digital Plan - UPI'!#REF!</f>
        <v>#REF!</v>
      </c>
      <c r="D8" s="294" t="e">
        <f>'Digital Plan - UPI'!#REF!</f>
        <v>#REF!</v>
      </c>
      <c r="E8" s="406" t="e">
        <f>'Digital Plan - UPI'!#REF!</f>
        <v>#REF!</v>
      </c>
      <c r="F8" s="406" t="e">
        <f>'Digital Plan - UPI'!#REF!</f>
        <v>#REF!</v>
      </c>
      <c r="G8" s="296" t="e">
        <f>'Digital Plan - UPI'!#REF!</f>
        <v>#REF!</v>
      </c>
      <c r="H8" s="296" t="e">
        <f>'Digital Plan - UPI'!#REF!</f>
        <v>#REF!</v>
      </c>
      <c r="I8" s="297" t="e">
        <f>'Digital Plan - UPI'!#REF!</f>
        <v>#REF!</v>
      </c>
      <c r="J8" s="295" t="e">
        <f>'Digital Plan - UPI'!#REF!</f>
        <v>#REF!</v>
      </c>
      <c r="K8" s="298" t="e">
        <f>'Digital Plan - UPI'!#REF!</f>
        <v>#REF!</v>
      </c>
      <c r="L8" s="299" t="e">
        <f>'Digital Plan - UPI'!#REF!</f>
        <v>#REF!</v>
      </c>
      <c r="M8" s="299" t="e">
        <f>'Digital Plan - UPI'!#REF!</f>
        <v>#REF!</v>
      </c>
      <c r="N8" s="298" t="e">
        <f>'Digital Plan - UPI'!#REF!</f>
        <v>#REF!</v>
      </c>
      <c r="O8" s="300" t="e">
        <f>'Digital Plan - UPI'!#REF!</f>
        <v>#REF!</v>
      </c>
      <c r="P8" s="301" t="e">
        <f>'Digital Plan - UPI'!#REF!</f>
        <v>#REF!</v>
      </c>
      <c r="Q8" s="298" t="e">
        <f>'Digital Plan - UPI'!#REF!</f>
        <v>#REF!</v>
      </c>
      <c r="R8" s="302" t="e">
        <f>'Digital Plan - UPI'!#REF!</f>
        <v>#REF!</v>
      </c>
      <c r="S8" s="303" t="e">
        <f>'Digital Plan - UPI'!#REF!</f>
        <v>#REF!</v>
      </c>
      <c r="T8" s="298" t="e">
        <f>'Digital Plan - UPI'!#REF!</f>
        <v>#REF!</v>
      </c>
      <c r="U8" s="298" t="e">
        <f>'Digital Plan - UPI'!#REF!</f>
        <v>#REF!</v>
      </c>
      <c r="V8" s="304" t="e">
        <f>'Digital Plan - UPI'!#REF!</f>
        <v>#REF!</v>
      </c>
      <c r="W8" s="305" t="e">
        <f>'Digital Plan - UPI'!#REF!</f>
        <v>#REF!</v>
      </c>
      <c r="X8" s="305" t="e">
        <f>'Digital Plan - UPI'!#REF!</f>
        <v>#REF!</v>
      </c>
      <c r="Y8" s="305" t="e">
        <f>'Digital Plan - UPI'!#REF!</f>
        <v>#REF!</v>
      </c>
      <c r="Z8" s="306" t="e">
        <f>'Digital Plan - UPI'!#REF!</f>
        <v>#REF!</v>
      </c>
      <c r="AA8" s="307" t="e">
        <f>'Digital Plan - UPI'!#REF!</f>
        <v>#REF!</v>
      </c>
      <c r="AB8" s="259"/>
      <c r="AC8" s="298" t="e">
        <f>N8/2</f>
        <v>#REF!</v>
      </c>
      <c r="AD8" s="298" t="e">
        <f>N8/2</f>
        <v>#REF!</v>
      </c>
      <c r="AE8" s="298"/>
      <c r="AF8" s="298"/>
      <c r="AG8" s="298"/>
      <c r="AH8" s="298"/>
      <c r="AI8" s="298"/>
      <c r="AJ8" s="298"/>
    </row>
    <row r="9" spans="1:36" x14ac:dyDescent="0.35">
      <c r="A9" s="292" t="e">
        <f>'Digital Plan - UPI'!#REF!</f>
        <v>#REF!</v>
      </c>
      <c r="B9" s="293" t="e">
        <f>'Digital Plan - UPI'!#REF!</f>
        <v>#REF!</v>
      </c>
      <c r="C9" s="295" t="e">
        <f>'Digital Plan - UPI'!#REF!</f>
        <v>#REF!</v>
      </c>
      <c r="D9" s="295" t="e">
        <f>'Digital Plan - UPI'!#REF!</f>
        <v>#REF!</v>
      </c>
      <c r="E9" s="406" t="e">
        <f>'Digital Plan - UPI'!#REF!</f>
        <v>#REF!</v>
      </c>
      <c r="F9" s="407" t="e">
        <f>'Digital Plan - UPI'!#REF!</f>
        <v>#REF!</v>
      </c>
      <c r="G9" s="296" t="e">
        <f>'Digital Plan - UPI'!#REF!</f>
        <v>#REF!</v>
      </c>
      <c r="H9" s="296" t="e">
        <f>'Digital Plan - UPI'!#REF!</f>
        <v>#REF!</v>
      </c>
      <c r="I9" s="297" t="e">
        <f>'Digital Plan - UPI'!#REF!</f>
        <v>#REF!</v>
      </c>
      <c r="J9" s="295" t="e">
        <f>'Digital Plan - UPI'!#REF!</f>
        <v>#REF!</v>
      </c>
      <c r="K9" s="298" t="e">
        <f>'Digital Plan - UPI'!#REF!</f>
        <v>#REF!</v>
      </c>
      <c r="L9" s="299" t="e">
        <f>'Digital Plan - UPI'!#REF!</f>
        <v>#REF!</v>
      </c>
      <c r="M9" s="299" t="e">
        <f>'Digital Plan - UPI'!#REF!</f>
        <v>#REF!</v>
      </c>
      <c r="N9" s="298" t="e">
        <f>'Digital Plan - UPI'!#REF!</f>
        <v>#REF!</v>
      </c>
      <c r="O9" s="300" t="e">
        <f>'Digital Plan - UPI'!#REF!</f>
        <v>#REF!</v>
      </c>
      <c r="P9" s="301" t="e">
        <f>'Digital Plan - UPI'!#REF!</f>
        <v>#REF!</v>
      </c>
      <c r="Q9" s="298" t="e">
        <f>'Digital Plan - UPI'!#REF!</f>
        <v>#REF!</v>
      </c>
      <c r="R9" s="302" t="e">
        <f>'Digital Plan - UPI'!#REF!</f>
        <v>#REF!</v>
      </c>
      <c r="S9" s="303" t="e">
        <f>'Digital Plan - UPI'!#REF!</f>
        <v>#REF!</v>
      </c>
      <c r="T9" s="298" t="e">
        <f>'Digital Plan - UPI'!#REF!</f>
        <v>#REF!</v>
      </c>
      <c r="U9" s="298" t="e">
        <f>'Digital Plan - UPI'!#REF!</f>
        <v>#REF!</v>
      </c>
      <c r="V9" s="304" t="e">
        <f>'Digital Plan - UPI'!#REF!</f>
        <v>#REF!</v>
      </c>
      <c r="W9" s="305" t="e">
        <f>'Digital Plan - UPI'!#REF!</f>
        <v>#REF!</v>
      </c>
      <c r="X9" s="305" t="e">
        <f>'Digital Plan - UPI'!#REF!</f>
        <v>#REF!</v>
      </c>
      <c r="Y9" s="305" t="e">
        <f>'Digital Plan - UPI'!#REF!</f>
        <v>#REF!</v>
      </c>
      <c r="Z9" s="306" t="e">
        <f>'Digital Plan - UPI'!#REF!</f>
        <v>#REF!</v>
      </c>
      <c r="AA9" s="307" t="e">
        <f>'Digital Plan - UPI'!#REF!</f>
        <v>#REF!</v>
      </c>
      <c r="AB9" s="259"/>
      <c r="AC9" s="298" t="e">
        <f>N9/2</f>
        <v>#REF!</v>
      </c>
      <c r="AD9" s="298" t="e">
        <f>N9/2</f>
        <v>#REF!</v>
      </c>
      <c r="AE9" s="298"/>
      <c r="AF9" s="298"/>
      <c r="AG9" s="298"/>
      <c r="AH9" s="298"/>
      <c r="AI9" s="298"/>
      <c r="AJ9" s="298"/>
    </row>
    <row r="10" spans="1:36" x14ac:dyDescent="0.35">
      <c r="A10" s="292" t="str">
        <f>'Digital Plan - UPI'!B8</f>
        <v>Telengana - Seg A</v>
      </c>
      <c r="B10" s="293" t="str">
        <f>'Digital Plan - UPI'!C8</f>
        <v>Core - CTV</v>
      </c>
      <c r="C10" s="294" t="str">
        <f>'Digital Plan - UPI'!D8</f>
        <v>Connected TV PMP</v>
      </c>
      <c r="D10" s="294" t="str">
        <f>'Digital Plan - UPI'!E8</f>
        <v>Video</v>
      </c>
      <c r="E10" s="406" t="str">
        <f>'Digital Plan - UPI'!F8</f>
        <v xml:space="preserve">Entertainment </v>
      </c>
      <c r="F10" s="406" t="str">
        <f>'Digital Plan - UPI'!G8</f>
        <v>CTV</v>
      </c>
      <c r="G10" s="296" t="str">
        <f>'Digital Plan - UPI'!H8</f>
        <v>Instream</v>
      </c>
      <c r="H10" s="296" t="str">
        <f>'Digital Plan - UPI'!I8</f>
        <v xml:space="preserve">Video-6 Sec </v>
      </c>
      <c r="I10" s="297" t="str">
        <f>'Digital Plan - UPI'!J8</f>
        <v>Reff : Targeting Sheet</v>
      </c>
      <c r="J10" s="295" t="str">
        <f>'Digital Plan - UPI'!K8</f>
        <v>CPM</v>
      </c>
      <c r="K10" s="298">
        <f>'Digital Plan - UPI'!L8</f>
        <v>21</v>
      </c>
      <c r="L10" s="299">
        <f>'Digital Plan - UPI'!M8</f>
        <v>45460</v>
      </c>
      <c r="M10" s="299">
        <f>'Digital Plan - UPI'!N8</f>
        <v>45480</v>
      </c>
      <c r="N10" s="298">
        <f>'Digital Plan - UPI'!O8</f>
        <v>4146473.8759155716</v>
      </c>
      <c r="O10" s="300" t="str">
        <f>'Digital Plan - UPI'!P8</f>
        <v>-</v>
      </c>
      <c r="P10" s="301">
        <f>'Digital Plan - UPI'!Q8</f>
        <v>0</v>
      </c>
      <c r="Q10" s="298">
        <f>'Digital Plan - UPI'!R8</f>
        <v>0</v>
      </c>
      <c r="R10" s="302">
        <f>'Digital Plan - UPI'!S8</f>
        <v>0.85</v>
      </c>
      <c r="S10" s="303">
        <f>'Digital Plan - UPI'!T8</f>
        <v>3524502.7945282357</v>
      </c>
      <c r="T10" s="298">
        <f>'Digital Plan - UPI'!U8</f>
        <v>762219.46248448</v>
      </c>
      <c r="U10" s="298">
        <f>'Digital Plan - UPI'!V8</f>
        <v>5.44</v>
      </c>
      <c r="V10" s="304">
        <f>'Digital Plan - UPI'!X8</f>
        <v>125</v>
      </c>
      <c r="W10" s="305">
        <f>'Digital Plan - UPI'!Y8</f>
        <v>518309.23448944645</v>
      </c>
      <c r="X10" s="305">
        <f>'Digital Plan - UPI'!Z8</f>
        <v>125</v>
      </c>
      <c r="Y10" s="305">
        <f>'Digital Plan - UPI'!AA8</f>
        <v>0</v>
      </c>
      <c r="Z10" s="306">
        <f>'Digital Plan - UPI'!AB8</f>
        <v>887432</v>
      </c>
      <c r="AA10" s="307">
        <f>'Digital Plan - UPI'!AC8</f>
        <v>0.85890464</v>
      </c>
      <c r="AB10" s="259"/>
      <c r="AC10" s="298"/>
      <c r="AD10" s="298"/>
      <c r="AE10" s="298">
        <f>$N10/3</f>
        <v>1382157.9586385239</v>
      </c>
      <c r="AF10" s="298">
        <f t="shared" ref="AF10:AJ15" si="0">$N10/3</f>
        <v>1382157.9586385239</v>
      </c>
      <c r="AG10" s="298">
        <f t="shared" si="0"/>
        <v>1382157.9586385239</v>
      </c>
      <c r="AH10" s="298"/>
      <c r="AI10" s="298"/>
      <c r="AJ10" s="298"/>
    </row>
    <row r="11" spans="1:36" x14ac:dyDescent="0.35">
      <c r="A11" s="292" t="e">
        <f>'Digital Plan - UPI'!#REF!</f>
        <v>#REF!</v>
      </c>
      <c r="B11" s="293" t="e">
        <f>'Digital Plan - UPI'!#REF!</f>
        <v>#REF!</v>
      </c>
      <c r="C11" s="294" t="e">
        <f>'Digital Plan - UPI'!#REF!</f>
        <v>#REF!</v>
      </c>
      <c r="D11" s="294" t="e">
        <f>'Digital Plan - UPI'!#REF!</f>
        <v>#REF!</v>
      </c>
      <c r="E11" s="406" t="e">
        <f>'Digital Plan - UPI'!#REF!</f>
        <v>#REF!</v>
      </c>
      <c r="F11" s="406" t="e">
        <f>'Digital Plan - UPI'!#REF!</f>
        <v>#REF!</v>
      </c>
      <c r="G11" s="296" t="e">
        <f>'Digital Plan - UPI'!#REF!</f>
        <v>#REF!</v>
      </c>
      <c r="H11" s="296" t="e">
        <f>'Digital Plan - UPI'!#REF!</f>
        <v>#REF!</v>
      </c>
      <c r="I11" s="297" t="e">
        <f>'Digital Plan - UPI'!#REF!</f>
        <v>#REF!</v>
      </c>
      <c r="J11" s="295" t="e">
        <f>'Digital Plan - UPI'!#REF!</f>
        <v>#REF!</v>
      </c>
      <c r="K11" s="298" t="e">
        <f>'Digital Plan - UPI'!#REF!</f>
        <v>#REF!</v>
      </c>
      <c r="L11" s="299" t="e">
        <f>'Digital Plan - UPI'!#REF!</f>
        <v>#REF!</v>
      </c>
      <c r="M11" s="299" t="e">
        <f>'Digital Plan - UPI'!#REF!</f>
        <v>#REF!</v>
      </c>
      <c r="N11" s="298" t="e">
        <f>'Digital Plan - UPI'!#REF!</f>
        <v>#REF!</v>
      </c>
      <c r="O11" s="300" t="e">
        <f>'Digital Plan - UPI'!#REF!</f>
        <v>#REF!</v>
      </c>
      <c r="P11" s="301" t="e">
        <f>'Digital Plan - UPI'!#REF!</f>
        <v>#REF!</v>
      </c>
      <c r="Q11" s="298" t="e">
        <f>'Digital Plan - UPI'!#REF!</f>
        <v>#REF!</v>
      </c>
      <c r="R11" s="302" t="e">
        <f>'Digital Plan - UPI'!#REF!</f>
        <v>#REF!</v>
      </c>
      <c r="S11" s="303" t="e">
        <f>'Digital Plan - UPI'!#REF!</f>
        <v>#REF!</v>
      </c>
      <c r="T11" s="298" t="e">
        <f>'Digital Plan - UPI'!#REF!</f>
        <v>#REF!</v>
      </c>
      <c r="U11" s="298" t="e">
        <f>'Digital Plan - UPI'!#REF!</f>
        <v>#REF!</v>
      </c>
      <c r="V11" s="304" t="e">
        <f>'Digital Plan - UPI'!#REF!</f>
        <v>#REF!</v>
      </c>
      <c r="W11" s="305" t="e">
        <f>'Digital Plan - UPI'!#REF!</f>
        <v>#REF!</v>
      </c>
      <c r="X11" s="305" t="e">
        <f>'Digital Plan - UPI'!#REF!</f>
        <v>#REF!</v>
      </c>
      <c r="Y11" s="305" t="e">
        <f>'Digital Plan - UPI'!#REF!</f>
        <v>#REF!</v>
      </c>
      <c r="Z11" s="306" t="e">
        <f>'Digital Plan - UPI'!#REF!</f>
        <v>#REF!</v>
      </c>
      <c r="AA11" s="307" t="e">
        <f>'Digital Plan - UPI'!#REF!</f>
        <v>#REF!</v>
      </c>
      <c r="AB11" s="259"/>
      <c r="AC11" s="298"/>
      <c r="AD11" s="298"/>
      <c r="AE11" s="298"/>
      <c r="AF11" s="298"/>
      <c r="AG11" s="298"/>
      <c r="AH11" s="298" t="e">
        <f>$N11/3</f>
        <v>#REF!</v>
      </c>
      <c r="AI11" s="298" t="e">
        <f t="shared" si="0"/>
        <v>#REF!</v>
      </c>
      <c r="AJ11" s="298" t="e">
        <f t="shared" si="0"/>
        <v>#REF!</v>
      </c>
    </row>
    <row r="12" spans="1:36" x14ac:dyDescent="0.35">
      <c r="A12" s="292" t="str">
        <f>'Digital Plan - UPI'!B9</f>
        <v>Telengana - Seg A</v>
      </c>
      <c r="B12" s="293" t="str">
        <f>'Digital Plan - UPI'!C9</f>
        <v>Core - CTV</v>
      </c>
      <c r="C12" s="295" t="str">
        <f>'Digital Plan - UPI'!D9</f>
        <v xml:space="preserve">YouTube </v>
      </c>
      <c r="D12" s="295" t="str">
        <f>'Digital Plan - UPI'!E9</f>
        <v>Video</v>
      </c>
      <c r="E12" s="406" t="str">
        <f>'Digital Plan - UPI'!F9</f>
        <v xml:space="preserve">Entertainment </v>
      </c>
      <c r="F12" s="407" t="str">
        <f>'Digital Plan - UPI'!G9</f>
        <v>CTV</v>
      </c>
      <c r="G12" s="296" t="str">
        <f>'Digital Plan - UPI'!H9</f>
        <v>Instream</v>
      </c>
      <c r="H12" s="296" t="str">
        <f>'Digital Plan - UPI'!I9</f>
        <v xml:space="preserve">Bumper 6 secs  </v>
      </c>
      <c r="I12" s="297" t="str">
        <f>'Digital Plan - UPI'!J9</f>
        <v>Reff : Targeting Sheet</v>
      </c>
      <c r="J12" s="295" t="str">
        <f>'Digital Plan - UPI'!K9</f>
        <v>CPM</v>
      </c>
      <c r="K12" s="298">
        <f>'Digital Plan - UPI'!L9</f>
        <v>21</v>
      </c>
      <c r="L12" s="299">
        <f>'Digital Plan - UPI'!M9</f>
        <v>45460</v>
      </c>
      <c r="M12" s="299">
        <f>'Digital Plan - UPI'!N9</f>
        <v>45480</v>
      </c>
      <c r="N12" s="298">
        <f>'Digital Plan - UPI'!O9</f>
        <v>16760060.0076</v>
      </c>
      <c r="O12" s="300" t="str">
        <f>'Digital Plan - UPI'!P9</f>
        <v>-</v>
      </c>
      <c r="P12" s="301">
        <f>'Digital Plan - UPI'!Q9</f>
        <v>0</v>
      </c>
      <c r="Q12" s="298">
        <f>'Digital Plan - UPI'!R9</f>
        <v>0</v>
      </c>
      <c r="R12" s="302">
        <f>'Digital Plan - UPI'!S9</f>
        <v>0.8</v>
      </c>
      <c r="S12" s="303">
        <f>'Digital Plan - UPI'!T9</f>
        <v>13408048.006080002</v>
      </c>
      <c r="T12" s="298">
        <f>'Digital Plan - UPI'!U9</f>
        <v>2428994.2039999999</v>
      </c>
      <c r="U12" s="298">
        <f>'Digital Plan - UPI'!V9</f>
        <v>6.9</v>
      </c>
      <c r="V12" s="304">
        <f>'Digital Plan - UPI'!X9</f>
        <v>110</v>
      </c>
      <c r="W12" s="305">
        <f>'Digital Plan - UPI'!Y9</f>
        <v>1843606.6008359999</v>
      </c>
      <c r="X12" s="305">
        <f>'Digital Plan - UPI'!Z9</f>
        <v>110</v>
      </c>
      <c r="Y12" s="305">
        <f>'Digital Plan - UPI'!AA9</f>
        <v>0</v>
      </c>
      <c r="Z12" s="306">
        <f>'Digital Plan - UPI'!AB9</f>
        <v>2693600</v>
      </c>
      <c r="AA12" s="307">
        <f>'Digital Plan - UPI'!AC9</f>
        <v>0.90176499999999993</v>
      </c>
      <c r="AB12" s="259"/>
      <c r="AC12" s="298"/>
      <c r="AD12" s="298"/>
      <c r="AE12" s="298">
        <f>$N12/3</f>
        <v>5586686.6692000004</v>
      </c>
      <c r="AF12" s="298">
        <f t="shared" si="0"/>
        <v>5586686.6692000004</v>
      </c>
      <c r="AG12" s="298">
        <f t="shared" si="0"/>
        <v>5586686.6692000004</v>
      </c>
      <c r="AH12" s="298"/>
      <c r="AI12" s="298"/>
      <c r="AJ12" s="298"/>
    </row>
    <row r="13" spans="1:36" x14ac:dyDescent="0.35">
      <c r="A13" s="292" t="e">
        <f>'Digital Plan - UPI'!#REF!</f>
        <v>#REF!</v>
      </c>
      <c r="B13" s="293" t="e">
        <f>'Digital Plan - UPI'!#REF!</f>
        <v>#REF!</v>
      </c>
      <c r="C13" s="295" t="e">
        <f>'Digital Plan - UPI'!#REF!</f>
        <v>#REF!</v>
      </c>
      <c r="D13" s="295" t="e">
        <f>'Digital Plan - UPI'!#REF!</f>
        <v>#REF!</v>
      </c>
      <c r="E13" s="406" t="e">
        <f>'Digital Plan - UPI'!#REF!</f>
        <v>#REF!</v>
      </c>
      <c r="F13" s="407" t="e">
        <f>'Digital Plan - UPI'!#REF!</f>
        <v>#REF!</v>
      </c>
      <c r="G13" s="296" t="e">
        <f>'Digital Plan - UPI'!#REF!</f>
        <v>#REF!</v>
      </c>
      <c r="H13" s="296" t="e">
        <f>'Digital Plan - UPI'!#REF!</f>
        <v>#REF!</v>
      </c>
      <c r="I13" s="297" t="e">
        <f>'Digital Plan - UPI'!#REF!</f>
        <v>#REF!</v>
      </c>
      <c r="J13" s="295" t="e">
        <f>'Digital Plan - UPI'!#REF!</f>
        <v>#REF!</v>
      </c>
      <c r="K13" s="298" t="e">
        <f>'Digital Plan - UPI'!#REF!</f>
        <v>#REF!</v>
      </c>
      <c r="L13" s="299" t="e">
        <f>'Digital Plan - UPI'!#REF!</f>
        <v>#REF!</v>
      </c>
      <c r="M13" s="299" t="e">
        <f>'Digital Plan - UPI'!#REF!</f>
        <v>#REF!</v>
      </c>
      <c r="N13" s="298" t="e">
        <f>'Digital Plan - UPI'!#REF!</f>
        <v>#REF!</v>
      </c>
      <c r="O13" s="300" t="e">
        <f>'Digital Plan - UPI'!#REF!</f>
        <v>#REF!</v>
      </c>
      <c r="P13" s="301" t="e">
        <f>'Digital Plan - UPI'!#REF!</f>
        <v>#REF!</v>
      </c>
      <c r="Q13" s="298" t="e">
        <f>'Digital Plan - UPI'!#REF!</f>
        <v>#REF!</v>
      </c>
      <c r="R13" s="302" t="e">
        <f>'Digital Plan - UPI'!#REF!</f>
        <v>#REF!</v>
      </c>
      <c r="S13" s="303" t="e">
        <f>'Digital Plan - UPI'!#REF!</f>
        <v>#REF!</v>
      </c>
      <c r="T13" s="298" t="e">
        <f>'Digital Plan - UPI'!#REF!</f>
        <v>#REF!</v>
      </c>
      <c r="U13" s="298" t="e">
        <f>'Digital Plan - UPI'!#REF!</f>
        <v>#REF!</v>
      </c>
      <c r="V13" s="304" t="e">
        <f>'Digital Plan - UPI'!#REF!</f>
        <v>#REF!</v>
      </c>
      <c r="W13" s="305" t="e">
        <f>'Digital Plan - UPI'!#REF!</f>
        <v>#REF!</v>
      </c>
      <c r="X13" s="305" t="e">
        <f>'Digital Plan - UPI'!#REF!</f>
        <v>#REF!</v>
      </c>
      <c r="Y13" s="305" t="e">
        <f>'Digital Plan - UPI'!#REF!</f>
        <v>#REF!</v>
      </c>
      <c r="Z13" s="306" t="e">
        <f>'Digital Plan - UPI'!#REF!</f>
        <v>#REF!</v>
      </c>
      <c r="AA13" s="307" t="e">
        <f>'Digital Plan - UPI'!#REF!</f>
        <v>#REF!</v>
      </c>
      <c r="AB13" s="259"/>
      <c r="AC13" s="298"/>
      <c r="AD13" s="298"/>
      <c r="AE13" s="298"/>
      <c r="AF13" s="298"/>
      <c r="AG13" s="298"/>
      <c r="AH13" s="298" t="e">
        <f>$N13/3</f>
        <v>#REF!</v>
      </c>
      <c r="AI13" s="298" t="e">
        <f t="shared" si="0"/>
        <v>#REF!</v>
      </c>
      <c r="AJ13" s="298" t="e">
        <f t="shared" si="0"/>
        <v>#REF!</v>
      </c>
    </row>
    <row r="14" spans="1:36" x14ac:dyDescent="0.35">
      <c r="A14" s="292" t="str">
        <f>'Digital Plan - UPI'!B10</f>
        <v>Telengana - Seg A</v>
      </c>
      <c r="B14" s="293" t="str">
        <f>'Digital Plan - UPI'!C10</f>
        <v>Core</v>
      </c>
      <c r="C14" s="264" t="str">
        <f>'Digital Plan - UPI'!D10</f>
        <v>Meta</v>
      </c>
      <c r="D14" s="264" t="str">
        <f>'Digital Plan - UPI'!E10</f>
        <v>Video</v>
      </c>
      <c r="E14" s="404" t="str">
        <f>'Digital Plan - UPI'!F10</f>
        <v xml:space="preserve">Entertainment </v>
      </c>
      <c r="F14" s="404" t="str">
        <f>'Digital Plan - UPI'!G10</f>
        <v xml:space="preserve">Mobile </v>
      </c>
      <c r="G14" s="265" t="str">
        <f>'Digital Plan - UPI'!H10</f>
        <v xml:space="preserve">Instream </v>
      </c>
      <c r="H14" s="265" t="str">
        <f>'Digital Plan - UPI'!I10</f>
        <v>Instream - 6 Sec</v>
      </c>
      <c r="I14" s="308" t="str">
        <f>'Digital Plan - UPI'!J10</f>
        <v>Reff : Targeting Sheet</v>
      </c>
      <c r="J14" s="263" t="str">
        <f>'Digital Plan - UPI'!K10</f>
        <v>CPM</v>
      </c>
      <c r="K14" s="266">
        <f>'Digital Plan - UPI'!L10</f>
        <v>21</v>
      </c>
      <c r="L14" s="267">
        <f>'Digital Plan - UPI'!M10</f>
        <v>45460</v>
      </c>
      <c r="M14" s="267">
        <f>'Digital Plan - UPI'!N10</f>
        <v>45480</v>
      </c>
      <c r="N14" s="266">
        <f>'Digital Plan - UPI'!O10</f>
        <v>1780756.3758075</v>
      </c>
      <c r="O14" s="268" t="str">
        <f>'Digital Plan - UPI'!P10</f>
        <v>-</v>
      </c>
      <c r="P14" s="269">
        <f>'Digital Plan - UPI'!Q10</f>
        <v>1E-3</v>
      </c>
      <c r="Q14" s="266">
        <f>'Digital Plan - UPI'!R10</f>
        <v>1780.7563758075</v>
      </c>
      <c r="R14" s="270">
        <f>'Digital Plan - UPI'!S10</f>
        <v>0.7</v>
      </c>
      <c r="S14" s="271">
        <f>'Digital Plan - UPI'!T10</f>
        <v>1246529.4630652498</v>
      </c>
      <c r="T14" s="266">
        <f>'Digital Plan - UPI'!U10</f>
        <v>1780756.3758075</v>
      </c>
      <c r="U14" s="266">
        <f>'Digital Plan - UPI'!V10</f>
        <v>1</v>
      </c>
      <c r="V14" s="272">
        <f>'Digital Plan - UPI'!X10</f>
        <v>70</v>
      </c>
      <c r="W14" s="273">
        <f>'Digital Plan - UPI'!Y10</f>
        <v>124652.946306525</v>
      </c>
      <c r="X14" s="273">
        <f>'Digital Plan - UPI'!Z10</f>
        <v>70</v>
      </c>
      <c r="Y14" s="273">
        <f>'Digital Plan - UPI'!AA10</f>
        <v>70</v>
      </c>
      <c r="Z14" s="274">
        <f>'Digital Plan - UPI'!AB10</f>
        <v>2919189</v>
      </c>
      <c r="AA14" s="275">
        <f>'Digital Plan - UPI'!AC10</f>
        <v>0.61001749999999999</v>
      </c>
      <c r="AB14" s="259"/>
      <c r="AC14" s="266"/>
      <c r="AD14" s="266"/>
      <c r="AE14" s="266">
        <f>$N14/3</f>
        <v>593585.45860250003</v>
      </c>
      <c r="AF14" s="266">
        <f t="shared" si="0"/>
        <v>593585.45860250003</v>
      </c>
      <c r="AG14" s="266">
        <f t="shared" si="0"/>
        <v>593585.45860250003</v>
      </c>
      <c r="AH14" s="266"/>
      <c r="AI14" s="266"/>
      <c r="AJ14" s="266"/>
    </row>
    <row r="15" spans="1:36" x14ac:dyDescent="0.35">
      <c r="A15" s="292" t="str">
        <f>'Digital Plan - UPI'!B11</f>
        <v>Telengana - Seg A</v>
      </c>
      <c r="B15" s="293" t="str">
        <f>'Digital Plan - UPI'!C11</f>
        <v>Core</v>
      </c>
      <c r="C15" s="264" t="str">
        <f>'Digital Plan - UPI'!D11</f>
        <v xml:space="preserve">YouTube </v>
      </c>
      <c r="D15" s="264" t="str">
        <f>'Digital Plan - UPI'!E11</f>
        <v>Video</v>
      </c>
      <c r="E15" s="404" t="str">
        <f>'Digital Plan - UPI'!F11</f>
        <v xml:space="preserve">Entertainment </v>
      </c>
      <c r="F15" s="404" t="str">
        <f>'Digital Plan - UPI'!G11</f>
        <v xml:space="preserve">Mobile </v>
      </c>
      <c r="G15" s="265" t="str">
        <f>'Digital Plan - UPI'!H11</f>
        <v xml:space="preserve">Instream </v>
      </c>
      <c r="H15" s="265" t="str">
        <f>'Digital Plan - UPI'!I11</f>
        <v xml:space="preserve">Bumper 6 secs  </v>
      </c>
      <c r="I15" s="308" t="str">
        <f>'Digital Plan - UPI'!J11</f>
        <v>Reff : Targeting Sheet</v>
      </c>
      <c r="J15" s="263" t="str">
        <f>'Digital Plan - UPI'!K11</f>
        <v>CPM</v>
      </c>
      <c r="K15" s="266">
        <f>'Digital Plan - UPI'!L11</f>
        <v>21</v>
      </c>
      <c r="L15" s="267">
        <f>'Digital Plan - UPI'!M11</f>
        <v>45460</v>
      </c>
      <c r="M15" s="267">
        <f>'Digital Plan - UPI'!N11</f>
        <v>45480</v>
      </c>
      <c r="N15" s="266">
        <f>'Digital Plan - UPI'!O11</f>
        <v>3600794.1422578124</v>
      </c>
      <c r="O15" s="268" t="str">
        <f>'Digital Plan - UPI'!P11</f>
        <v>-</v>
      </c>
      <c r="P15" s="269">
        <f>'Digital Plan - UPI'!Q11</f>
        <v>1E-3</v>
      </c>
      <c r="Q15" s="266">
        <f>'Digital Plan - UPI'!R11</f>
        <v>3600.7941422578124</v>
      </c>
      <c r="R15" s="270">
        <f>'Digital Plan - UPI'!S11</f>
        <v>0.8</v>
      </c>
      <c r="S15" s="271">
        <f>'Digital Plan - UPI'!T11</f>
        <v>2880635.3138062502</v>
      </c>
      <c r="T15" s="266">
        <f>'Digital Plan - UPI'!U11</f>
        <v>2118114.2013281249</v>
      </c>
      <c r="U15" s="266">
        <f>'Digital Plan - UPI'!V11</f>
        <v>1.7</v>
      </c>
      <c r="V15" s="272">
        <f>'Digital Plan - UPI'!X11</f>
        <v>80</v>
      </c>
      <c r="W15" s="273">
        <f>'Digital Plan - UPI'!Y11</f>
        <v>288063.53138062498</v>
      </c>
      <c r="X15" s="273">
        <f>'Digital Plan - UPI'!Z11</f>
        <v>80</v>
      </c>
      <c r="Y15" s="273">
        <f>'Digital Plan - UPI'!AA11</f>
        <v>80</v>
      </c>
      <c r="Z15" s="274">
        <f>'Digital Plan - UPI'!AB11</f>
        <v>3434340</v>
      </c>
      <c r="AA15" s="275">
        <f>'Digital Plan - UPI'!AC11</f>
        <v>0.61674563419117645</v>
      </c>
      <c r="AB15" s="259"/>
      <c r="AC15" s="266"/>
      <c r="AD15" s="266"/>
      <c r="AE15" s="266"/>
      <c r="AF15" s="266"/>
      <c r="AG15" s="266"/>
      <c r="AH15" s="266">
        <f>$N15/3</f>
        <v>1200264.7140859375</v>
      </c>
      <c r="AI15" s="266">
        <f t="shared" si="0"/>
        <v>1200264.7140859375</v>
      </c>
      <c r="AJ15" s="266">
        <f t="shared" si="0"/>
        <v>1200264.7140859375</v>
      </c>
    </row>
    <row r="16" spans="1:36" x14ac:dyDescent="0.35">
      <c r="A16" s="292" t="str">
        <f>'Digital Plan - UPI'!B12</f>
        <v>Telengana - Seg A</v>
      </c>
      <c r="B16" s="293" t="str">
        <f>'Digital Plan - UPI'!C12</f>
        <v>Core</v>
      </c>
      <c r="C16" s="263" t="str">
        <f>'Digital Plan - UPI'!D12</f>
        <v xml:space="preserve">DSP </v>
      </c>
      <c r="D16" s="263" t="str">
        <f>'Digital Plan - UPI'!E12</f>
        <v>Static</v>
      </c>
      <c r="E16" s="404" t="str">
        <f>'Digital Plan - UPI'!F12</f>
        <v xml:space="preserve">Network </v>
      </c>
      <c r="F16" s="404" t="str">
        <f>'Digital Plan - UPI'!G12</f>
        <v>Mobile</v>
      </c>
      <c r="G16" s="265" t="str">
        <f>'Digital Plan - UPI'!H12</f>
        <v>ROS</v>
      </c>
      <c r="H16" s="265" t="str">
        <f>'Digital Plan - UPI'!I12</f>
        <v>Large Formats</v>
      </c>
      <c r="I16" s="309" t="str">
        <f>'Digital Plan - UPI'!J12</f>
        <v>Reff : Targeting Sheet</v>
      </c>
      <c r="J16" s="263" t="str">
        <f>'Digital Plan - UPI'!K12</f>
        <v>CPM</v>
      </c>
      <c r="K16" s="266">
        <f>'Digital Plan - UPI'!L12</f>
        <v>21</v>
      </c>
      <c r="L16" s="267">
        <f>'Digital Plan - UPI'!M12</f>
        <v>45460</v>
      </c>
      <c r="M16" s="267">
        <f>'Digital Plan - UPI'!N12</f>
        <v>45480</v>
      </c>
      <c r="N16" s="266">
        <f>'Digital Plan - UPI'!O12</f>
        <v>759243.28838928568</v>
      </c>
      <c r="O16" s="268" t="str">
        <f>'Digital Plan - UPI'!P12</f>
        <v>-</v>
      </c>
      <c r="P16" s="269">
        <f>'Digital Plan - UPI'!Q12</f>
        <v>1.4999999999999999E-2</v>
      </c>
      <c r="Q16" s="266">
        <f>'Digital Plan - UPI'!R12</f>
        <v>11388.649325839284</v>
      </c>
      <c r="R16" s="268" t="str">
        <f>'Digital Plan - UPI'!S12</f>
        <v>-</v>
      </c>
      <c r="S16" s="271" t="str">
        <f>'Digital Plan - UPI'!T12</f>
        <v>-</v>
      </c>
      <c r="T16" s="266">
        <f>'Digital Plan - UPI'!U12</f>
        <v>893227.39810504194</v>
      </c>
      <c r="U16" s="266">
        <f>'Digital Plan - UPI'!V12</f>
        <v>0.85</v>
      </c>
      <c r="V16" s="272">
        <f>'Digital Plan - UPI'!X12</f>
        <v>105</v>
      </c>
      <c r="W16" s="273">
        <f>'Digital Plan - UPI'!Y12</f>
        <v>79720.545280874998</v>
      </c>
      <c r="X16" s="273">
        <f>'Digital Plan - UPI'!Z12</f>
        <v>105</v>
      </c>
      <c r="Y16" s="273">
        <f>'Digital Plan - UPI'!AA12</f>
        <v>7.0000000000000009</v>
      </c>
      <c r="Z16" s="274">
        <f>'Digital Plan - UPI'!AB12</f>
        <v>2773229.55</v>
      </c>
      <c r="AA16" s="275">
        <f>'Digital Plan - UPI'!AC12</f>
        <v>0.32208924</v>
      </c>
      <c r="AB16" s="259"/>
      <c r="AC16" s="266">
        <f>$N16*20%</f>
        <v>151848.65767785715</v>
      </c>
      <c r="AD16" s="266">
        <f>$N16*20%</f>
        <v>151848.65767785715</v>
      </c>
      <c r="AE16" s="266">
        <f>$N16*15%</f>
        <v>113886.49325839285</v>
      </c>
      <c r="AF16" s="266">
        <f>$N16*15%</f>
        <v>113886.49325839285</v>
      </c>
      <c r="AG16" s="266">
        <f>$N16*10%</f>
        <v>75924.328838928574</v>
      </c>
      <c r="AH16" s="266">
        <f t="shared" ref="AH16:AH20" si="1">$N16*10%</f>
        <v>75924.328838928574</v>
      </c>
      <c r="AI16" s="266">
        <f>$N16*5%</f>
        <v>37962.164419464287</v>
      </c>
      <c r="AJ16" s="266">
        <f>$N16*5%</f>
        <v>37962.164419464287</v>
      </c>
    </row>
    <row r="17" spans="1:36" x14ac:dyDescent="0.35">
      <c r="A17" s="292" t="str">
        <f>'Digital Plan - UPI'!B13</f>
        <v>Telengana - Seg A</v>
      </c>
      <c r="B17" s="293" t="str">
        <f>'Digital Plan - UPI'!C13</f>
        <v>Core</v>
      </c>
      <c r="C17" s="310" t="str">
        <f>'Digital Plan - UPI'!D13</f>
        <v>Mediakart</v>
      </c>
      <c r="D17" s="263" t="str">
        <f>'Digital Plan - UPI'!E13</f>
        <v>Static</v>
      </c>
      <c r="E17" s="408" t="str">
        <f>'Digital Plan - UPI'!F13</f>
        <v xml:space="preserve">Network </v>
      </c>
      <c r="F17" s="404" t="str">
        <f>'Digital Plan - UPI'!G13</f>
        <v xml:space="preserve">Mobile </v>
      </c>
      <c r="G17" s="265" t="str">
        <f>'Digital Plan - UPI'!H13</f>
        <v>ROS</v>
      </c>
      <c r="H17" s="265" t="str">
        <f>'Digital Plan - UPI'!I13</f>
        <v>Interstitial Static banner</v>
      </c>
      <c r="I17" s="309" t="str">
        <f>'Digital Plan - UPI'!J13</f>
        <v>Reff : Targeting Sheet</v>
      </c>
      <c r="J17" s="263" t="str">
        <f>'Digital Plan - UPI'!K13</f>
        <v xml:space="preserve">CPM </v>
      </c>
      <c r="K17" s="266">
        <f>'Digital Plan - UPI'!L13</f>
        <v>21</v>
      </c>
      <c r="L17" s="267">
        <f>'Digital Plan - UPI'!M13</f>
        <v>45460</v>
      </c>
      <c r="M17" s="267">
        <f>'Digital Plan - UPI'!N13</f>
        <v>45480</v>
      </c>
      <c r="N17" s="266">
        <f>'Digital Plan - UPI'!O13</f>
        <v>1268928.7249285898</v>
      </c>
      <c r="O17" s="268" t="str">
        <f>'Digital Plan - UPI'!P13</f>
        <v>-</v>
      </c>
      <c r="P17" s="269">
        <f>'Digital Plan - UPI'!Q13</f>
        <v>1.4999999999999999E-2</v>
      </c>
      <c r="Q17" s="266">
        <f>'Digital Plan - UPI'!R13</f>
        <v>19033.930873928846</v>
      </c>
      <c r="R17" s="268" t="str">
        <f>'Digital Plan - UPI'!S13</f>
        <v>-</v>
      </c>
      <c r="S17" s="271" t="str">
        <f>'Digital Plan - UPI'!T13</f>
        <v>-</v>
      </c>
      <c r="T17" s="266">
        <f>'Digital Plan - UPI'!U13</f>
        <v>1492857.3234453998</v>
      </c>
      <c r="U17" s="266">
        <f>'Digital Plan - UPI'!V13</f>
        <v>0.85</v>
      </c>
      <c r="V17" s="272">
        <f>'Digital Plan - UPI'!X13</f>
        <v>120</v>
      </c>
      <c r="W17" s="273">
        <f>'Digital Plan - UPI'!Y13</f>
        <v>152271.44699143077</v>
      </c>
      <c r="X17" s="273">
        <f>'Digital Plan - UPI'!Z13</f>
        <v>120</v>
      </c>
      <c r="Y17" s="273">
        <f>'Digital Plan - UPI'!AA13</f>
        <v>8</v>
      </c>
      <c r="Z17" s="274">
        <f>'Digital Plan - UPI'!AB13</f>
        <v>2780951</v>
      </c>
      <c r="AA17" s="275">
        <f>'Digital Plan - UPI'!AC13</f>
        <v>0.53681539999999994</v>
      </c>
      <c r="AB17" s="259"/>
      <c r="AC17" s="266">
        <f t="shared" ref="AC17:AD20" si="2">$N17*20%</f>
        <v>253785.74498571796</v>
      </c>
      <c r="AD17" s="266">
        <f t="shared" si="2"/>
        <v>253785.74498571796</v>
      </c>
      <c r="AE17" s="266">
        <f t="shared" ref="AE17:AF20" si="3">$N17*15%</f>
        <v>190339.30873928845</v>
      </c>
      <c r="AF17" s="266">
        <f t="shared" si="3"/>
        <v>190339.30873928845</v>
      </c>
      <c r="AG17" s="266">
        <f t="shared" ref="AG17:AG20" si="4">$N17*10%</f>
        <v>126892.87249285898</v>
      </c>
      <c r="AH17" s="266">
        <f t="shared" si="1"/>
        <v>126892.87249285898</v>
      </c>
      <c r="AI17" s="266">
        <f t="shared" ref="AI17:AJ20" si="5">$N17*5%</f>
        <v>63446.43624642949</v>
      </c>
      <c r="AJ17" s="266">
        <f t="shared" si="5"/>
        <v>63446.43624642949</v>
      </c>
    </row>
    <row r="18" spans="1:36" x14ac:dyDescent="0.35">
      <c r="A18" s="292" t="str">
        <f>'Digital Plan - UPI'!B14</f>
        <v>Telengana - Seg A</v>
      </c>
      <c r="B18" s="293" t="str">
        <f>'Digital Plan - UPI'!C14</f>
        <v>Core</v>
      </c>
      <c r="C18" s="310" t="str">
        <f>'Digital Plan - UPI'!D14</f>
        <v>Dailyhunt</v>
      </c>
      <c r="D18" s="311" t="str">
        <f>'Digital Plan - UPI'!E14</f>
        <v>Static</v>
      </c>
      <c r="E18" s="408" t="str">
        <f>'Digital Plan - UPI'!F14</f>
        <v>News</v>
      </c>
      <c r="F18" s="404" t="str">
        <f>'Digital Plan - UPI'!G14</f>
        <v xml:space="preserve">Mobile </v>
      </c>
      <c r="G18" s="310" t="str">
        <f>'Digital Plan - UPI'!H14</f>
        <v>ROS</v>
      </c>
      <c r="H18" s="263" t="str">
        <f>'Digital Plan - UPI'!I14</f>
        <v>Page Insert - Innovation</v>
      </c>
      <c r="I18" s="309" t="str">
        <f>'Digital Plan - UPI'!J14</f>
        <v>Reff : Targeting Sheet</v>
      </c>
      <c r="J18" s="263" t="str">
        <f>'Digital Plan - UPI'!K14</f>
        <v>CPM</v>
      </c>
      <c r="K18" s="266">
        <f>'Digital Plan - UPI'!L14</f>
        <v>21</v>
      </c>
      <c r="L18" s="267">
        <f>'Digital Plan - UPI'!M14</f>
        <v>45460</v>
      </c>
      <c r="M18" s="267">
        <f>'Digital Plan - UPI'!N14</f>
        <v>45480</v>
      </c>
      <c r="N18" s="266">
        <f>'Digital Plan - UPI'!O14</f>
        <v>198714.08929849401</v>
      </c>
      <c r="O18" s="268" t="str">
        <f>'Digital Plan - UPI'!P14</f>
        <v>-</v>
      </c>
      <c r="P18" s="312">
        <f>'Digital Plan - UPI'!Q14</f>
        <v>0.01</v>
      </c>
      <c r="Q18" s="266">
        <f>'Digital Plan - UPI'!R14</f>
        <v>1987.1408929849401</v>
      </c>
      <c r="R18" s="268" t="str">
        <f>'Digital Plan - UPI'!S14</f>
        <v>-</v>
      </c>
      <c r="S18" s="271" t="str">
        <f>'Digital Plan - UPI'!T14</f>
        <v>-</v>
      </c>
      <c r="T18" s="266">
        <f>'Digital Plan - UPI'!U14</f>
        <v>233781.28152764004</v>
      </c>
      <c r="U18" s="266">
        <f>'Digital Plan - UPI'!V14</f>
        <v>0.85</v>
      </c>
      <c r="V18" s="272">
        <f>'Digital Plan - UPI'!X14</f>
        <v>200</v>
      </c>
      <c r="W18" s="273">
        <f>'Digital Plan - UPI'!Y14</f>
        <v>39742.8178596988</v>
      </c>
      <c r="X18" s="273">
        <f>'Digital Plan - UPI'!Z14</f>
        <v>199.99999999999997</v>
      </c>
      <c r="Y18" s="273">
        <f>'Digital Plan - UPI'!AA14</f>
        <v>20</v>
      </c>
      <c r="Z18" s="274">
        <f>'Digital Plan - UPI'!AB14</f>
        <v>989765</v>
      </c>
      <c r="AA18" s="275">
        <f>'Digital Plan - UPI'!AC14</f>
        <v>0.23619877600000003</v>
      </c>
      <c r="AB18" s="259"/>
      <c r="AC18" s="266">
        <f t="shared" si="2"/>
        <v>39742.817859698807</v>
      </c>
      <c r="AD18" s="266">
        <f t="shared" si="2"/>
        <v>39742.817859698807</v>
      </c>
      <c r="AE18" s="266">
        <f t="shared" si="3"/>
        <v>29807.1133947741</v>
      </c>
      <c r="AF18" s="266">
        <f t="shared" si="3"/>
        <v>29807.1133947741</v>
      </c>
      <c r="AG18" s="266">
        <f t="shared" si="4"/>
        <v>19871.408929849404</v>
      </c>
      <c r="AH18" s="266">
        <f t="shared" si="1"/>
        <v>19871.408929849404</v>
      </c>
      <c r="AI18" s="266">
        <f t="shared" si="5"/>
        <v>9935.7044649247018</v>
      </c>
      <c r="AJ18" s="266">
        <f t="shared" si="5"/>
        <v>9935.7044649247018</v>
      </c>
    </row>
    <row r="19" spans="1:36" x14ac:dyDescent="0.35">
      <c r="A19" s="292" t="str">
        <f>'Digital Plan - UPI'!B15</f>
        <v>Hyderabad - Seg A</v>
      </c>
      <c r="B19" s="293" t="str">
        <f>'Digital Plan - UPI'!C15</f>
        <v>Core</v>
      </c>
      <c r="C19" s="310" t="str">
        <f>'Digital Plan - UPI'!D15</f>
        <v>UBER</v>
      </c>
      <c r="D19" s="263" t="str">
        <f>'Digital Plan - UPI'!E15</f>
        <v>Static</v>
      </c>
      <c r="E19" s="408" t="str">
        <f>'Digital Plan - UPI'!F15</f>
        <v>Utility</v>
      </c>
      <c r="F19" s="404" t="str">
        <f>'Digital Plan - UPI'!G15</f>
        <v xml:space="preserve">Mobile </v>
      </c>
      <c r="G19" s="265" t="str">
        <f>'Digital Plan - UPI'!H15</f>
        <v>ROS</v>
      </c>
      <c r="H19" s="265" t="str">
        <f>'Digital Plan - UPI'!I15</f>
        <v>Journey Ads</v>
      </c>
      <c r="I19" s="309" t="str">
        <f>'Digital Plan - UPI'!J15</f>
        <v>NA</v>
      </c>
      <c r="J19" s="263" t="str">
        <f>'Digital Plan - UPI'!K15</f>
        <v>CPT</v>
      </c>
      <c r="K19" s="266">
        <f>'Digital Plan - UPI'!L15</f>
        <v>21</v>
      </c>
      <c r="L19" s="267">
        <f>'Digital Plan - UPI'!M15</f>
        <v>45460</v>
      </c>
      <c r="M19" s="267">
        <f>'Digital Plan - UPI'!N15</f>
        <v>45480</v>
      </c>
      <c r="N19" s="266">
        <f>'Digital Plan - UPI'!O15</f>
        <v>629550.32000000007</v>
      </c>
      <c r="O19" s="268">
        <f>'Digital Plan - UPI'!P15</f>
        <v>209850.10666666669</v>
      </c>
      <c r="P19" s="269">
        <f>'Digital Plan - UPI'!Q15</f>
        <v>1.4999999999999999E-2</v>
      </c>
      <c r="Q19" s="266">
        <f>'Digital Plan - UPI'!R15</f>
        <v>9443.2548000000006</v>
      </c>
      <c r="R19" s="268" t="str">
        <f>'Digital Plan - UPI'!S15</f>
        <v>-</v>
      </c>
      <c r="S19" s="271" t="str">
        <f>'Digital Plan - UPI'!T15</f>
        <v>-</v>
      </c>
      <c r="T19" s="266">
        <f>'Digital Plan - UPI'!U15</f>
        <v>209850.10666666669</v>
      </c>
      <c r="U19" s="266">
        <f>'Digital Plan - UPI'!V15</f>
        <v>3</v>
      </c>
      <c r="V19" s="272">
        <f>'Digital Plan - UPI'!X15</f>
        <v>1.5</v>
      </c>
      <c r="W19" s="273">
        <f>'Digital Plan - UPI'!Y15</f>
        <v>314775.16000000003</v>
      </c>
      <c r="X19" s="273">
        <f>'Digital Plan - UPI'!Z15</f>
        <v>500</v>
      </c>
      <c r="Y19" s="273">
        <f>'Digital Plan - UPI'!AA15</f>
        <v>33.333333333333336</v>
      </c>
      <c r="Z19" s="274">
        <f>'Digital Plan - UPI'!AB15</f>
        <v>2248394</v>
      </c>
      <c r="AA19" s="275">
        <f>'Digital Plan - UPI'!AC15</f>
        <v>9.3333333333333338E-2</v>
      </c>
      <c r="AB19" s="259"/>
      <c r="AC19" s="266">
        <f t="shared" si="2"/>
        <v>125910.06400000001</v>
      </c>
      <c r="AD19" s="266">
        <f t="shared" si="2"/>
        <v>125910.06400000001</v>
      </c>
      <c r="AE19" s="266">
        <f t="shared" si="3"/>
        <v>94432.54800000001</v>
      </c>
      <c r="AF19" s="266">
        <f t="shared" si="3"/>
        <v>94432.54800000001</v>
      </c>
      <c r="AG19" s="266">
        <f t="shared" si="4"/>
        <v>62955.032000000007</v>
      </c>
      <c r="AH19" s="266">
        <f t="shared" si="1"/>
        <v>62955.032000000007</v>
      </c>
      <c r="AI19" s="266">
        <f t="shared" si="5"/>
        <v>31477.516000000003</v>
      </c>
      <c r="AJ19" s="266">
        <f t="shared" si="5"/>
        <v>31477.516000000003</v>
      </c>
    </row>
    <row r="20" spans="1:36" x14ac:dyDescent="0.35">
      <c r="A20" s="292" t="str">
        <f>'Digital Plan - UPI'!B16</f>
        <v>Telengana - Seg A</v>
      </c>
      <c r="B20" s="293" t="str">
        <f>'Digital Plan - UPI'!C16</f>
        <v>Core</v>
      </c>
      <c r="C20" s="310" t="str">
        <f>'Digital Plan - UPI'!D16</f>
        <v>Mcanvas</v>
      </c>
      <c r="D20" s="263" t="str">
        <f>'Digital Plan - UPI'!E16</f>
        <v>Static</v>
      </c>
      <c r="E20" s="408" t="str">
        <f>'Digital Plan - UPI'!F16</f>
        <v xml:space="preserve">Network </v>
      </c>
      <c r="F20" s="404" t="str">
        <f>'Digital Plan - UPI'!G16</f>
        <v xml:space="preserve">Mobile </v>
      </c>
      <c r="G20" s="265" t="str">
        <f>'Digital Plan - UPI'!H16</f>
        <v>ROS</v>
      </c>
      <c r="H20" s="265" t="str">
        <f>'Digital Plan - UPI'!I16</f>
        <v xml:space="preserve">Single Screen Interstitial </v>
      </c>
      <c r="I20" s="309" t="str">
        <f>'Digital Plan - UPI'!J16</f>
        <v>Reff : Targeting Sheet</v>
      </c>
      <c r="J20" s="263" t="str">
        <f>'Digital Plan - UPI'!K16</f>
        <v>CPC</v>
      </c>
      <c r="K20" s="266">
        <f>'Digital Plan - UPI'!L16</f>
        <v>21</v>
      </c>
      <c r="L20" s="267">
        <f>'Digital Plan - UPI'!M16</f>
        <v>45460</v>
      </c>
      <c r="M20" s="267">
        <f>'Digital Plan - UPI'!N16</f>
        <v>45480</v>
      </c>
      <c r="N20" s="266">
        <f>'Digital Plan - UPI'!O16</f>
        <v>2620840.1458800002</v>
      </c>
      <c r="O20" s="268" t="str">
        <f>'Digital Plan - UPI'!P16</f>
        <v>-</v>
      </c>
      <c r="P20" s="269">
        <f>'Digital Plan - UPI'!Q16</f>
        <v>0.02</v>
      </c>
      <c r="Q20" s="266">
        <f>'Digital Plan - UPI'!R16</f>
        <v>52416.802917600005</v>
      </c>
      <c r="R20" s="268" t="str">
        <f>'Digital Plan - UPI'!S16</f>
        <v>-</v>
      </c>
      <c r="S20" s="271" t="str">
        <f>'Digital Plan - UPI'!T16</f>
        <v>-</v>
      </c>
      <c r="T20" s="266">
        <f>'Digital Plan - UPI'!U16</f>
        <v>2620840.1458800002</v>
      </c>
      <c r="U20" s="266">
        <f>'Digital Plan - UPI'!V16</f>
        <v>1</v>
      </c>
      <c r="V20" s="272">
        <f>'Digital Plan - UPI'!X16</f>
        <v>4.5</v>
      </c>
      <c r="W20" s="273">
        <f>'Digital Plan - UPI'!Y16</f>
        <v>235875.61312920004</v>
      </c>
      <c r="X20" s="273">
        <f>'Digital Plan - UPI'!Z16</f>
        <v>90.000000000000014</v>
      </c>
      <c r="Y20" s="273">
        <f>'Digital Plan - UPI'!AA16</f>
        <v>4.5</v>
      </c>
      <c r="Z20" s="274">
        <f>'Digital Plan - UPI'!AB16</f>
        <v>4068500</v>
      </c>
      <c r="AA20" s="275">
        <f>'Digital Plan - UPI'!AC16</f>
        <v>0.64417848</v>
      </c>
      <c r="AB20" s="259"/>
      <c r="AC20" s="266">
        <f t="shared" si="2"/>
        <v>524168.02917600004</v>
      </c>
      <c r="AD20" s="266">
        <f t="shared" si="2"/>
        <v>524168.02917600004</v>
      </c>
      <c r="AE20" s="266">
        <f t="shared" si="3"/>
        <v>393126.02188200003</v>
      </c>
      <c r="AF20" s="266">
        <f t="shared" si="3"/>
        <v>393126.02188200003</v>
      </c>
      <c r="AG20" s="266">
        <f t="shared" si="4"/>
        <v>262084.01458800002</v>
      </c>
      <c r="AH20" s="266">
        <f t="shared" si="1"/>
        <v>262084.01458800002</v>
      </c>
      <c r="AI20" s="266">
        <f t="shared" si="5"/>
        <v>131042.00729400001</v>
      </c>
      <c r="AJ20" s="266">
        <f t="shared" si="5"/>
        <v>131042.00729400001</v>
      </c>
    </row>
    <row r="21" spans="1:36" x14ac:dyDescent="0.35">
      <c r="A21" s="292" t="str">
        <f>'Digital Plan - UPI'!B17</f>
        <v>Telengana - Seg A</v>
      </c>
      <c r="B21" s="293" t="str">
        <f>'Digital Plan - UPI'!C17</f>
        <v>Core</v>
      </c>
      <c r="C21" s="310" t="str">
        <f>'Digital Plan - UPI'!D17</f>
        <v>Sports Display (Auction Deal)</v>
      </c>
      <c r="D21" s="314" t="str">
        <f>'Digital Plan - UPI'!E17</f>
        <v>Static</v>
      </c>
      <c r="E21" s="408" t="str">
        <f>'Digital Plan - UPI'!F17</f>
        <v>Sports</v>
      </c>
      <c r="F21" s="404" t="str">
        <f>'Digital Plan - UPI'!G17</f>
        <v>Mobile</v>
      </c>
      <c r="G21" s="265" t="str">
        <f>'Digital Plan - UPI'!H17</f>
        <v>ROS</v>
      </c>
      <c r="H21" s="265" t="str">
        <f>'Digital Plan - UPI'!I17</f>
        <v>Standard Banners</v>
      </c>
      <c r="I21" s="308" t="str">
        <f>'Digital Plan - UPI'!J17</f>
        <v>Geo + Demo (MF 18+)</v>
      </c>
      <c r="J21" s="263" t="str">
        <f>'Digital Plan - UPI'!K17</f>
        <v>CPM</v>
      </c>
      <c r="K21" s="266">
        <f>'Digital Plan - UPI'!L17</f>
        <v>13</v>
      </c>
      <c r="L21" s="267">
        <f>'Digital Plan - UPI'!M17</f>
        <v>45460</v>
      </c>
      <c r="M21" s="267">
        <f>'Digital Plan - UPI'!N17</f>
        <v>45472</v>
      </c>
      <c r="N21" s="266">
        <f>'Digital Plan - UPI'!O17</f>
        <v>812409.28</v>
      </c>
      <c r="O21" s="268" t="str">
        <f>'Digital Plan - UPI'!P17</f>
        <v>-</v>
      </c>
      <c r="P21" s="315">
        <f>'Digital Plan - UPI'!Q17</f>
        <v>5.0000000000000001E-3</v>
      </c>
      <c r="Q21" s="266">
        <f>'Digital Plan - UPI'!R17</f>
        <v>4062.0464000000002</v>
      </c>
      <c r="R21" s="268" t="str">
        <f>'Digital Plan - UPI'!S17</f>
        <v>-</v>
      </c>
      <c r="S21" s="271" t="str">
        <f>'Digital Plan - UPI'!T17</f>
        <v>-</v>
      </c>
      <c r="T21" s="266">
        <f>'Digital Plan - UPI'!U17</f>
        <v>406204.64</v>
      </c>
      <c r="U21" s="266">
        <f>'Digital Plan - UPI'!V17</f>
        <v>2</v>
      </c>
      <c r="V21" s="272">
        <f>'Digital Plan - UPI'!X17</f>
        <v>105</v>
      </c>
      <c r="W21" s="273">
        <f>'Digital Plan - UPI'!Y17</f>
        <v>85302.974400000006</v>
      </c>
      <c r="X21" s="273">
        <f>'Digital Plan - UPI'!Z17</f>
        <v>105.00000000000001</v>
      </c>
      <c r="Y21" s="273">
        <f>'Digital Plan - UPI'!AA17</f>
        <v>21</v>
      </c>
      <c r="Z21" s="274">
        <f>'Digital Plan - UPI'!AB17</f>
        <v>1015511.6</v>
      </c>
      <c r="AA21" s="275">
        <f>'Digital Plan - UPI'!AC17</f>
        <v>0.4</v>
      </c>
      <c r="AB21" s="259"/>
      <c r="AC21" s="266"/>
      <c r="AD21" s="266"/>
      <c r="AE21" s="266">
        <f>N21/K21*2</f>
        <v>124986.04307692309</v>
      </c>
      <c r="AF21" s="266">
        <f>N21/K21*2</f>
        <v>124986.04307692309</v>
      </c>
      <c r="AG21" s="266"/>
      <c r="AH21" s="266"/>
      <c r="AI21" s="266">
        <f>N21/K21*2</f>
        <v>124986.04307692309</v>
      </c>
      <c r="AJ21" s="266"/>
    </row>
    <row r="22" spans="1:36" x14ac:dyDescent="0.35">
      <c r="A22" s="292" t="str">
        <f>'Digital Plan - UPI'!B18</f>
        <v>Hyderabad - Seg A</v>
      </c>
      <c r="B22" s="293" t="str">
        <f>'Digital Plan - UPI'!C18</f>
        <v>Core</v>
      </c>
      <c r="C22" s="311" t="str">
        <f>'Digital Plan - UPI'!D18</f>
        <v>NobrokerHood</v>
      </c>
      <c r="D22" s="263" t="str">
        <f>'Digital Plan - UPI'!E18</f>
        <v>Static</v>
      </c>
      <c r="E22" s="408" t="str">
        <f>'Digital Plan - UPI'!F18</f>
        <v>Community</v>
      </c>
      <c r="F22" s="404" t="str">
        <f>'Digital Plan - UPI'!G18</f>
        <v xml:space="preserve">Mobile </v>
      </c>
      <c r="G22" s="265" t="str">
        <f>'Digital Plan - UPI'!H18</f>
        <v>ROS</v>
      </c>
      <c r="H22" s="265" t="str">
        <f>'Digital Plan - UPI'!I18</f>
        <v>PAC</v>
      </c>
      <c r="I22" s="308" t="str">
        <f>'Digital Plan - UPI'!J18</f>
        <v>Reff : Targeting Sheet</v>
      </c>
      <c r="J22" s="263" t="str">
        <f>'Digital Plan - UPI'!K18</f>
        <v xml:space="preserve">CPM </v>
      </c>
      <c r="K22" s="266">
        <f>'Digital Plan - UPI'!L18</f>
        <v>6</v>
      </c>
      <c r="L22" s="267">
        <f>'Digital Plan - UPI'!M18</f>
        <v>45471</v>
      </c>
      <c r="M22" s="267">
        <f>'Digital Plan - UPI'!N18</f>
        <v>45476</v>
      </c>
      <c r="N22" s="266">
        <f>'Digital Plan - UPI'!O18</f>
        <v>371938.71428571432</v>
      </c>
      <c r="O22" s="268" t="str">
        <f>'Digital Plan - UPI'!P18</f>
        <v>-</v>
      </c>
      <c r="P22" s="315">
        <f>'Digital Plan - UPI'!Q18</f>
        <v>0.01</v>
      </c>
      <c r="Q22" s="266">
        <f>'Digital Plan - UPI'!R18</f>
        <v>3719.3871428571433</v>
      </c>
      <c r="R22" s="268" t="str">
        <f>'Digital Plan - UPI'!S18</f>
        <v>-</v>
      </c>
      <c r="S22" s="271" t="str">
        <f>'Digital Plan - UPI'!T18</f>
        <v>-</v>
      </c>
      <c r="T22" s="266">
        <f>'Digital Plan - UPI'!U18</f>
        <v>74387.742857142861</v>
      </c>
      <c r="U22" s="266">
        <f>'Digital Plan - UPI'!V18</f>
        <v>5</v>
      </c>
      <c r="V22" s="272">
        <f>'Digital Plan - UPI'!X18</f>
        <v>260</v>
      </c>
      <c r="W22" s="273">
        <f>'Digital Plan - UPI'!Y18</f>
        <v>96704.065714285724</v>
      </c>
      <c r="X22" s="273">
        <f>'Digital Plan - UPI'!Z18</f>
        <v>260</v>
      </c>
      <c r="Y22" s="273">
        <f>'Digital Plan - UPI'!AA18</f>
        <v>26</v>
      </c>
      <c r="Z22" s="274">
        <f>'Digital Plan - UPI'!AB18</f>
        <v>202500</v>
      </c>
      <c r="AA22" s="275">
        <f>'Digital Plan - UPI'!AC18</f>
        <v>0.36734687830687834</v>
      </c>
      <c r="AB22" s="259"/>
      <c r="AC22" s="266"/>
      <c r="AD22" s="266">
        <f>N22/K22*2</f>
        <v>123979.57142857143</v>
      </c>
      <c r="AE22" s="266">
        <f>N22/K22*2</f>
        <v>123979.57142857143</v>
      </c>
      <c r="AF22" s="266">
        <f>N22/K22*4</f>
        <v>247959.14285714287</v>
      </c>
      <c r="AG22" s="266"/>
      <c r="AH22" s="266"/>
      <c r="AI22" s="266">
        <f>N22/K22*4</f>
        <v>247959.14285714287</v>
      </c>
      <c r="AJ22" s="266">
        <f>N22/K22*2</f>
        <v>123979.57142857143</v>
      </c>
    </row>
    <row r="23" spans="1:36" x14ac:dyDescent="0.35">
      <c r="A23" s="277" t="str">
        <f>'Digital Plan - UPI'!B19</f>
        <v>Telengana - Seg A</v>
      </c>
      <c r="B23" s="278">
        <f>'Digital Plan - UPI'!C19</f>
        <v>0</v>
      </c>
      <c r="C23" s="279" t="str">
        <f>'Digital Plan - UPI'!D19</f>
        <v>Total</v>
      </c>
      <c r="D23" s="280">
        <f>'Digital Plan - UPI'!E19</f>
        <v>0</v>
      </c>
      <c r="E23" s="405">
        <f>'Digital Plan - UPI'!F19</f>
        <v>0</v>
      </c>
      <c r="F23" s="405">
        <f>'Digital Plan - UPI'!G19</f>
        <v>0</v>
      </c>
      <c r="G23" s="280">
        <f>'Digital Plan - UPI'!H19</f>
        <v>0</v>
      </c>
      <c r="H23" s="281">
        <f>'Digital Plan - UPI'!I19</f>
        <v>0</v>
      </c>
      <c r="I23" s="282">
        <f>'Digital Plan - UPI'!J19</f>
        <v>0</v>
      </c>
      <c r="J23" s="283">
        <f>'Digital Plan - UPI'!K19</f>
        <v>0</v>
      </c>
      <c r="K23" s="284">
        <f>'Digital Plan - UPI'!L19</f>
        <v>0</v>
      </c>
      <c r="L23" s="284">
        <f>'Digital Plan - UPI'!M19</f>
        <v>0</v>
      </c>
      <c r="M23" s="284">
        <f>'Digital Plan - UPI'!N19</f>
        <v>0</v>
      </c>
      <c r="N23" s="284">
        <f>'Digital Plan - UPI'!O19</f>
        <v>32949708.964362968</v>
      </c>
      <c r="O23" s="284">
        <f>'Digital Plan - UPI'!P19</f>
        <v>0</v>
      </c>
      <c r="P23" s="285">
        <f>'Digital Plan - UPI'!Q19</f>
        <v>3.2605071864965588E-3</v>
      </c>
      <c r="Q23" s="284">
        <f>'Digital Plan - UPI'!R19</f>
        <v>107432.76287127554</v>
      </c>
      <c r="R23" s="286">
        <f>'Digital Plan - UPI'!S19</f>
        <v>0</v>
      </c>
      <c r="S23" s="316">
        <f>'Digital Plan - UPI'!T19</f>
        <v>21059715.577479735</v>
      </c>
      <c r="T23" s="284">
        <f>'Digital Plan - UPI'!U19</f>
        <v>3660879.4195022001</v>
      </c>
      <c r="U23" s="284">
        <f>'Digital Plan - UPI'!V19</f>
        <v>9.0004900977709372</v>
      </c>
      <c r="V23" s="287">
        <f>'Digital Plan - UPI'!X19</f>
        <v>0</v>
      </c>
      <c r="W23" s="317">
        <f>'Digital Plan - UPI'!Y19</f>
        <v>3779024.936388087</v>
      </c>
      <c r="X23" s="288">
        <f>'Digital Plan - UPI'!Z19</f>
        <v>114.69069242691408</v>
      </c>
      <c r="Y23" s="288">
        <f>'Digital Plan - UPI'!AA19</f>
        <v>35.175721403684484</v>
      </c>
      <c r="Z23" s="284">
        <f>'Digital Plan - UPI'!AB19</f>
        <v>4467398.2429999998</v>
      </c>
      <c r="AA23" s="289">
        <f>'Digital Plan - UPI'!AC19</f>
        <v>0.81946565324424792</v>
      </c>
      <c r="AB23" s="259"/>
      <c r="AC23" s="284"/>
      <c r="AD23" s="284"/>
      <c r="AE23" s="284"/>
      <c r="AF23" s="284"/>
      <c r="AG23" s="284"/>
      <c r="AH23" s="284"/>
      <c r="AI23" s="284"/>
      <c r="AJ23" s="284"/>
    </row>
    <row r="24" spans="1:36" x14ac:dyDescent="0.35">
      <c r="A24" s="292" t="e">
        <f>'Digital Plan - UPI'!#REF!</f>
        <v>#REF!</v>
      </c>
      <c r="B24" s="293" t="e">
        <f>'Digital Plan - UPI'!#REF!</f>
        <v>#REF!</v>
      </c>
      <c r="C24" s="264" t="e">
        <f>'Digital Plan - UPI'!#REF!</f>
        <v>#REF!</v>
      </c>
      <c r="D24" s="264" t="e">
        <f>'Digital Plan - UPI'!#REF!</f>
        <v>#REF!</v>
      </c>
      <c r="E24" s="404" t="e">
        <f>'Digital Plan - UPI'!#REF!</f>
        <v>#REF!</v>
      </c>
      <c r="F24" s="404" t="e">
        <f>'Digital Plan - UPI'!#REF!</f>
        <v>#REF!</v>
      </c>
      <c r="G24" s="265" t="e">
        <f>'Digital Plan - UPI'!#REF!</f>
        <v>#REF!</v>
      </c>
      <c r="H24" s="265" t="e">
        <f>'Digital Plan - UPI'!#REF!</f>
        <v>#REF!</v>
      </c>
      <c r="I24" s="308" t="e">
        <f>'Digital Plan - UPI'!#REF!</f>
        <v>#REF!</v>
      </c>
      <c r="J24" s="263" t="e">
        <f>'Digital Plan - UPI'!#REF!</f>
        <v>#REF!</v>
      </c>
      <c r="K24" s="266" t="e">
        <f>'Digital Plan - UPI'!#REF!</f>
        <v>#REF!</v>
      </c>
      <c r="L24" s="267" t="e">
        <f>'Digital Plan - UPI'!#REF!</f>
        <v>#REF!</v>
      </c>
      <c r="M24" s="267" t="e">
        <f>'Digital Plan - UPI'!#REF!</f>
        <v>#REF!</v>
      </c>
      <c r="N24" s="266" t="e">
        <f>'Digital Plan - UPI'!#REF!</f>
        <v>#REF!</v>
      </c>
      <c r="O24" s="268" t="e">
        <f>'Digital Plan - UPI'!#REF!</f>
        <v>#REF!</v>
      </c>
      <c r="P24" s="269" t="e">
        <f>'Digital Plan - UPI'!#REF!</f>
        <v>#REF!</v>
      </c>
      <c r="Q24" s="266" t="e">
        <f>'Digital Plan - UPI'!#REF!</f>
        <v>#REF!</v>
      </c>
      <c r="R24" s="318" t="e">
        <f>'Digital Plan - UPI'!#REF!</f>
        <v>#REF!</v>
      </c>
      <c r="S24" s="319" t="e">
        <f>'Digital Plan - UPI'!#REF!</f>
        <v>#REF!</v>
      </c>
      <c r="T24" s="266" t="e">
        <f>'Digital Plan - UPI'!#REF!</f>
        <v>#REF!</v>
      </c>
      <c r="U24" s="266" t="e">
        <f>'Digital Plan - UPI'!#REF!</f>
        <v>#REF!</v>
      </c>
      <c r="V24" s="272" t="e">
        <f>'Digital Plan - UPI'!#REF!</f>
        <v>#REF!</v>
      </c>
      <c r="W24" s="273" t="e">
        <f>'Digital Plan - UPI'!#REF!</f>
        <v>#REF!</v>
      </c>
      <c r="X24" s="273" t="e">
        <f>'Digital Plan - UPI'!#REF!</f>
        <v>#REF!</v>
      </c>
      <c r="Y24" s="273" t="e">
        <f>'Digital Plan - UPI'!#REF!</f>
        <v>#REF!</v>
      </c>
      <c r="Z24" s="274" t="e">
        <f>'Digital Plan - UPI'!#REF!</f>
        <v>#REF!</v>
      </c>
      <c r="AA24" s="275" t="e">
        <f>'Digital Plan - UPI'!#REF!</f>
        <v>#REF!</v>
      </c>
      <c r="AB24" s="259"/>
      <c r="AC24" s="266" t="e">
        <f>N24/2</f>
        <v>#REF!</v>
      </c>
      <c r="AD24" s="266" t="e">
        <f>N24/2</f>
        <v>#REF!</v>
      </c>
      <c r="AE24" s="266"/>
      <c r="AF24" s="266"/>
      <c r="AG24" s="266"/>
      <c r="AH24" s="266"/>
      <c r="AI24" s="266"/>
      <c r="AJ24" s="266"/>
    </row>
    <row r="25" spans="1:36" x14ac:dyDescent="0.35">
      <c r="A25" s="292" t="e">
        <f>'Digital Plan - UPI'!#REF!</f>
        <v>#REF!</v>
      </c>
      <c r="B25" s="293" t="e">
        <f>'Digital Plan - UPI'!#REF!</f>
        <v>#REF!</v>
      </c>
      <c r="C25" s="263" t="e">
        <f>'Digital Plan - UPI'!#REF!</f>
        <v>#REF!</v>
      </c>
      <c r="D25" s="263" t="e">
        <f>'Digital Plan - UPI'!#REF!</f>
        <v>#REF!</v>
      </c>
      <c r="E25" s="404" t="e">
        <f>'Digital Plan - UPI'!#REF!</f>
        <v>#REF!</v>
      </c>
      <c r="F25" s="404" t="e">
        <f>'Digital Plan - UPI'!#REF!</f>
        <v>#REF!</v>
      </c>
      <c r="G25" s="265" t="e">
        <f>'Digital Plan - UPI'!#REF!</f>
        <v>#REF!</v>
      </c>
      <c r="H25" s="265" t="e">
        <f>'Digital Plan - UPI'!#REF!</f>
        <v>#REF!</v>
      </c>
      <c r="I25" s="308" t="e">
        <f>'Digital Plan - UPI'!#REF!</f>
        <v>#REF!</v>
      </c>
      <c r="J25" s="263" t="e">
        <f>'Digital Plan - UPI'!#REF!</f>
        <v>#REF!</v>
      </c>
      <c r="K25" s="266" t="e">
        <f>'Digital Plan - UPI'!#REF!</f>
        <v>#REF!</v>
      </c>
      <c r="L25" s="267" t="e">
        <f>'Digital Plan - UPI'!#REF!</f>
        <v>#REF!</v>
      </c>
      <c r="M25" s="267" t="e">
        <f>'Digital Plan - UPI'!#REF!</f>
        <v>#REF!</v>
      </c>
      <c r="N25" s="266" t="e">
        <f>'Digital Plan - UPI'!#REF!</f>
        <v>#REF!</v>
      </c>
      <c r="O25" s="268" t="e">
        <f>'Digital Plan - UPI'!#REF!</f>
        <v>#REF!</v>
      </c>
      <c r="P25" s="269" t="e">
        <f>'Digital Plan - UPI'!#REF!</f>
        <v>#REF!</v>
      </c>
      <c r="Q25" s="266" t="e">
        <f>'Digital Plan - UPI'!#REF!</f>
        <v>#REF!</v>
      </c>
      <c r="R25" s="318" t="e">
        <f>'Digital Plan - UPI'!#REF!</f>
        <v>#REF!</v>
      </c>
      <c r="S25" s="319" t="e">
        <f>'Digital Plan - UPI'!#REF!</f>
        <v>#REF!</v>
      </c>
      <c r="T25" s="266" t="e">
        <f>'Digital Plan - UPI'!#REF!</f>
        <v>#REF!</v>
      </c>
      <c r="U25" s="266" t="e">
        <f>'Digital Plan - UPI'!#REF!</f>
        <v>#REF!</v>
      </c>
      <c r="V25" s="272" t="e">
        <f>'Digital Plan - UPI'!#REF!</f>
        <v>#REF!</v>
      </c>
      <c r="W25" s="273" t="e">
        <f>'Digital Plan - UPI'!#REF!</f>
        <v>#REF!</v>
      </c>
      <c r="X25" s="273" t="e">
        <f>'Digital Plan - UPI'!#REF!</f>
        <v>#REF!</v>
      </c>
      <c r="Y25" s="273" t="e">
        <f>'Digital Plan - UPI'!#REF!</f>
        <v>#REF!</v>
      </c>
      <c r="Z25" s="274" t="e">
        <f>'Digital Plan - UPI'!#REF!</f>
        <v>#REF!</v>
      </c>
      <c r="AA25" s="275" t="e">
        <f>'Digital Plan - UPI'!#REF!</f>
        <v>#REF!</v>
      </c>
      <c r="AB25" s="259"/>
      <c r="AC25" s="266" t="e">
        <f>N25/2</f>
        <v>#REF!</v>
      </c>
      <c r="AD25" s="266" t="e">
        <f>N25/2</f>
        <v>#REF!</v>
      </c>
      <c r="AE25" s="266"/>
      <c r="AF25" s="266"/>
      <c r="AG25" s="266"/>
      <c r="AH25" s="266"/>
      <c r="AI25" s="266"/>
      <c r="AJ25" s="266"/>
    </row>
    <row r="26" spans="1:36" x14ac:dyDescent="0.35">
      <c r="A26" s="292" t="e">
        <f>'Digital Plan - UPI'!#REF!</f>
        <v>#REF!</v>
      </c>
      <c r="B26" s="293" t="e">
        <f>'Digital Plan - UPI'!#REF!</f>
        <v>#REF!</v>
      </c>
      <c r="C26" s="264" t="e">
        <f>'Digital Plan - UPI'!#REF!</f>
        <v>#REF!</v>
      </c>
      <c r="D26" s="264" t="e">
        <f>'Digital Plan - UPI'!#REF!</f>
        <v>#REF!</v>
      </c>
      <c r="E26" s="404" t="e">
        <f>'Digital Plan - UPI'!#REF!</f>
        <v>#REF!</v>
      </c>
      <c r="F26" s="404" t="e">
        <f>'Digital Plan - UPI'!#REF!</f>
        <v>#REF!</v>
      </c>
      <c r="G26" s="265" t="e">
        <f>'Digital Plan - UPI'!#REF!</f>
        <v>#REF!</v>
      </c>
      <c r="H26" s="265" t="e">
        <f>'Digital Plan - UPI'!#REF!</f>
        <v>#REF!</v>
      </c>
      <c r="I26" s="308" t="e">
        <f>'Digital Plan - UPI'!#REF!</f>
        <v>#REF!</v>
      </c>
      <c r="J26" s="263" t="e">
        <f>'Digital Plan - UPI'!#REF!</f>
        <v>#REF!</v>
      </c>
      <c r="K26" s="266" t="e">
        <f>'Digital Plan - UPI'!#REF!</f>
        <v>#REF!</v>
      </c>
      <c r="L26" s="267" t="e">
        <f>'Digital Plan - UPI'!#REF!</f>
        <v>#REF!</v>
      </c>
      <c r="M26" s="267" t="e">
        <f>'Digital Plan - UPI'!#REF!</f>
        <v>#REF!</v>
      </c>
      <c r="N26" s="266" t="e">
        <f>'Digital Plan - UPI'!#REF!</f>
        <v>#REF!</v>
      </c>
      <c r="O26" s="268" t="e">
        <f>'Digital Plan - UPI'!#REF!</f>
        <v>#REF!</v>
      </c>
      <c r="P26" s="269" t="e">
        <f>'Digital Plan - UPI'!#REF!</f>
        <v>#REF!</v>
      </c>
      <c r="Q26" s="266" t="e">
        <f>'Digital Plan - UPI'!#REF!</f>
        <v>#REF!</v>
      </c>
      <c r="R26" s="318" t="e">
        <f>'Digital Plan - UPI'!#REF!</f>
        <v>#REF!</v>
      </c>
      <c r="S26" s="319" t="e">
        <f>'Digital Plan - UPI'!#REF!</f>
        <v>#REF!</v>
      </c>
      <c r="T26" s="266" t="e">
        <f>'Digital Plan - UPI'!#REF!</f>
        <v>#REF!</v>
      </c>
      <c r="U26" s="266" t="e">
        <f>'Digital Plan - UPI'!#REF!</f>
        <v>#REF!</v>
      </c>
      <c r="V26" s="272" t="e">
        <f>'Digital Plan - UPI'!#REF!</f>
        <v>#REF!</v>
      </c>
      <c r="W26" s="273" t="e">
        <f>'Digital Plan - UPI'!#REF!</f>
        <v>#REF!</v>
      </c>
      <c r="X26" s="273" t="e">
        <f>'Digital Plan - UPI'!#REF!</f>
        <v>#REF!</v>
      </c>
      <c r="Y26" s="273" t="e">
        <f>'Digital Plan - UPI'!#REF!</f>
        <v>#REF!</v>
      </c>
      <c r="Z26" s="274" t="e">
        <f>'Digital Plan - UPI'!#REF!</f>
        <v>#REF!</v>
      </c>
      <c r="AA26" s="275" t="e">
        <f>'Digital Plan - UPI'!#REF!</f>
        <v>#REF!</v>
      </c>
      <c r="AB26" s="259"/>
      <c r="AC26" s="266"/>
      <c r="AD26" s="266"/>
      <c r="AE26" s="266" t="e">
        <f>$N26/3</f>
        <v>#REF!</v>
      </c>
      <c r="AF26" s="266" t="e">
        <f t="shared" ref="AF26:AJ29" si="6">$N26/3</f>
        <v>#REF!</v>
      </c>
      <c r="AG26" s="266" t="e">
        <f t="shared" si="6"/>
        <v>#REF!</v>
      </c>
      <c r="AH26" s="266"/>
      <c r="AI26" s="266"/>
      <c r="AJ26" s="266"/>
    </row>
    <row r="27" spans="1:36" x14ac:dyDescent="0.35">
      <c r="A27" s="292" t="str">
        <f>'Digital Plan - UPI'!B20</f>
        <v>Telengana - Seg B</v>
      </c>
      <c r="B27" s="293" t="str">
        <f>'Digital Plan - UPI'!C20</f>
        <v>Core</v>
      </c>
      <c r="C27" s="264" t="str">
        <f>'Digital Plan - UPI'!D20</f>
        <v>PMP OTT PG Deal</v>
      </c>
      <c r="D27" s="264" t="str">
        <f>'Digital Plan - UPI'!E20</f>
        <v>Video</v>
      </c>
      <c r="E27" s="404" t="str">
        <f>'Digital Plan - UPI'!F20</f>
        <v xml:space="preserve">Entertainment </v>
      </c>
      <c r="F27" s="404" t="str">
        <f>'Digital Plan - UPI'!G20</f>
        <v>Mobile</v>
      </c>
      <c r="G27" s="265" t="str">
        <f>'Digital Plan - UPI'!H20</f>
        <v>Instream</v>
      </c>
      <c r="H27" s="265" t="str">
        <f>'Digital Plan - UPI'!I20</f>
        <v xml:space="preserve">Video-6 Sec </v>
      </c>
      <c r="I27" s="308" t="str">
        <f>'Digital Plan - UPI'!J20</f>
        <v>Reff : Targeting Sheet</v>
      </c>
      <c r="J27" s="263" t="str">
        <f>'Digital Plan - UPI'!K20</f>
        <v>CPM</v>
      </c>
      <c r="K27" s="266">
        <f>'Digital Plan - UPI'!L20</f>
        <v>21</v>
      </c>
      <c r="L27" s="267">
        <f>'Digital Plan - UPI'!M20</f>
        <v>45460</v>
      </c>
      <c r="M27" s="267">
        <f>'Digital Plan - UPI'!N20</f>
        <v>45480</v>
      </c>
      <c r="N27" s="266">
        <f>'Digital Plan - UPI'!O20</f>
        <v>5660925.7989499997</v>
      </c>
      <c r="O27" s="268" t="str">
        <f>'Digital Plan - UPI'!P20</f>
        <v>-</v>
      </c>
      <c r="P27" s="269">
        <f>'Digital Plan - UPI'!Q20</f>
        <v>2E-3</v>
      </c>
      <c r="Q27" s="266">
        <f>'Digital Plan - UPI'!R20</f>
        <v>11321.8515979</v>
      </c>
      <c r="R27" s="318">
        <f>'Digital Plan - UPI'!S20</f>
        <v>0.85</v>
      </c>
      <c r="S27" s="319">
        <f>'Digital Plan - UPI'!T20</f>
        <v>4811786.9291074993</v>
      </c>
      <c r="T27" s="266">
        <f>'Digital Plan - UPI'!U20</f>
        <v>1802842.6111305731</v>
      </c>
      <c r="U27" s="266">
        <f>'Digital Plan - UPI'!V20</f>
        <v>3.14</v>
      </c>
      <c r="V27" s="272">
        <f>'Digital Plan - UPI'!X20</f>
        <v>80</v>
      </c>
      <c r="W27" s="273">
        <f>'Digital Plan - UPI'!Y20</f>
        <v>452874.06391600001</v>
      </c>
      <c r="X27" s="273">
        <f>'Digital Plan - UPI'!Z20</f>
        <v>80</v>
      </c>
      <c r="Y27" s="273">
        <f>'Digital Plan - UPI'!AA20</f>
        <v>40</v>
      </c>
      <c r="Z27" s="274">
        <f>'Digital Plan - UPI'!AB20</f>
        <v>3711976</v>
      </c>
      <c r="AA27" s="275">
        <f>'Digital Plan - UPI'!AC20</f>
        <v>0.48568272292993625</v>
      </c>
      <c r="AB27" s="259"/>
      <c r="AC27" s="266"/>
      <c r="AD27" s="266"/>
      <c r="AE27" s="266"/>
      <c r="AF27" s="266"/>
      <c r="AG27" s="266"/>
      <c r="AH27" s="266">
        <f>$N27/3</f>
        <v>1886975.2663166665</v>
      </c>
      <c r="AI27" s="266">
        <f t="shared" si="6"/>
        <v>1886975.2663166665</v>
      </c>
      <c r="AJ27" s="266">
        <f t="shared" si="6"/>
        <v>1886975.2663166665</v>
      </c>
    </row>
    <row r="28" spans="1:36" x14ac:dyDescent="0.35">
      <c r="A28" s="292" t="e">
        <f>'Digital Plan - UPI'!#REF!</f>
        <v>#REF!</v>
      </c>
      <c r="B28" s="293" t="e">
        <f>'Digital Plan - UPI'!#REF!</f>
        <v>#REF!</v>
      </c>
      <c r="C28" s="263" t="e">
        <f>'Digital Plan - UPI'!#REF!</f>
        <v>#REF!</v>
      </c>
      <c r="D28" s="263" t="e">
        <f>'Digital Plan - UPI'!#REF!</f>
        <v>#REF!</v>
      </c>
      <c r="E28" s="404" t="e">
        <f>'Digital Plan - UPI'!#REF!</f>
        <v>#REF!</v>
      </c>
      <c r="F28" s="404" t="e">
        <f>'Digital Plan - UPI'!#REF!</f>
        <v>#REF!</v>
      </c>
      <c r="G28" s="265" t="e">
        <f>'Digital Plan - UPI'!#REF!</f>
        <v>#REF!</v>
      </c>
      <c r="H28" s="265" t="e">
        <f>'Digital Plan - UPI'!#REF!</f>
        <v>#REF!</v>
      </c>
      <c r="I28" s="308" t="e">
        <f>'Digital Plan - UPI'!#REF!</f>
        <v>#REF!</v>
      </c>
      <c r="J28" s="263" t="e">
        <f>'Digital Plan - UPI'!#REF!</f>
        <v>#REF!</v>
      </c>
      <c r="K28" s="266" t="e">
        <f>'Digital Plan - UPI'!#REF!</f>
        <v>#REF!</v>
      </c>
      <c r="L28" s="267" t="e">
        <f>'Digital Plan - UPI'!#REF!</f>
        <v>#REF!</v>
      </c>
      <c r="M28" s="267" t="e">
        <f>'Digital Plan - UPI'!#REF!</f>
        <v>#REF!</v>
      </c>
      <c r="N28" s="266" t="e">
        <f>'Digital Plan - UPI'!#REF!</f>
        <v>#REF!</v>
      </c>
      <c r="O28" s="268" t="e">
        <f>'Digital Plan - UPI'!#REF!</f>
        <v>#REF!</v>
      </c>
      <c r="P28" s="269" t="e">
        <f>'Digital Plan - UPI'!#REF!</f>
        <v>#REF!</v>
      </c>
      <c r="Q28" s="266" t="e">
        <f>'Digital Plan - UPI'!#REF!</f>
        <v>#REF!</v>
      </c>
      <c r="R28" s="318" t="e">
        <f>'Digital Plan - UPI'!#REF!</f>
        <v>#REF!</v>
      </c>
      <c r="S28" s="319" t="e">
        <f>'Digital Plan - UPI'!#REF!</f>
        <v>#REF!</v>
      </c>
      <c r="T28" s="266" t="e">
        <f>'Digital Plan - UPI'!#REF!</f>
        <v>#REF!</v>
      </c>
      <c r="U28" s="266" t="e">
        <f>'Digital Plan - UPI'!#REF!</f>
        <v>#REF!</v>
      </c>
      <c r="V28" s="272" t="e">
        <f>'Digital Plan - UPI'!#REF!</f>
        <v>#REF!</v>
      </c>
      <c r="W28" s="273" t="e">
        <f>'Digital Plan - UPI'!#REF!</f>
        <v>#REF!</v>
      </c>
      <c r="X28" s="273" t="e">
        <f>'Digital Plan - UPI'!#REF!</f>
        <v>#REF!</v>
      </c>
      <c r="Y28" s="273" t="e">
        <f>'Digital Plan - UPI'!#REF!</f>
        <v>#REF!</v>
      </c>
      <c r="Z28" s="274" t="e">
        <f>'Digital Plan - UPI'!#REF!</f>
        <v>#REF!</v>
      </c>
      <c r="AA28" s="275" t="e">
        <f>'Digital Plan - UPI'!#REF!</f>
        <v>#REF!</v>
      </c>
      <c r="AB28" s="259"/>
      <c r="AC28" s="266"/>
      <c r="AD28" s="266"/>
      <c r="AE28" s="266" t="e">
        <f>$N28/3</f>
        <v>#REF!</v>
      </c>
      <c r="AF28" s="266" t="e">
        <f t="shared" si="6"/>
        <v>#REF!</v>
      </c>
      <c r="AG28" s="266" t="e">
        <f t="shared" si="6"/>
        <v>#REF!</v>
      </c>
      <c r="AH28" s="266"/>
      <c r="AI28" s="266"/>
      <c r="AJ28" s="266"/>
    </row>
    <row r="29" spans="1:36" x14ac:dyDescent="0.35">
      <c r="A29" s="292" t="str">
        <f>'Digital Plan - UPI'!B22</f>
        <v>Telengana - Seg B</v>
      </c>
      <c r="B29" s="293" t="str">
        <f>'Digital Plan - UPI'!C22</f>
        <v>Core</v>
      </c>
      <c r="C29" s="263" t="str">
        <f>'Digital Plan - UPI'!D22</f>
        <v xml:space="preserve">YouTube </v>
      </c>
      <c r="D29" s="263" t="str">
        <f>'Digital Plan - UPI'!E22</f>
        <v>Video</v>
      </c>
      <c r="E29" s="404" t="str">
        <f>'Digital Plan - UPI'!F22</f>
        <v xml:space="preserve">Entertainment </v>
      </c>
      <c r="F29" s="404" t="str">
        <f>'Digital Plan - UPI'!G22</f>
        <v>Mobile</v>
      </c>
      <c r="G29" s="265" t="str">
        <f>'Digital Plan - UPI'!H22</f>
        <v>Instream</v>
      </c>
      <c r="H29" s="265" t="str">
        <f>'Digital Plan - UPI'!I22</f>
        <v xml:space="preserve">Bumper 6 secs  </v>
      </c>
      <c r="I29" s="308" t="str">
        <f>'Digital Plan - UPI'!J22</f>
        <v>Reff : Targeting Sheet</v>
      </c>
      <c r="J29" s="263" t="str">
        <f>'Digital Plan - UPI'!K22</f>
        <v>CPM</v>
      </c>
      <c r="K29" s="266">
        <f>'Digital Plan - UPI'!L22</f>
        <v>21</v>
      </c>
      <c r="L29" s="267">
        <f>'Digital Plan - UPI'!M22</f>
        <v>45460</v>
      </c>
      <c r="M29" s="267">
        <f>'Digital Plan - UPI'!N22</f>
        <v>45480</v>
      </c>
      <c r="N29" s="266">
        <f>'Digital Plan - UPI'!O22</f>
        <v>29616306.923774995</v>
      </c>
      <c r="O29" s="268" t="str">
        <f>'Digital Plan - UPI'!P22</f>
        <v>-</v>
      </c>
      <c r="P29" s="269">
        <f>'Digital Plan - UPI'!Q22</f>
        <v>1E-3</v>
      </c>
      <c r="Q29" s="266">
        <f>'Digital Plan - UPI'!R22</f>
        <v>29616.306923774995</v>
      </c>
      <c r="R29" s="318">
        <f>'Digital Plan - UPI'!S22</f>
        <v>0.8</v>
      </c>
      <c r="S29" s="319">
        <f>'Digital Plan - UPI'!T22</f>
        <v>23693045.539019998</v>
      </c>
      <c r="T29" s="266">
        <f>'Digital Plan - UPI'!U22</f>
        <v>7258898.7558272043</v>
      </c>
      <c r="U29" s="266">
        <f>'Digital Plan - UPI'!V22</f>
        <v>4.08</v>
      </c>
      <c r="V29" s="272">
        <f>'Digital Plan - UPI'!X22</f>
        <v>80</v>
      </c>
      <c r="W29" s="273">
        <f>'Digital Plan - UPI'!Y22</f>
        <v>2369304.5539019997</v>
      </c>
      <c r="X29" s="273">
        <f>'Digital Plan - UPI'!Z22</f>
        <v>80</v>
      </c>
      <c r="Y29" s="273">
        <f>'Digital Plan - UPI'!AA22</f>
        <v>80</v>
      </c>
      <c r="Z29" s="274">
        <f>'Digital Plan - UPI'!AB22</f>
        <v>11769680</v>
      </c>
      <c r="AA29" s="275">
        <f>'Digital Plan - UPI'!AC22</f>
        <v>0.61674563419117634</v>
      </c>
      <c r="AB29" s="259"/>
      <c r="AC29" s="266"/>
      <c r="AD29" s="266"/>
      <c r="AE29" s="266"/>
      <c r="AF29" s="266"/>
      <c r="AG29" s="266"/>
      <c r="AH29" s="266">
        <f>$N29/3</f>
        <v>9872102.3079249989</v>
      </c>
      <c r="AI29" s="266">
        <f t="shared" si="6"/>
        <v>9872102.3079249989</v>
      </c>
      <c r="AJ29" s="266">
        <f t="shared" si="6"/>
        <v>9872102.3079249989</v>
      </c>
    </row>
    <row r="30" spans="1:36" x14ac:dyDescent="0.35">
      <c r="A30" s="292" t="str">
        <f>'Digital Plan - UPI'!B23</f>
        <v>Telengana - Seg B</v>
      </c>
      <c r="B30" s="293" t="str">
        <f>'Digital Plan - UPI'!C23</f>
        <v>Core</v>
      </c>
      <c r="C30" s="263" t="str">
        <f>'Digital Plan - UPI'!D23</f>
        <v xml:space="preserve">DSP </v>
      </c>
      <c r="D30" s="263" t="str">
        <f>'Digital Plan - UPI'!E23</f>
        <v>Static</v>
      </c>
      <c r="E30" s="404" t="str">
        <f>'Digital Plan - UPI'!F23</f>
        <v xml:space="preserve">Network </v>
      </c>
      <c r="F30" s="404" t="str">
        <f>'Digital Plan - UPI'!G23</f>
        <v>Mobile</v>
      </c>
      <c r="G30" s="265" t="str">
        <f>'Digital Plan - UPI'!H23</f>
        <v>ROS</v>
      </c>
      <c r="H30" s="265" t="str">
        <f>'Digital Plan - UPI'!I23</f>
        <v>Large Formats</v>
      </c>
      <c r="I30" s="309" t="str">
        <f>'Digital Plan - UPI'!J23</f>
        <v>Reff : Targeting Sheet</v>
      </c>
      <c r="J30" s="263" t="str">
        <f>'Digital Plan - UPI'!K23</f>
        <v>CPM</v>
      </c>
      <c r="K30" s="266">
        <f>'Digital Plan - UPI'!L23</f>
        <v>21</v>
      </c>
      <c r="L30" s="267">
        <f>'Digital Plan - UPI'!M23</f>
        <v>45460</v>
      </c>
      <c r="M30" s="267">
        <f>'Digital Plan - UPI'!N23</f>
        <v>45480</v>
      </c>
      <c r="N30" s="266">
        <f>'Digital Plan - UPI'!O23</f>
        <v>3061141.4836413837</v>
      </c>
      <c r="O30" s="268" t="str">
        <f>'Digital Plan - UPI'!P23</f>
        <v>-</v>
      </c>
      <c r="P30" s="269">
        <f>'Digital Plan - UPI'!Q23</f>
        <v>1.4999999999999999E-2</v>
      </c>
      <c r="Q30" s="266">
        <f>'Digital Plan - UPI'!R23</f>
        <v>45917.122254620757</v>
      </c>
      <c r="R30" s="268" t="str">
        <f>'Digital Plan - UPI'!S23</f>
        <v>-</v>
      </c>
      <c r="S30" s="271" t="str">
        <f>'Digital Plan - UPI'!T23</f>
        <v>-</v>
      </c>
      <c r="T30" s="266">
        <f>'Digital Plan - UPI'!U23</f>
        <v>3601342.92193104</v>
      </c>
      <c r="U30" s="266">
        <f>'Digital Plan - UPI'!V23</f>
        <v>0.85</v>
      </c>
      <c r="V30" s="272">
        <f>'Digital Plan - UPI'!X23</f>
        <v>105</v>
      </c>
      <c r="W30" s="273">
        <f>'Digital Plan - UPI'!Y23</f>
        <v>321419.85578234529</v>
      </c>
      <c r="X30" s="273">
        <f>'Digital Plan - UPI'!Z23</f>
        <v>105</v>
      </c>
      <c r="Y30" s="273">
        <f>'Digital Plan - UPI'!AA23</f>
        <v>7</v>
      </c>
      <c r="Z30" s="274">
        <f>'Digital Plan - UPI'!AB23</f>
        <v>11181196</v>
      </c>
      <c r="AA30" s="275">
        <f>'Digital Plan - UPI'!AC23</f>
        <v>0.32208924</v>
      </c>
      <c r="AB30" s="259"/>
      <c r="AC30" s="266">
        <f t="shared" ref="AC30:AD33" si="7">$N30*20%</f>
        <v>612228.29672827676</v>
      </c>
      <c r="AD30" s="266">
        <f t="shared" si="7"/>
        <v>612228.29672827676</v>
      </c>
      <c r="AE30" s="266">
        <f t="shared" ref="AE30:AF33" si="8">$N30*15%</f>
        <v>459171.22254620754</v>
      </c>
      <c r="AF30" s="266">
        <f t="shared" si="8"/>
        <v>459171.22254620754</v>
      </c>
      <c r="AG30" s="266">
        <f t="shared" ref="AG30:AH33" si="9">$N30*10%</f>
        <v>306114.14836413838</v>
      </c>
      <c r="AH30" s="266">
        <f t="shared" si="9"/>
        <v>306114.14836413838</v>
      </c>
      <c r="AI30" s="266">
        <f t="shared" ref="AI30:AJ33" si="10">$N30*5%</f>
        <v>153057.07418206919</v>
      </c>
      <c r="AJ30" s="266">
        <f t="shared" si="10"/>
        <v>153057.07418206919</v>
      </c>
    </row>
    <row r="31" spans="1:36" x14ac:dyDescent="0.35">
      <c r="A31" s="292" t="str">
        <f>'Digital Plan - UPI'!B24</f>
        <v>Telengana - Seg B</v>
      </c>
      <c r="B31" s="293" t="str">
        <f>'Digital Plan - UPI'!C24</f>
        <v>Core</v>
      </c>
      <c r="C31" s="310" t="str">
        <f>'Digital Plan - UPI'!D24</f>
        <v>Mediakart</v>
      </c>
      <c r="D31" s="263" t="str">
        <f>'Digital Plan - UPI'!E24</f>
        <v>Static</v>
      </c>
      <c r="E31" s="408" t="str">
        <f>'Digital Plan - UPI'!F24</f>
        <v xml:space="preserve">Network </v>
      </c>
      <c r="F31" s="404" t="str">
        <f>'Digital Plan - UPI'!G24</f>
        <v xml:space="preserve">Mobile </v>
      </c>
      <c r="G31" s="265" t="str">
        <f>'Digital Plan - UPI'!H24</f>
        <v>ROS</v>
      </c>
      <c r="H31" s="265" t="str">
        <f>'Digital Plan - UPI'!I24</f>
        <v>Interstitial Static banner</v>
      </c>
      <c r="I31" s="309" t="str">
        <f>'Digital Plan - UPI'!J24</f>
        <v>Reff : Targeting Sheet</v>
      </c>
      <c r="J31" s="263" t="str">
        <f>'Digital Plan - UPI'!K24</f>
        <v xml:space="preserve">CPM </v>
      </c>
      <c r="K31" s="266">
        <f>'Digital Plan - UPI'!L24</f>
        <v>21</v>
      </c>
      <c r="L31" s="267">
        <f>'Digital Plan - UPI'!M24</f>
        <v>45460</v>
      </c>
      <c r="M31" s="267">
        <f>'Digital Plan - UPI'!N24</f>
        <v>45480</v>
      </c>
      <c r="N31" s="266">
        <f>'Digital Plan - UPI'!O24</f>
        <v>3036273.4646070749</v>
      </c>
      <c r="O31" s="268" t="str">
        <f>'Digital Plan - UPI'!P24</f>
        <v>-</v>
      </c>
      <c r="P31" s="269">
        <f>'Digital Plan - UPI'!Q24</f>
        <v>1.4999999999999999E-2</v>
      </c>
      <c r="Q31" s="266">
        <f>'Digital Plan - UPI'!R24</f>
        <v>45544.101969106123</v>
      </c>
      <c r="R31" s="268" t="str">
        <f>'Digital Plan - UPI'!S24</f>
        <v>-</v>
      </c>
      <c r="S31" s="271" t="str">
        <f>'Digital Plan - UPI'!T24</f>
        <v>-</v>
      </c>
      <c r="T31" s="266">
        <f>'Digital Plan - UPI'!U24</f>
        <v>3572086.4289495</v>
      </c>
      <c r="U31" s="266">
        <f>'Digital Plan - UPI'!V24</f>
        <v>0.85</v>
      </c>
      <c r="V31" s="272">
        <f>'Digital Plan - UPI'!X24</f>
        <v>120</v>
      </c>
      <c r="W31" s="273">
        <f>'Digital Plan - UPI'!Y24</f>
        <v>364352.81575284898</v>
      </c>
      <c r="X31" s="273">
        <f>'Digital Plan - UPI'!Z24</f>
        <v>120</v>
      </c>
      <c r="Y31" s="273">
        <f>'Digital Plan - UPI'!AA24</f>
        <v>8</v>
      </c>
      <c r="Z31" s="274">
        <f>'Digital Plan - UPI'!AB24</f>
        <v>8365302</v>
      </c>
      <c r="AA31" s="275">
        <f>'Digital Plan - UPI'!AC24</f>
        <v>0.42701224999999998</v>
      </c>
      <c r="AB31" s="259"/>
      <c r="AC31" s="266">
        <f t="shared" si="7"/>
        <v>607254.69292141497</v>
      </c>
      <c r="AD31" s="266">
        <f t="shared" si="7"/>
        <v>607254.69292141497</v>
      </c>
      <c r="AE31" s="266">
        <f t="shared" si="8"/>
        <v>455441.01969106123</v>
      </c>
      <c r="AF31" s="266">
        <f t="shared" si="8"/>
        <v>455441.01969106123</v>
      </c>
      <c r="AG31" s="266">
        <f t="shared" si="9"/>
        <v>303627.34646070749</v>
      </c>
      <c r="AH31" s="266">
        <f t="shared" si="9"/>
        <v>303627.34646070749</v>
      </c>
      <c r="AI31" s="266">
        <f t="shared" si="10"/>
        <v>151813.67323035374</v>
      </c>
      <c r="AJ31" s="266">
        <f t="shared" si="10"/>
        <v>151813.67323035374</v>
      </c>
    </row>
    <row r="32" spans="1:36" x14ac:dyDescent="0.35">
      <c r="A32" s="292" t="str">
        <f>'Digital Plan - UPI'!B25</f>
        <v>Telengana - Seg B</v>
      </c>
      <c r="B32" s="293" t="str">
        <f>'Digital Plan - UPI'!C25</f>
        <v>Core</v>
      </c>
      <c r="C32" s="310" t="str">
        <f>'Digital Plan - UPI'!D25</f>
        <v>Dailyhunt</v>
      </c>
      <c r="D32" s="311" t="str">
        <f>'Digital Plan - UPI'!E25</f>
        <v>Static</v>
      </c>
      <c r="E32" s="408" t="str">
        <f>'Digital Plan - UPI'!F25</f>
        <v>News</v>
      </c>
      <c r="F32" s="404" t="str">
        <f>'Digital Plan - UPI'!G25</f>
        <v xml:space="preserve">Mobile </v>
      </c>
      <c r="G32" s="310" t="str">
        <f>'Digital Plan - UPI'!H25</f>
        <v>ROS</v>
      </c>
      <c r="H32" s="263" t="str">
        <f>'Digital Plan - UPI'!I25</f>
        <v>Page Insert - Innovation</v>
      </c>
      <c r="I32" s="309" t="str">
        <f>'Digital Plan - UPI'!J25</f>
        <v>Reff : Targeting Sheet</v>
      </c>
      <c r="J32" s="263" t="str">
        <f>'Digital Plan - UPI'!K25</f>
        <v>CPM</v>
      </c>
      <c r="K32" s="266">
        <f>'Digital Plan - UPI'!L25</f>
        <v>21</v>
      </c>
      <c r="L32" s="267">
        <f>'Digital Plan - UPI'!M25</f>
        <v>45460</v>
      </c>
      <c r="M32" s="267">
        <f>'Digital Plan - UPI'!N25</f>
        <v>45480</v>
      </c>
      <c r="N32" s="266">
        <f>'Digital Plan - UPI'!O25</f>
        <v>1656648.9249034242</v>
      </c>
      <c r="O32" s="268" t="str">
        <f>'Digital Plan - UPI'!P25</f>
        <v>-</v>
      </c>
      <c r="P32" s="312">
        <f>'Digital Plan - UPI'!Q25</f>
        <v>0.01</v>
      </c>
      <c r="Q32" s="266">
        <f>'Digital Plan - UPI'!R25</f>
        <v>16566.489249034243</v>
      </c>
      <c r="R32" s="268" t="str">
        <f>'Digital Plan - UPI'!S25</f>
        <v>-</v>
      </c>
      <c r="S32" s="271" t="str">
        <f>'Digital Plan - UPI'!T25</f>
        <v>-</v>
      </c>
      <c r="T32" s="266">
        <f>'Digital Plan - UPI'!U25</f>
        <v>1948998.7351804993</v>
      </c>
      <c r="U32" s="266">
        <f>'Digital Plan - UPI'!V25</f>
        <v>0.85</v>
      </c>
      <c r="V32" s="272">
        <f>'Digital Plan - UPI'!X25</f>
        <v>200</v>
      </c>
      <c r="W32" s="273">
        <f>'Digital Plan - UPI'!Y25</f>
        <v>331329.78498068481</v>
      </c>
      <c r="X32" s="273">
        <f>'Digital Plan - UPI'!Z25</f>
        <v>199.99999999999997</v>
      </c>
      <c r="Y32" s="273">
        <f>'Digital Plan - UPI'!AA25</f>
        <v>19.999999999999996</v>
      </c>
      <c r="Z32" s="274">
        <f>'Digital Plan - UPI'!AB25</f>
        <v>8251519.1999999993</v>
      </c>
      <c r="AA32" s="275">
        <f>'Digital Plan - UPI'!AC25</f>
        <v>0.23619877600000003</v>
      </c>
      <c r="AB32" s="259"/>
      <c r="AC32" s="266">
        <f t="shared" si="7"/>
        <v>331329.78498068487</v>
      </c>
      <c r="AD32" s="266">
        <f t="shared" si="7"/>
        <v>331329.78498068487</v>
      </c>
      <c r="AE32" s="266">
        <f t="shared" si="8"/>
        <v>248497.33873551362</v>
      </c>
      <c r="AF32" s="266">
        <f t="shared" si="8"/>
        <v>248497.33873551362</v>
      </c>
      <c r="AG32" s="266">
        <f t="shared" si="9"/>
        <v>165664.89249034243</v>
      </c>
      <c r="AH32" s="266">
        <f t="shared" si="9"/>
        <v>165664.89249034243</v>
      </c>
      <c r="AI32" s="266">
        <f t="shared" si="10"/>
        <v>82832.446245171217</v>
      </c>
      <c r="AJ32" s="266">
        <f t="shared" si="10"/>
        <v>82832.446245171217</v>
      </c>
    </row>
    <row r="33" spans="1:36" x14ac:dyDescent="0.35">
      <c r="A33" s="292" t="str">
        <f>'Digital Plan - UPI'!B26</f>
        <v>Telengana - Seg B</v>
      </c>
      <c r="B33" s="293" t="str">
        <f>'Digital Plan - UPI'!C26</f>
        <v>Core</v>
      </c>
      <c r="C33" s="310" t="str">
        <f>'Digital Plan - UPI'!D26</f>
        <v>Sakshi</v>
      </c>
      <c r="D33" s="263" t="str">
        <f>'Digital Plan - UPI'!E26</f>
        <v>Static</v>
      </c>
      <c r="E33" s="408" t="str">
        <f>'Digital Plan - UPI'!F26</f>
        <v>News</v>
      </c>
      <c r="F33" s="404" t="str">
        <f>'Digital Plan - UPI'!G26</f>
        <v>Mobile</v>
      </c>
      <c r="G33" s="265" t="str">
        <f>'Digital Plan - UPI'!H26</f>
        <v>ROS</v>
      </c>
      <c r="H33" s="265" t="str">
        <f>'Digital Plan - UPI'!I26</f>
        <v>Standard Banners</v>
      </c>
      <c r="I33" s="309" t="str">
        <f>'Digital Plan - UPI'!J26</f>
        <v>Reff : Targeting Sheet</v>
      </c>
      <c r="J33" s="263" t="str">
        <f>'Digital Plan - UPI'!K26</f>
        <v>CPM</v>
      </c>
      <c r="K33" s="266">
        <f>'Digital Plan - UPI'!L26</f>
        <v>21</v>
      </c>
      <c r="L33" s="267">
        <f>'Digital Plan - UPI'!M26</f>
        <v>45460</v>
      </c>
      <c r="M33" s="267">
        <f>'Digital Plan - UPI'!N26</f>
        <v>45480</v>
      </c>
      <c r="N33" s="266">
        <f>'Digital Plan - UPI'!O26</f>
        <v>3111089.25</v>
      </c>
      <c r="O33" s="268" t="str">
        <f>'Digital Plan - UPI'!P26</f>
        <v>-</v>
      </c>
      <c r="P33" s="269">
        <f>'Digital Plan - UPI'!Q26</f>
        <v>4.0000000000000001E-3</v>
      </c>
      <c r="Q33" s="266">
        <f>'Digital Plan - UPI'!R26</f>
        <v>12444.357</v>
      </c>
      <c r="R33" s="268" t="str">
        <f>'Digital Plan - UPI'!S26</f>
        <v>-</v>
      </c>
      <c r="S33" s="271" t="str">
        <f>'Digital Plan - UPI'!T26</f>
        <v>-</v>
      </c>
      <c r="T33" s="266">
        <f>'Digital Plan - UPI'!U26</f>
        <v>3111089.25</v>
      </c>
      <c r="U33" s="266">
        <f>'Digital Plan - UPI'!V26</f>
        <v>1</v>
      </c>
      <c r="V33" s="272">
        <f>'Digital Plan - UPI'!X26</f>
        <v>100</v>
      </c>
      <c r="W33" s="273">
        <f>'Digital Plan - UPI'!Y26</f>
        <v>311108.92499999999</v>
      </c>
      <c r="X33" s="273">
        <f>'Digital Plan - UPI'!Z26</f>
        <v>99.999999999999986</v>
      </c>
      <c r="Y33" s="273">
        <f>'Digital Plan - UPI'!AA26</f>
        <v>25</v>
      </c>
      <c r="Z33" s="274">
        <f>'Digital Plan - UPI'!AB26</f>
        <v>8500000</v>
      </c>
      <c r="AA33" s="275">
        <f>'Digital Plan - UPI'!AC26</f>
        <v>0.36601050000000002</v>
      </c>
      <c r="AB33" s="259"/>
      <c r="AC33" s="266">
        <f t="shared" si="7"/>
        <v>622217.85</v>
      </c>
      <c r="AD33" s="266">
        <f t="shared" si="7"/>
        <v>622217.85</v>
      </c>
      <c r="AE33" s="266">
        <f t="shared" si="8"/>
        <v>466663.38750000001</v>
      </c>
      <c r="AF33" s="266">
        <f t="shared" si="8"/>
        <v>466663.38750000001</v>
      </c>
      <c r="AG33" s="266">
        <f t="shared" si="9"/>
        <v>311108.92499999999</v>
      </c>
      <c r="AH33" s="266">
        <f t="shared" si="9"/>
        <v>311108.92499999999</v>
      </c>
      <c r="AI33" s="266">
        <f t="shared" si="10"/>
        <v>155554.46249999999</v>
      </c>
      <c r="AJ33" s="266">
        <f t="shared" si="10"/>
        <v>155554.46249999999</v>
      </c>
    </row>
    <row r="34" spans="1:36" x14ac:dyDescent="0.35">
      <c r="A34" s="277" t="str">
        <f>'Digital Plan - UPI'!B27</f>
        <v>Telengana - Seg B</v>
      </c>
      <c r="B34" s="278">
        <f>'Digital Plan - UPI'!C27</f>
        <v>0</v>
      </c>
      <c r="C34" s="279" t="str">
        <f>'Digital Plan - UPI'!D27</f>
        <v>Total</v>
      </c>
      <c r="D34" s="280">
        <f>'Digital Plan - UPI'!E27</f>
        <v>0</v>
      </c>
      <c r="E34" s="405">
        <f>'Digital Plan - UPI'!F27</f>
        <v>0</v>
      </c>
      <c r="F34" s="405">
        <f>'Digital Plan - UPI'!G27</f>
        <v>0</v>
      </c>
      <c r="G34" s="280">
        <f>'Digital Plan - UPI'!H27</f>
        <v>0</v>
      </c>
      <c r="H34" s="281">
        <f>'Digital Plan - UPI'!I27</f>
        <v>0</v>
      </c>
      <c r="I34" s="282">
        <f>'Digital Plan - UPI'!J27</f>
        <v>0</v>
      </c>
      <c r="J34" s="283">
        <f>'Digital Plan - UPI'!K27</f>
        <v>0</v>
      </c>
      <c r="K34" s="284">
        <f>'Digital Plan - UPI'!L27</f>
        <v>0</v>
      </c>
      <c r="L34" s="284">
        <f>'Digital Plan - UPI'!M27</f>
        <v>0</v>
      </c>
      <c r="M34" s="284">
        <f>'Digital Plan - UPI'!N27</f>
        <v>0</v>
      </c>
      <c r="N34" s="284">
        <f>'Digital Plan - UPI'!O27</f>
        <v>48501104.92877271</v>
      </c>
      <c r="O34" s="284">
        <f>'Digital Plan - UPI'!P27</f>
        <v>0</v>
      </c>
      <c r="P34" s="285">
        <f>'Digital Plan - UPI'!Q27</f>
        <v>3.4252346911312218E-3</v>
      </c>
      <c r="Q34" s="284">
        <f>'Digital Plan - UPI'!R27</f>
        <v>166127.66716022778</v>
      </c>
      <c r="R34" s="286">
        <f>'Digital Plan - UPI'!S27</f>
        <v>0</v>
      </c>
      <c r="S34" s="316">
        <f>'Digital Plan - UPI'!T27</f>
        <v>30509743.688588955</v>
      </c>
      <c r="T34" s="284">
        <f>'Digital Plan - UPI'!U27</f>
        <v>9364352.7479059473</v>
      </c>
      <c r="U34" s="284">
        <f>'Digital Plan - UPI'!V27</f>
        <v>5.1793333970272002</v>
      </c>
      <c r="V34" s="287">
        <f>'Digital Plan - UPI'!X27</f>
        <v>0</v>
      </c>
      <c r="W34" s="317">
        <f>'Digital Plan - UPI'!Y27</f>
        <v>4263608.5153128793</v>
      </c>
      <c r="X34" s="288">
        <f>'Digital Plan - UPI'!Z27</f>
        <v>87.907451213210265</v>
      </c>
      <c r="Y34" s="288">
        <f>'Digital Plan - UPI'!AA27</f>
        <v>25.664650495577533</v>
      </c>
      <c r="Z34" s="284">
        <f>'Digital Plan - UPI'!AB27</f>
        <v>17771178.98</v>
      </c>
      <c r="AA34" s="289">
        <f>'Digital Plan - UPI'!AC27</f>
        <v>0.52694043307114036</v>
      </c>
      <c r="AB34" s="259"/>
      <c r="AC34" s="284"/>
      <c r="AD34" s="284"/>
      <c r="AE34" s="284"/>
      <c r="AF34" s="284"/>
      <c r="AG34" s="284"/>
      <c r="AH34" s="284"/>
      <c r="AI34" s="284"/>
      <c r="AJ34" s="284"/>
    </row>
    <row r="35" spans="1:36" x14ac:dyDescent="0.35">
      <c r="A35" s="292" t="e">
        <f>'Digital Plan - UPI'!#REF!</f>
        <v>#REF!</v>
      </c>
      <c r="B35" s="293" t="e">
        <f>'Digital Plan - UPI'!#REF!</f>
        <v>#REF!</v>
      </c>
      <c r="C35" s="294" t="e">
        <f>'Digital Plan - UPI'!#REF!</f>
        <v>#REF!</v>
      </c>
      <c r="D35" s="294" t="e">
        <f>'Digital Plan - UPI'!#REF!</f>
        <v>#REF!</v>
      </c>
      <c r="E35" s="406" t="e">
        <f>'Digital Plan - UPI'!#REF!</f>
        <v>#REF!</v>
      </c>
      <c r="F35" s="406" t="e">
        <f>'Digital Plan - UPI'!#REF!</f>
        <v>#REF!</v>
      </c>
      <c r="G35" s="296" t="e">
        <f>'Digital Plan - UPI'!#REF!</f>
        <v>#REF!</v>
      </c>
      <c r="H35" s="296" t="e">
        <f>'Digital Plan - UPI'!#REF!</f>
        <v>#REF!</v>
      </c>
      <c r="I35" s="297" t="e">
        <f>'Digital Plan - UPI'!#REF!</f>
        <v>#REF!</v>
      </c>
      <c r="J35" s="295" t="e">
        <f>'Digital Plan - UPI'!#REF!</f>
        <v>#REF!</v>
      </c>
      <c r="K35" s="298" t="e">
        <f>'Digital Plan - UPI'!#REF!</f>
        <v>#REF!</v>
      </c>
      <c r="L35" s="299" t="e">
        <f>'Digital Plan - UPI'!#REF!</f>
        <v>#REF!</v>
      </c>
      <c r="M35" s="299" t="e">
        <f>'Digital Plan - UPI'!#REF!</f>
        <v>#REF!</v>
      </c>
      <c r="N35" s="298" t="e">
        <f>'Digital Plan - UPI'!#REF!</f>
        <v>#REF!</v>
      </c>
      <c r="O35" s="300" t="e">
        <f>'Digital Plan - UPI'!#REF!</f>
        <v>#REF!</v>
      </c>
      <c r="P35" s="301" t="e">
        <f>'Digital Plan - UPI'!#REF!</f>
        <v>#REF!</v>
      </c>
      <c r="Q35" s="298" t="e">
        <f>'Digital Plan - UPI'!#REF!</f>
        <v>#REF!</v>
      </c>
      <c r="R35" s="302" t="e">
        <f>'Digital Plan - UPI'!#REF!</f>
        <v>#REF!</v>
      </c>
      <c r="S35" s="303" t="e">
        <f>'Digital Plan - UPI'!#REF!</f>
        <v>#REF!</v>
      </c>
      <c r="T35" s="298" t="e">
        <f>'Digital Plan - UPI'!#REF!</f>
        <v>#REF!</v>
      </c>
      <c r="U35" s="298" t="e">
        <f>'Digital Plan - UPI'!#REF!</f>
        <v>#REF!</v>
      </c>
      <c r="V35" s="304" t="e">
        <f>'Digital Plan - UPI'!#REF!</f>
        <v>#REF!</v>
      </c>
      <c r="W35" s="305" t="e">
        <f>'Digital Plan - UPI'!#REF!</f>
        <v>#REF!</v>
      </c>
      <c r="X35" s="305" t="e">
        <f>'Digital Plan - UPI'!#REF!</f>
        <v>#REF!</v>
      </c>
      <c r="Y35" s="305" t="e">
        <f>'Digital Plan - UPI'!#REF!</f>
        <v>#REF!</v>
      </c>
      <c r="Z35" s="306" t="e">
        <f>'Digital Plan - UPI'!#REF!</f>
        <v>#REF!</v>
      </c>
      <c r="AA35" s="307" t="e">
        <f>'Digital Plan - UPI'!#REF!</f>
        <v>#REF!</v>
      </c>
      <c r="AB35" s="259"/>
      <c r="AC35" s="298" t="e">
        <f>N35/2</f>
        <v>#REF!</v>
      </c>
      <c r="AD35" s="298" t="e">
        <f>N35/2</f>
        <v>#REF!</v>
      </c>
      <c r="AE35" s="298"/>
      <c r="AF35" s="298"/>
      <c r="AG35" s="298"/>
      <c r="AH35" s="298"/>
      <c r="AI35" s="298"/>
      <c r="AJ35" s="298"/>
    </row>
    <row r="36" spans="1:36" x14ac:dyDescent="0.35">
      <c r="A36" s="292" t="e">
        <f>'Digital Plan - UPI'!#REF!</f>
        <v>#REF!</v>
      </c>
      <c r="B36" s="293" t="e">
        <f>'Digital Plan - UPI'!#REF!</f>
        <v>#REF!</v>
      </c>
      <c r="C36" s="295" t="e">
        <f>'Digital Plan - UPI'!#REF!</f>
        <v>#REF!</v>
      </c>
      <c r="D36" s="295" t="e">
        <f>'Digital Plan - UPI'!#REF!</f>
        <v>#REF!</v>
      </c>
      <c r="E36" s="406" t="e">
        <f>'Digital Plan - UPI'!#REF!</f>
        <v>#REF!</v>
      </c>
      <c r="F36" s="407" t="e">
        <f>'Digital Plan - UPI'!#REF!</f>
        <v>#REF!</v>
      </c>
      <c r="G36" s="296" t="e">
        <f>'Digital Plan - UPI'!#REF!</f>
        <v>#REF!</v>
      </c>
      <c r="H36" s="296" t="e">
        <f>'Digital Plan - UPI'!#REF!</f>
        <v>#REF!</v>
      </c>
      <c r="I36" s="297" t="e">
        <f>'Digital Plan - UPI'!#REF!</f>
        <v>#REF!</v>
      </c>
      <c r="J36" s="295" t="e">
        <f>'Digital Plan - UPI'!#REF!</f>
        <v>#REF!</v>
      </c>
      <c r="K36" s="298" t="e">
        <f>'Digital Plan - UPI'!#REF!</f>
        <v>#REF!</v>
      </c>
      <c r="L36" s="299" t="e">
        <f>'Digital Plan - UPI'!#REF!</f>
        <v>#REF!</v>
      </c>
      <c r="M36" s="299" t="e">
        <f>'Digital Plan - UPI'!#REF!</f>
        <v>#REF!</v>
      </c>
      <c r="N36" s="298" t="e">
        <f>'Digital Plan - UPI'!#REF!</f>
        <v>#REF!</v>
      </c>
      <c r="O36" s="300" t="e">
        <f>'Digital Plan - UPI'!#REF!</f>
        <v>#REF!</v>
      </c>
      <c r="P36" s="301" t="e">
        <f>'Digital Plan - UPI'!#REF!</f>
        <v>#REF!</v>
      </c>
      <c r="Q36" s="298" t="e">
        <f>'Digital Plan - UPI'!#REF!</f>
        <v>#REF!</v>
      </c>
      <c r="R36" s="302" t="e">
        <f>'Digital Plan - UPI'!#REF!</f>
        <v>#REF!</v>
      </c>
      <c r="S36" s="303" t="e">
        <f>'Digital Plan - UPI'!#REF!</f>
        <v>#REF!</v>
      </c>
      <c r="T36" s="298" t="e">
        <f>'Digital Plan - UPI'!#REF!</f>
        <v>#REF!</v>
      </c>
      <c r="U36" s="298" t="e">
        <f>'Digital Plan - UPI'!#REF!</f>
        <v>#REF!</v>
      </c>
      <c r="V36" s="304" t="e">
        <f>'Digital Plan - UPI'!#REF!</f>
        <v>#REF!</v>
      </c>
      <c r="W36" s="305" t="e">
        <f>'Digital Plan - UPI'!#REF!</f>
        <v>#REF!</v>
      </c>
      <c r="X36" s="305" t="e">
        <f>'Digital Plan - UPI'!#REF!</f>
        <v>#REF!</v>
      </c>
      <c r="Y36" s="305" t="e">
        <f>'Digital Plan - UPI'!#REF!</f>
        <v>#REF!</v>
      </c>
      <c r="Z36" s="306" t="e">
        <f>'Digital Plan - UPI'!#REF!</f>
        <v>#REF!</v>
      </c>
      <c r="AA36" s="307" t="e">
        <f>'Digital Plan - UPI'!#REF!</f>
        <v>#REF!</v>
      </c>
      <c r="AB36" s="259"/>
      <c r="AC36" s="298" t="e">
        <f>N36/2</f>
        <v>#REF!</v>
      </c>
      <c r="AD36" s="298" t="e">
        <f>N36/2</f>
        <v>#REF!</v>
      </c>
      <c r="AE36" s="298"/>
      <c r="AF36" s="298"/>
      <c r="AG36" s="298"/>
      <c r="AH36" s="298"/>
      <c r="AI36" s="298"/>
      <c r="AJ36" s="298"/>
    </row>
    <row r="37" spans="1:36" x14ac:dyDescent="0.35">
      <c r="A37" s="292" t="str">
        <f>'Digital Plan - UPI'!B28</f>
        <v>Bangalore - Seg A</v>
      </c>
      <c r="B37" s="293" t="str">
        <f>'Digital Plan - UPI'!C28</f>
        <v>Core - CTV</v>
      </c>
      <c r="C37" s="294" t="str">
        <f>'Digital Plan - UPI'!D28</f>
        <v>Connected TV PMP</v>
      </c>
      <c r="D37" s="294" t="str">
        <f>'Digital Plan - UPI'!E28</f>
        <v>Video</v>
      </c>
      <c r="E37" s="406" t="str">
        <f>'Digital Plan - UPI'!F28</f>
        <v xml:space="preserve">Entertainment </v>
      </c>
      <c r="F37" s="406" t="str">
        <f>'Digital Plan - UPI'!G28</f>
        <v>CTV</v>
      </c>
      <c r="G37" s="296" t="str">
        <f>'Digital Plan - UPI'!H28</f>
        <v>Instream</v>
      </c>
      <c r="H37" s="296" t="str">
        <f>'Digital Plan - UPI'!I28</f>
        <v xml:space="preserve">Video-6 Sec </v>
      </c>
      <c r="I37" s="297" t="str">
        <f>'Digital Plan - UPI'!J28</f>
        <v>Reff : Targeting Sheet</v>
      </c>
      <c r="J37" s="295" t="str">
        <f>'Digital Plan - UPI'!K28</f>
        <v>CPM</v>
      </c>
      <c r="K37" s="298">
        <f>'Digital Plan - UPI'!L28</f>
        <v>21</v>
      </c>
      <c r="L37" s="299">
        <f>'Digital Plan - UPI'!M28</f>
        <v>45460</v>
      </c>
      <c r="M37" s="299">
        <f>'Digital Plan - UPI'!N28</f>
        <v>45480</v>
      </c>
      <c r="N37" s="298">
        <f>'Digital Plan - UPI'!O28</f>
        <v>2443015.1059283204</v>
      </c>
      <c r="O37" s="300" t="str">
        <f>'Digital Plan - UPI'!P28</f>
        <v>-</v>
      </c>
      <c r="P37" s="301">
        <f>'Digital Plan - UPI'!Q28</f>
        <v>0</v>
      </c>
      <c r="Q37" s="298">
        <f>'Digital Plan - UPI'!R28</f>
        <v>0</v>
      </c>
      <c r="R37" s="302">
        <f>'Digital Plan - UPI'!S28</f>
        <v>0.85</v>
      </c>
      <c r="S37" s="303">
        <f>'Digital Plan - UPI'!T28</f>
        <v>2076562.8400390723</v>
      </c>
      <c r="T37" s="298">
        <f>'Digital Plan - UPI'!U28</f>
        <v>359266.92734240001</v>
      </c>
      <c r="U37" s="298">
        <f>'Digital Plan - UPI'!V28</f>
        <v>6.8000000000000007</v>
      </c>
      <c r="V37" s="304">
        <f>'Digital Plan - UPI'!X28</f>
        <v>125</v>
      </c>
      <c r="W37" s="305">
        <f>'Digital Plan - UPI'!Y28</f>
        <v>305376.88824104005</v>
      </c>
      <c r="X37" s="305">
        <f>'Digital Plan - UPI'!Z28</f>
        <v>125</v>
      </c>
      <c r="Y37" s="305">
        <f>'Digital Plan - UPI'!AA28</f>
        <v>0</v>
      </c>
      <c r="Z37" s="306">
        <f>'Digital Plan - UPI'!AB28</f>
        <v>418285</v>
      </c>
      <c r="AA37" s="307">
        <f>'Digital Plan - UPI'!AC28</f>
        <v>0.85890464</v>
      </c>
      <c r="AB37" s="259"/>
      <c r="AC37" s="298"/>
      <c r="AD37" s="298"/>
      <c r="AE37" s="298">
        <f>$N37/3</f>
        <v>814338.36864277348</v>
      </c>
      <c r="AF37" s="298">
        <f t="shared" ref="AF37:AJ42" si="11">$N37/3</f>
        <v>814338.36864277348</v>
      </c>
      <c r="AG37" s="298">
        <f t="shared" si="11"/>
        <v>814338.36864277348</v>
      </c>
      <c r="AH37" s="298"/>
      <c r="AI37" s="298"/>
      <c r="AJ37" s="298"/>
    </row>
    <row r="38" spans="1:36" x14ac:dyDescent="0.35">
      <c r="A38" s="292" t="e">
        <f>'Digital Plan - UPI'!#REF!</f>
        <v>#REF!</v>
      </c>
      <c r="B38" s="293" t="e">
        <f>'Digital Plan - UPI'!#REF!</f>
        <v>#REF!</v>
      </c>
      <c r="C38" s="294" t="e">
        <f>'Digital Plan - UPI'!#REF!</f>
        <v>#REF!</v>
      </c>
      <c r="D38" s="294" t="e">
        <f>'Digital Plan - UPI'!#REF!</f>
        <v>#REF!</v>
      </c>
      <c r="E38" s="406" t="e">
        <f>'Digital Plan - UPI'!#REF!</f>
        <v>#REF!</v>
      </c>
      <c r="F38" s="406" t="e">
        <f>'Digital Plan - UPI'!#REF!</f>
        <v>#REF!</v>
      </c>
      <c r="G38" s="296" t="e">
        <f>'Digital Plan - UPI'!#REF!</f>
        <v>#REF!</v>
      </c>
      <c r="H38" s="296" t="e">
        <f>'Digital Plan - UPI'!#REF!</f>
        <v>#REF!</v>
      </c>
      <c r="I38" s="297" t="e">
        <f>'Digital Plan - UPI'!#REF!</f>
        <v>#REF!</v>
      </c>
      <c r="J38" s="295" t="e">
        <f>'Digital Plan - UPI'!#REF!</f>
        <v>#REF!</v>
      </c>
      <c r="K38" s="298" t="e">
        <f>'Digital Plan - UPI'!#REF!</f>
        <v>#REF!</v>
      </c>
      <c r="L38" s="299" t="e">
        <f>'Digital Plan - UPI'!#REF!</f>
        <v>#REF!</v>
      </c>
      <c r="M38" s="299" t="e">
        <f>'Digital Plan - UPI'!#REF!</f>
        <v>#REF!</v>
      </c>
      <c r="N38" s="298" t="e">
        <f>'Digital Plan - UPI'!#REF!</f>
        <v>#REF!</v>
      </c>
      <c r="O38" s="300" t="e">
        <f>'Digital Plan - UPI'!#REF!</f>
        <v>#REF!</v>
      </c>
      <c r="P38" s="301" t="e">
        <f>'Digital Plan - UPI'!#REF!</f>
        <v>#REF!</v>
      </c>
      <c r="Q38" s="298" t="e">
        <f>'Digital Plan - UPI'!#REF!</f>
        <v>#REF!</v>
      </c>
      <c r="R38" s="302" t="e">
        <f>'Digital Plan - UPI'!#REF!</f>
        <v>#REF!</v>
      </c>
      <c r="S38" s="303" t="e">
        <f>'Digital Plan - UPI'!#REF!</f>
        <v>#REF!</v>
      </c>
      <c r="T38" s="298" t="e">
        <f>'Digital Plan - UPI'!#REF!</f>
        <v>#REF!</v>
      </c>
      <c r="U38" s="298" t="e">
        <f>'Digital Plan - UPI'!#REF!</f>
        <v>#REF!</v>
      </c>
      <c r="V38" s="304" t="e">
        <f>'Digital Plan - UPI'!#REF!</f>
        <v>#REF!</v>
      </c>
      <c r="W38" s="305" t="e">
        <f>'Digital Plan - UPI'!#REF!</f>
        <v>#REF!</v>
      </c>
      <c r="X38" s="305" t="e">
        <f>'Digital Plan - UPI'!#REF!</f>
        <v>#REF!</v>
      </c>
      <c r="Y38" s="305" t="e">
        <f>'Digital Plan - UPI'!#REF!</f>
        <v>#REF!</v>
      </c>
      <c r="Z38" s="306" t="e">
        <f>'Digital Plan - UPI'!#REF!</f>
        <v>#REF!</v>
      </c>
      <c r="AA38" s="307" t="e">
        <f>'Digital Plan - UPI'!#REF!</f>
        <v>#REF!</v>
      </c>
      <c r="AB38" s="259"/>
      <c r="AC38" s="298"/>
      <c r="AD38" s="298"/>
      <c r="AE38" s="298"/>
      <c r="AF38" s="298"/>
      <c r="AG38" s="298"/>
      <c r="AH38" s="298" t="e">
        <f>$N38/3</f>
        <v>#REF!</v>
      </c>
      <c r="AI38" s="298" t="e">
        <f t="shared" si="11"/>
        <v>#REF!</v>
      </c>
      <c r="AJ38" s="298" t="e">
        <f t="shared" si="11"/>
        <v>#REF!</v>
      </c>
    </row>
    <row r="39" spans="1:36" x14ac:dyDescent="0.35">
      <c r="A39" s="292" t="str">
        <f>'Digital Plan - UPI'!B29</f>
        <v>Bangalore - Seg A</v>
      </c>
      <c r="B39" s="293" t="str">
        <f>'Digital Plan - UPI'!C29</f>
        <v>Core - CTV</v>
      </c>
      <c r="C39" s="295" t="str">
        <f>'Digital Plan - UPI'!D29</f>
        <v xml:space="preserve">YouTube </v>
      </c>
      <c r="D39" s="295" t="str">
        <f>'Digital Plan - UPI'!E29</f>
        <v>Video</v>
      </c>
      <c r="E39" s="406" t="str">
        <f>'Digital Plan - UPI'!F29</f>
        <v xml:space="preserve">Entertainment </v>
      </c>
      <c r="F39" s="407" t="str">
        <f>'Digital Plan - UPI'!G29</f>
        <v>CTV</v>
      </c>
      <c r="G39" s="296" t="str">
        <f>'Digital Plan - UPI'!H29</f>
        <v>Instream</v>
      </c>
      <c r="H39" s="296" t="str">
        <f>'Digital Plan - UPI'!I29</f>
        <v xml:space="preserve">Bumper 6 secs  </v>
      </c>
      <c r="I39" s="297" t="str">
        <f>'Digital Plan - UPI'!J29</f>
        <v>Reff : Targeting Sheet</v>
      </c>
      <c r="J39" s="295" t="str">
        <f>'Digital Plan - UPI'!K29</f>
        <v>CPM</v>
      </c>
      <c r="K39" s="298">
        <f>'Digital Plan - UPI'!L29</f>
        <v>21</v>
      </c>
      <c r="L39" s="299">
        <f>'Digital Plan - UPI'!M29</f>
        <v>45460</v>
      </c>
      <c r="M39" s="299">
        <f>'Digital Plan - UPI'!N29</f>
        <v>45480</v>
      </c>
      <c r="N39" s="298">
        <f>'Digital Plan - UPI'!O29</f>
        <v>12984442.093800001</v>
      </c>
      <c r="O39" s="300" t="str">
        <f>'Digital Plan - UPI'!P29</f>
        <v>-</v>
      </c>
      <c r="P39" s="301">
        <f>'Digital Plan - UPI'!Q29</f>
        <v>0</v>
      </c>
      <c r="Q39" s="298">
        <f>'Digital Plan - UPI'!R29</f>
        <v>0</v>
      </c>
      <c r="R39" s="302">
        <f>'Digital Plan - UPI'!S29</f>
        <v>0.8</v>
      </c>
      <c r="S39" s="303">
        <f>'Digital Plan - UPI'!T29</f>
        <v>10387553.675040001</v>
      </c>
      <c r="T39" s="298">
        <f>'Digital Plan - UPI'!U29</f>
        <v>1564390.6137108433</v>
      </c>
      <c r="U39" s="298">
        <f>'Digital Plan - UPI'!V29</f>
        <v>8.3000000000000007</v>
      </c>
      <c r="V39" s="304">
        <f>'Digital Plan - UPI'!X29</f>
        <v>110</v>
      </c>
      <c r="W39" s="305">
        <f>'Digital Plan - UPI'!Y29</f>
        <v>1428288.630318</v>
      </c>
      <c r="X39" s="305">
        <f>'Digital Plan - UPI'!Z29</f>
        <v>109.99999999999999</v>
      </c>
      <c r="Y39" s="305">
        <f>'Digital Plan - UPI'!AA29</f>
        <v>0</v>
      </c>
      <c r="Z39" s="306">
        <f>'Digital Plan - UPI'!AB29</f>
        <v>1739000</v>
      </c>
      <c r="AA39" s="307">
        <f>'Digital Plan - UPI'!AC29</f>
        <v>0.89959207228915661</v>
      </c>
      <c r="AB39" s="259"/>
      <c r="AC39" s="298"/>
      <c r="AD39" s="298"/>
      <c r="AE39" s="298">
        <f>$N39/3</f>
        <v>4328147.3646</v>
      </c>
      <c r="AF39" s="298">
        <f t="shared" si="11"/>
        <v>4328147.3646</v>
      </c>
      <c r="AG39" s="298">
        <f t="shared" si="11"/>
        <v>4328147.3646</v>
      </c>
      <c r="AH39" s="298"/>
      <c r="AI39" s="298"/>
      <c r="AJ39" s="298"/>
    </row>
    <row r="40" spans="1:36" x14ac:dyDescent="0.35">
      <c r="A40" s="292" t="e">
        <f>'Digital Plan - UPI'!#REF!</f>
        <v>#REF!</v>
      </c>
      <c r="B40" s="293" t="e">
        <f>'Digital Plan - UPI'!#REF!</f>
        <v>#REF!</v>
      </c>
      <c r="C40" s="295" t="e">
        <f>'Digital Plan - UPI'!#REF!</f>
        <v>#REF!</v>
      </c>
      <c r="D40" s="295" t="e">
        <f>'Digital Plan - UPI'!#REF!</f>
        <v>#REF!</v>
      </c>
      <c r="E40" s="406" t="e">
        <f>'Digital Plan - UPI'!#REF!</f>
        <v>#REF!</v>
      </c>
      <c r="F40" s="407" t="e">
        <f>'Digital Plan - UPI'!#REF!</f>
        <v>#REF!</v>
      </c>
      <c r="G40" s="296" t="e">
        <f>'Digital Plan - UPI'!#REF!</f>
        <v>#REF!</v>
      </c>
      <c r="H40" s="296" t="e">
        <f>'Digital Plan - UPI'!#REF!</f>
        <v>#REF!</v>
      </c>
      <c r="I40" s="297" t="e">
        <f>'Digital Plan - UPI'!#REF!</f>
        <v>#REF!</v>
      </c>
      <c r="J40" s="295" t="e">
        <f>'Digital Plan - UPI'!#REF!</f>
        <v>#REF!</v>
      </c>
      <c r="K40" s="298" t="e">
        <f>'Digital Plan - UPI'!#REF!</f>
        <v>#REF!</v>
      </c>
      <c r="L40" s="299" t="e">
        <f>'Digital Plan - UPI'!#REF!</f>
        <v>#REF!</v>
      </c>
      <c r="M40" s="299" t="e">
        <f>'Digital Plan - UPI'!#REF!</f>
        <v>#REF!</v>
      </c>
      <c r="N40" s="298" t="e">
        <f>'Digital Plan - UPI'!#REF!</f>
        <v>#REF!</v>
      </c>
      <c r="O40" s="300" t="e">
        <f>'Digital Plan - UPI'!#REF!</f>
        <v>#REF!</v>
      </c>
      <c r="P40" s="301" t="e">
        <f>'Digital Plan - UPI'!#REF!</f>
        <v>#REF!</v>
      </c>
      <c r="Q40" s="298" t="e">
        <f>'Digital Plan - UPI'!#REF!</f>
        <v>#REF!</v>
      </c>
      <c r="R40" s="302" t="e">
        <f>'Digital Plan - UPI'!#REF!</f>
        <v>#REF!</v>
      </c>
      <c r="S40" s="303" t="e">
        <f>'Digital Plan - UPI'!#REF!</f>
        <v>#REF!</v>
      </c>
      <c r="T40" s="298" t="e">
        <f>'Digital Plan - UPI'!#REF!</f>
        <v>#REF!</v>
      </c>
      <c r="U40" s="298" t="e">
        <f>'Digital Plan - UPI'!#REF!</f>
        <v>#REF!</v>
      </c>
      <c r="V40" s="304" t="e">
        <f>'Digital Plan - UPI'!#REF!</f>
        <v>#REF!</v>
      </c>
      <c r="W40" s="305" t="e">
        <f>'Digital Plan - UPI'!#REF!</f>
        <v>#REF!</v>
      </c>
      <c r="X40" s="305" t="e">
        <f>'Digital Plan - UPI'!#REF!</f>
        <v>#REF!</v>
      </c>
      <c r="Y40" s="305" t="e">
        <f>'Digital Plan - UPI'!#REF!</f>
        <v>#REF!</v>
      </c>
      <c r="Z40" s="306" t="e">
        <f>'Digital Plan - UPI'!#REF!</f>
        <v>#REF!</v>
      </c>
      <c r="AA40" s="307" t="e">
        <f>'Digital Plan - UPI'!#REF!</f>
        <v>#REF!</v>
      </c>
      <c r="AB40" s="259"/>
      <c r="AC40" s="298"/>
      <c r="AD40" s="298"/>
      <c r="AE40" s="298"/>
      <c r="AF40" s="298"/>
      <c r="AG40" s="298"/>
      <c r="AH40" s="298" t="e">
        <f>$N40/3</f>
        <v>#REF!</v>
      </c>
      <c r="AI40" s="298" t="e">
        <f t="shared" si="11"/>
        <v>#REF!</v>
      </c>
      <c r="AJ40" s="298" t="e">
        <f t="shared" si="11"/>
        <v>#REF!</v>
      </c>
    </row>
    <row r="41" spans="1:36" x14ac:dyDescent="0.35">
      <c r="A41" s="292" t="str">
        <f>'Digital Plan - UPI'!B30</f>
        <v>Bangalore - Seg A</v>
      </c>
      <c r="B41" s="293" t="str">
        <f>'Digital Plan - UPI'!C30</f>
        <v>Core</v>
      </c>
      <c r="C41" s="264" t="str">
        <f>'Digital Plan - UPI'!D30</f>
        <v>Meta</v>
      </c>
      <c r="D41" s="264" t="str">
        <f>'Digital Plan - UPI'!E30</f>
        <v>Video</v>
      </c>
      <c r="E41" s="404" t="str">
        <f>'Digital Plan - UPI'!F30</f>
        <v xml:space="preserve">Entertainment </v>
      </c>
      <c r="F41" s="404" t="str">
        <f>'Digital Plan - UPI'!G30</f>
        <v xml:space="preserve">Mobile </v>
      </c>
      <c r="G41" s="265" t="str">
        <f>'Digital Plan - UPI'!H30</f>
        <v xml:space="preserve">Instream </v>
      </c>
      <c r="H41" s="265" t="str">
        <f>'Digital Plan - UPI'!I30</f>
        <v>Instream - 6 Sec</v>
      </c>
      <c r="I41" s="308" t="str">
        <f>'Digital Plan - UPI'!J30</f>
        <v>Reff : Targeting Sheet</v>
      </c>
      <c r="J41" s="263" t="str">
        <f>'Digital Plan - UPI'!K30</f>
        <v>CPM</v>
      </c>
      <c r="K41" s="266">
        <f>'Digital Plan - UPI'!L30</f>
        <v>21</v>
      </c>
      <c r="L41" s="267">
        <f>'Digital Plan - UPI'!M30</f>
        <v>45460</v>
      </c>
      <c r="M41" s="267">
        <f>'Digital Plan - UPI'!N30</f>
        <v>45480</v>
      </c>
      <c r="N41" s="266">
        <f>'Digital Plan - UPI'!O30</f>
        <v>2975601.3131625</v>
      </c>
      <c r="O41" s="268" t="str">
        <f>'Digital Plan - UPI'!P30</f>
        <v>-</v>
      </c>
      <c r="P41" s="269">
        <f>'Digital Plan - UPI'!Q30</f>
        <v>1E-3</v>
      </c>
      <c r="Q41" s="266">
        <f>'Digital Plan - UPI'!R30</f>
        <v>2975.6013131625</v>
      </c>
      <c r="R41" s="270">
        <f>'Digital Plan - UPI'!S30</f>
        <v>0.7</v>
      </c>
      <c r="S41" s="271">
        <f>'Digital Plan - UPI'!T30</f>
        <v>2082920.9192137499</v>
      </c>
      <c r="T41" s="266">
        <f>'Digital Plan - UPI'!U30</f>
        <v>1983734.2087749999</v>
      </c>
      <c r="U41" s="266">
        <f>'Digital Plan - UPI'!V30</f>
        <v>1.5</v>
      </c>
      <c r="V41" s="272">
        <f>'Digital Plan - UPI'!X30</f>
        <v>70</v>
      </c>
      <c r="W41" s="273">
        <f>'Digital Plan - UPI'!Y30</f>
        <v>208292.09192137499</v>
      </c>
      <c r="X41" s="273">
        <f>'Digital Plan - UPI'!Z30</f>
        <v>69.999999999999986</v>
      </c>
      <c r="Y41" s="273">
        <f>'Digital Plan - UPI'!AA30</f>
        <v>70</v>
      </c>
      <c r="Z41" s="274">
        <f>'Digital Plan - UPI'!AB30</f>
        <v>3251930</v>
      </c>
      <c r="AA41" s="275">
        <f>'Digital Plan - UPI'!AC30</f>
        <v>0.61001749999999999</v>
      </c>
      <c r="AB41" s="259"/>
      <c r="AC41" s="266"/>
      <c r="AD41" s="266"/>
      <c r="AE41" s="266">
        <f>$N41/3</f>
        <v>991867.10438749997</v>
      </c>
      <c r="AF41" s="266">
        <f t="shared" si="11"/>
        <v>991867.10438749997</v>
      </c>
      <c r="AG41" s="266">
        <f t="shared" si="11"/>
        <v>991867.10438749997</v>
      </c>
      <c r="AH41" s="266"/>
      <c r="AI41" s="266"/>
      <c r="AJ41" s="266"/>
    </row>
    <row r="42" spans="1:36" x14ac:dyDescent="0.35">
      <c r="A42" s="292" t="str">
        <f>'Digital Plan - UPI'!B31</f>
        <v>Bangalore - Seg A</v>
      </c>
      <c r="B42" s="293" t="str">
        <f>'Digital Plan - UPI'!C31</f>
        <v>Core</v>
      </c>
      <c r="C42" s="264" t="str">
        <f>'Digital Plan - UPI'!D31</f>
        <v xml:space="preserve">YouTube </v>
      </c>
      <c r="D42" s="264" t="str">
        <f>'Digital Plan - UPI'!E31</f>
        <v>Video</v>
      </c>
      <c r="E42" s="404" t="str">
        <f>'Digital Plan - UPI'!F31</f>
        <v xml:space="preserve">Entertainment </v>
      </c>
      <c r="F42" s="404" t="str">
        <f>'Digital Plan - UPI'!G31</f>
        <v xml:space="preserve">Mobile </v>
      </c>
      <c r="G42" s="265" t="str">
        <f>'Digital Plan - UPI'!H31</f>
        <v xml:space="preserve">Instream </v>
      </c>
      <c r="H42" s="265" t="str">
        <f>'Digital Plan - UPI'!I31</f>
        <v xml:space="preserve">Bumper 6 secs  </v>
      </c>
      <c r="I42" s="308" t="str">
        <f>'Digital Plan - UPI'!J31</f>
        <v>Reff : Targeting Sheet</v>
      </c>
      <c r="J42" s="263" t="str">
        <f>'Digital Plan - UPI'!K31</f>
        <v>CPM</v>
      </c>
      <c r="K42" s="266">
        <f>'Digital Plan - UPI'!L31</f>
        <v>21</v>
      </c>
      <c r="L42" s="267">
        <f>'Digital Plan - UPI'!M31</f>
        <v>45460</v>
      </c>
      <c r="M42" s="267">
        <f>'Digital Plan - UPI'!N31</f>
        <v>45480</v>
      </c>
      <c r="N42" s="266">
        <f>'Digital Plan - UPI'!O31</f>
        <v>5615718.1645468753</v>
      </c>
      <c r="O42" s="268" t="str">
        <f>'Digital Plan - UPI'!P31</f>
        <v>-</v>
      </c>
      <c r="P42" s="269">
        <f>'Digital Plan - UPI'!Q31</f>
        <v>1E-3</v>
      </c>
      <c r="Q42" s="266">
        <f>'Digital Plan - UPI'!R31</f>
        <v>5615.7181645468754</v>
      </c>
      <c r="R42" s="270">
        <f>'Digital Plan - UPI'!S31</f>
        <v>0.8</v>
      </c>
      <c r="S42" s="271">
        <f>'Digital Plan - UPI'!T31</f>
        <v>4492574.5316375</v>
      </c>
      <c r="T42" s="266">
        <f>'Digital Plan - UPI'!U31</f>
        <v>2359545.4472886026</v>
      </c>
      <c r="U42" s="266">
        <f>'Digital Plan - UPI'!V31</f>
        <v>2.3800000000000003</v>
      </c>
      <c r="V42" s="272">
        <f>'Digital Plan - UPI'!X31</f>
        <v>80</v>
      </c>
      <c r="W42" s="273">
        <f>'Digital Plan - UPI'!Y31</f>
        <v>449257.45316375</v>
      </c>
      <c r="X42" s="273">
        <f>'Digital Plan - UPI'!Z31</f>
        <v>80</v>
      </c>
      <c r="Y42" s="273">
        <f>'Digital Plan - UPI'!AA31</f>
        <v>80</v>
      </c>
      <c r="Z42" s="274">
        <f>'Digital Plan - UPI'!AB31</f>
        <v>3825800</v>
      </c>
      <c r="AA42" s="275">
        <f>'Digital Plan - UPI'!AC31</f>
        <v>0.61674563419117634</v>
      </c>
      <c r="AB42" s="259"/>
      <c r="AC42" s="266"/>
      <c r="AD42" s="266"/>
      <c r="AE42" s="266"/>
      <c r="AF42" s="266"/>
      <c r="AG42" s="266"/>
      <c r="AH42" s="266">
        <f>$N42/3</f>
        <v>1871906.0548489585</v>
      </c>
      <c r="AI42" s="266">
        <f t="shared" si="11"/>
        <v>1871906.0548489585</v>
      </c>
      <c r="AJ42" s="266">
        <f t="shared" si="11"/>
        <v>1871906.0548489585</v>
      </c>
    </row>
    <row r="43" spans="1:36" x14ac:dyDescent="0.35">
      <c r="A43" s="292" t="str">
        <f>'Digital Plan - UPI'!B32</f>
        <v>Bangalore - Seg A</v>
      </c>
      <c r="B43" s="293" t="str">
        <f>'Digital Plan - UPI'!C32</f>
        <v>Core</v>
      </c>
      <c r="C43" s="263" t="str">
        <f>'Digital Plan - UPI'!D32</f>
        <v xml:space="preserve">DSP </v>
      </c>
      <c r="D43" s="263" t="str">
        <f>'Digital Plan - UPI'!E32</f>
        <v>Static</v>
      </c>
      <c r="E43" s="404" t="str">
        <f>'Digital Plan - UPI'!F32</f>
        <v xml:space="preserve">Network </v>
      </c>
      <c r="F43" s="404" t="str">
        <f>'Digital Plan - UPI'!G32</f>
        <v>Mobile</v>
      </c>
      <c r="G43" s="265" t="str">
        <f>'Digital Plan - UPI'!H32</f>
        <v>ROS</v>
      </c>
      <c r="H43" s="265" t="str">
        <f>'Digital Plan - UPI'!I32</f>
        <v>Large Formats</v>
      </c>
      <c r="I43" s="309" t="str">
        <f>'Digital Plan - UPI'!J32</f>
        <v>Reff : Targeting Sheet</v>
      </c>
      <c r="J43" s="263" t="str">
        <f>'Digital Plan - UPI'!K32</f>
        <v>CPM</v>
      </c>
      <c r="K43" s="266">
        <f>'Digital Plan - UPI'!L32</f>
        <v>21</v>
      </c>
      <c r="L43" s="267">
        <f>'Digital Plan - UPI'!M32</f>
        <v>45460</v>
      </c>
      <c r="M43" s="267">
        <f>'Digital Plan - UPI'!N32</f>
        <v>45480</v>
      </c>
      <c r="N43" s="266">
        <f>'Digital Plan - UPI'!O32</f>
        <v>845784.91725330893</v>
      </c>
      <c r="O43" s="268" t="str">
        <f>'Digital Plan - UPI'!P32</f>
        <v>-</v>
      </c>
      <c r="P43" s="269">
        <f>'Digital Plan - UPI'!Q32</f>
        <v>1.4999999999999999E-2</v>
      </c>
      <c r="Q43" s="266">
        <f>'Digital Plan - UPI'!R32</f>
        <v>12686.773758799634</v>
      </c>
      <c r="R43" s="268" t="str">
        <f>'Digital Plan - UPI'!S32</f>
        <v>-</v>
      </c>
      <c r="S43" s="271" t="str">
        <f>'Digital Plan - UPI'!T32</f>
        <v>-</v>
      </c>
      <c r="T43" s="266">
        <f>'Digital Plan - UPI'!U32</f>
        <v>995041.07912153995</v>
      </c>
      <c r="U43" s="266">
        <f>'Digital Plan - UPI'!V32</f>
        <v>0.85</v>
      </c>
      <c r="V43" s="272">
        <f>'Digital Plan - UPI'!X32</f>
        <v>105</v>
      </c>
      <c r="W43" s="273">
        <f>'Digital Plan - UPI'!Y32</f>
        <v>88807.416311597437</v>
      </c>
      <c r="X43" s="273">
        <f>'Digital Plan - UPI'!Z32</f>
        <v>105</v>
      </c>
      <c r="Y43" s="273">
        <f>'Digital Plan - UPI'!AA32</f>
        <v>7</v>
      </c>
      <c r="Z43" s="274">
        <f>'Digital Plan - UPI'!AB32</f>
        <v>3089333.5</v>
      </c>
      <c r="AA43" s="275">
        <f>'Digital Plan - UPI'!AC32</f>
        <v>0.32208924</v>
      </c>
      <c r="AB43" s="259"/>
      <c r="AC43" s="266">
        <f t="shared" ref="AC43:AD47" si="12">$N43*20%</f>
        <v>169156.98345066179</v>
      </c>
      <c r="AD43" s="266">
        <f t="shared" si="12"/>
        <v>169156.98345066179</v>
      </c>
      <c r="AE43" s="266">
        <f t="shared" ref="AE43:AF47" si="13">$N43*15%</f>
        <v>126867.73758799634</v>
      </c>
      <c r="AF43" s="266">
        <f t="shared" si="13"/>
        <v>126867.73758799634</v>
      </c>
      <c r="AG43" s="266">
        <f t="shared" ref="AG43:AH47" si="14">$N43*10%</f>
        <v>84578.491725330896</v>
      </c>
      <c r="AH43" s="266">
        <f t="shared" si="14"/>
        <v>84578.491725330896</v>
      </c>
      <c r="AI43" s="266">
        <f t="shared" ref="AI43:AJ47" si="15">$N43*5%</f>
        <v>42289.245862665448</v>
      </c>
      <c r="AJ43" s="266">
        <f t="shared" si="15"/>
        <v>42289.245862665448</v>
      </c>
    </row>
    <row r="44" spans="1:36" x14ac:dyDescent="0.35">
      <c r="A44" s="292" t="str">
        <f>'Digital Plan - UPI'!B33</f>
        <v>Bangalore - Seg A</v>
      </c>
      <c r="B44" s="293" t="str">
        <f>'Digital Plan - UPI'!C33</f>
        <v>Core</v>
      </c>
      <c r="C44" s="310" t="str">
        <f>'Digital Plan - UPI'!D33</f>
        <v>Mediakart</v>
      </c>
      <c r="D44" s="263" t="str">
        <f>'Digital Plan - UPI'!E33</f>
        <v>Static</v>
      </c>
      <c r="E44" s="408" t="str">
        <f>'Digital Plan - UPI'!F33</f>
        <v xml:space="preserve">Network </v>
      </c>
      <c r="F44" s="404" t="str">
        <f>'Digital Plan - UPI'!G33</f>
        <v xml:space="preserve">Mobile </v>
      </c>
      <c r="G44" s="265" t="str">
        <f>'Digital Plan - UPI'!H33</f>
        <v>ROS</v>
      </c>
      <c r="H44" s="265" t="str">
        <f>'Digital Plan - UPI'!I33</f>
        <v>Interstitial Static banner</v>
      </c>
      <c r="I44" s="309" t="str">
        <f>'Digital Plan - UPI'!J33</f>
        <v>Reff : Targeting Sheet</v>
      </c>
      <c r="J44" s="263" t="str">
        <f>'Digital Plan - UPI'!K33</f>
        <v xml:space="preserve">CPM </v>
      </c>
      <c r="K44" s="266">
        <f>'Digital Plan - UPI'!L33</f>
        <v>21</v>
      </c>
      <c r="L44" s="267">
        <f>'Digital Plan - UPI'!M33</f>
        <v>45460</v>
      </c>
      <c r="M44" s="267">
        <f>'Digital Plan - UPI'!N33</f>
        <v>45480</v>
      </c>
      <c r="N44" s="266">
        <f>'Digital Plan - UPI'!O33</f>
        <v>785456.9933158299</v>
      </c>
      <c r="O44" s="268" t="str">
        <f>'Digital Plan - UPI'!P33</f>
        <v>-</v>
      </c>
      <c r="P44" s="269">
        <f>'Digital Plan - UPI'!Q33</f>
        <v>1.4999999999999999E-2</v>
      </c>
      <c r="Q44" s="266">
        <f>'Digital Plan - UPI'!R33</f>
        <v>11781.854899737447</v>
      </c>
      <c r="R44" s="268" t="str">
        <f>'Digital Plan - UPI'!S33</f>
        <v>-</v>
      </c>
      <c r="S44" s="271" t="str">
        <f>'Digital Plan - UPI'!T33</f>
        <v>-</v>
      </c>
      <c r="T44" s="266">
        <f>'Digital Plan - UPI'!U33</f>
        <v>924067.0509597999</v>
      </c>
      <c r="U44" s="266">
        <f>'Digital Plan - UPI'!V33</f>
        <v>0.85</v>
      </c>
      <c r="V44" s="272">
        <f>'Digital Plan - UPI'!X33</f>
        <v>120</v>
      </c>
      <c r="W44" s="273">
        <f>'Digital Plan - UPI'!Y33</f>
        <v>94254.839197899593</v>
      </c>
      <c r="X44" s="273">
        <f>'Digital Plan - UPI'!Z33</f>
        <v>120.00000000000001</v>
      </c>
      <c r="Y44" s="273">
        <f>'Digital Plan - UPI'!AA33</f>
        <v>8.0000000000000018</v>
      </c>
      <c r="Z44" s="274">
        <f>'Digital Plan - UPI'!AB33</f>
        <v>1721387</v>
      </c>
      <c r="AA44" s="275">
        <f>'Digital Plan - UPI'!AC33</f>
        <v>0.53681539999999994</v>
      </c>
      <c r="AB44" s="259"/>
      <c r="AC44" s="266">
        <f t="shared" si="12"/>
        <v>157091.39866316598</v>
      </c>
      <c r="AD44" s="266">
        <f t="shared" si="12"/>
        <v>157091.39866316598</v>
      </c>
      <c r="AE44" s="266">
        <f t="shared" si="13"/>
        <v>117818.54899737448</v>
      </c>
      <c r="AF44" s="266">
        <f t="shared" si="13"/>
        <v>117818.54899737448</v>
      </c>
      <c r="AG44" s="266">
        <f t="shared" si="14"/>
        <v>78545.69933158299</v>
      </c>
      <c r="AH44" s="266">
        <f t="shared" si="14"/>
        <v>78545.69933158299</v>
      </c>
      <c r="AI44" s="266">
        <f t="shared" si="15"/>
        <v>39272.849665791495</v>
      </c>
      <c r="AJ44" s="266">
        <f t="shared" si="15"/>
        <v>39272.849665791495</v>
      </c>
    </row>
    <row r="45" spans="1:36" x14ac:dyDescent="0.35">
      <c r="A45" s="292" t="str">
        <f>'Digital Plan - UPI'!B34</f>
        <v>Bangalore - Seg A</v>
      </c>
      <c r="B45" s="293" t="str">
        <f>'Digital Plan - UPI'!C34</f>
        <v>Core</v>
      </c>
      <c r="C45" s="310" t="str">
        <f>'Digital Plan - UPI'!D34</f>
        <v>Dailyhunt</v>
      </c>
      <c r="D45" s="311" t="str">
        <f>'Digital Plan - UPI'!E34</f>
        <v>Static</v>
      </c>
      <c r="E45" s="408" t="str">
        <f>'Digital Plan - UPI'!F34</f>
        <v>News</v>
      </c>
      <c r="F45" s="404" t="str">
        <f>'Digital Plan - UPI'!G34</f>
        <v xml:space="preserve">Mobile </v>
      </c>
      <c r="G45" s="310" t="str">
        <f>'Digital Plan - UPI'!H34</f>
        <v>ROS</v>
      </c>
      <c r="H45" s="263" t="str">
        <f>'Digital Plan - UPI'!I34</f>
        <v>Page Insert - Innovation</v>
      </c>
      <c r="I45" s="309" t="str">
        <f>'Digital Plan - UPI'!J34</f>
        <v>Reff : Targeting Sheet</v>
      </c>
      <c r="J45" s="263" t="str">
        <f>'Digital Plan - UPI'!K34</f>
        <v>CPM</v>
      </c>
      <c r="K45" s="266">
        <f>'Digital Plan - UPI'!L34</f>
        <v>21</v>
      </c>
      <c r="L45" s="267">
        <f>'Digital Plan - UPI'!M34</f>
        <v>45460</v>
      </c>
      <c r="M45" s="267">
        <f>'Digital Plan - UPI'!N34</f>
        <v>45480</v>
      </c>
      <c r="N45" s="266">
        <f>'Digital Plan - UPI'!O34</f>
        <v>624490.44345308293</v>
      </c>
      <c r="O45" s="268" t="str">
        <f>'Digital Plan - UPI'!P34</f>
        <v>-</v>
      </c>
      <c r="P45" s="312">
        <f>'Digital Plan - UPI'!Q34</f>
        <v>0.01</v>
      </c>
      <c r="Q45" s="266">
        <f>'Digital Plan - UPI'!R34</f>
        <v>6244.9044345308293</v>
      </c>
      <c r="R45" s="268" t="str">
        <f>'Digital Plan - UPI'!S34</f>
        <v>-</v>
      </c>
      <c r="S45" s="271" t="str">
        <f>'Digital Plan - UPI'!T34</f>
        <v>-</v>
      </c>
      <c r="T45" s="266">
        <f>'Digital Plan - UPI'!U34</f>
        <v>734694.63935656811</v>
      </c>
      <c r="U45" s="266">
        <f>'Digital Plan - UPI'!V34</f>
        <v>0.85</v>
      </c>
      <c r="V45" s="272">
        <f>'Digital Plan - UPI'!X34</f>
        <v>200</v>
      </c>
      <c r="W45" s="273">
        <f>'Digital Plan - UPI'!Y34</f>
        <v>124898.0886906166</v>
      </c>
      <c r="X45" s="273">
        <f>'Digital Plan - UPI'!Z34</f>
        <v>200</v>
      </c>
      <c r="Y45" s="273">
        <f>'Digital Plan - UPI'!AA34</f>
        <v>20</v>
      </c>
      <c r="Z45" s="274">
        <f>'Digital Plan - UPI'!AB34</f>
        <v>2073662</v>
      </c>
      <c r="AA45" s="275">
        <f>'Digital Plan - UPI'!AC34</f>
        <v>0.35429816400000003</v>
      </c>
      <c r="AB45" s="259"/>
      <c r="AC45" s="266">
        <f t="shared" si="12"/>
        <v>124898.0886906166</v>
      </c>
      <c r="AD45" s="266">
        <f t="shared" si="12"/>
        <v>124898.0886906166</v>
      </c>
      <c r="AE45" s="266">
        <f t="shared" si="13"/>
        <v>93673.566517962434</v>
      </c>
      <c r="AF45" s="266">
        <f t="shared" si="13"/>
        <v>93673.566517962434</v>
      </c>
      <c r="AG45" s="266">
        <f t="shared" si="14"/>
        <v>62449.044345308299</v>
      </c>
      <c r="AH45" s="266">
        <f t="shared" si="14"/>
        <v>62449.044345308299</v>
      </c>
      <c r="AI45" s="266">
        <f t="shared" si="15"/>
        <v>31224.522172654149</v>
      </c>
      <c r="AJ45" s="266">
        <f t="shared" si="15"/>
        <v>31224.522172654149</v>
      </c>
    </row>
    <row r="46" spans="1:36" x14ac:dyDescent="0.35">
      <c r="A46" s="292" t="str">
        <f>'Digital Plan - UPI'!B35</f>
        <v>Bangalore - Seg A</v>
      </c>
      <c r="B46" s="293" t="str">
        <f>'Digital Plan - UPI'!C35</f>
        <v>Core</v>
      </c>
      <c r="C46" s="310" t="str">
        <f>'Digital Plan - UPI'!D35</f>
        <v>UBER</v>
      </c>
      <c r="D46" s="263" t="str">
        <f>'Digital Plan - UPI'!E35</f>
        <v>Static</v>
      </c>
      <c r="E46" s="408" t="str">
        <f>'Digital Plan - UPI'!F35</f>
        <v>Utility</v>
      </c>
      <c r="F46" s="404" t="str">
        <f>'Digital Plan - UPI'!G35</f>
        <v xml:space="preserve">Mobile </v>
      </c>
      <c r="G46" s="265" t="str">
        <f>'Digital Plan - UPI'!H35</f>
        <v>ROS</v>
      </c>
      <c r="H46" s="265" t="str">
        <f>'Digital Plan - UPI'!I35</f>
        <v>Journey Ads</v>
      </c>
      <c r="I46" s="309" t="str">
        <f>'Digital Plan - UPI'!J35</f>
        <v>NA</v>
      </c>
      <c r="J46" s="263" t="str">
        <f>'Digital Plan - UPI'!K35</f>
        <v>CPT</v>
      </c>
      <c r="K46" s="266">
        <f>'Digital Plan - UPI'!L35</f>
        <v>21</v>
      </c>
      <c r="L46" s="267">
        <f>'Digital Plan - UPI'!M35</f>
        <v>45460</v>
      </c>
      <c r="M46" s="267">
        <f>'Digital Plan - UPI'!N35</f>
        <v>45480</v>
      </c>
      <c r="N46" s="266">
        <f>'Digital Plan - UPI'!O35</f>
        <v>719486.04</v>
      </c>
      <c r="O46" s="268">
        <f>'Digital Plan - UPI'!P35</f>
        <v>239828.68000000002</v>
      </c>
      <c r="P46" s="269">
        <f>'Digital Plan - UPI'!Q35</f>
        <v>1.4999999999999999E-2</v>
      </c>
      <c r="Q46" s="266">
        <f>'Digital Plan - UPI'!R35</f>
        <v>10792.2906</v>
      </c>
      <c r="R46" s="268" t="str">
        <f>'Digital Plan - UPI'!S35</f>
        <v>-</v>
      </c>
      <c r="S46" s="271" t="str">
        <f>'Digital Plan - UPI'!T35</f>
        <v>-</v>
      </c>
      <c r="T46" s="266">
        <f>'Digital Plan - UPI'!U35</f>
        <v>239828.68000000002</v>
      </c>
      <c r="U46" s="266">
        <f>'Digital Plan - UPI'!V35</f>
        <v>3</v>
      </c>
      <c r="V46" s="272">
        <f>'Digital Plan - UPI'!X35</f>
        <v>1.5</v>
      </c>
      <c r="W46" s="273">
        <f>'Digital Plan - UPI'!Y35</f>
        <v>359743.02</v>
      </c>
      <c r="X46" s="273">
        <f>'Digital Plan - UPI'!Z35</f>
        <v>500</v>
      </c>
      <c r="Y46" s="273">
        <f>'Digital Plan - UPI'!AA35</f>
        <v>33.333333333333336</v>
      </c>
      <c r="Z46" s="274">
        <f>'Digital Plan - UPI'!AB35</f>
        <v>2569593</v>
      </c>
      <c r="AA46" s="275">
        <f>'Digital Plan - UPI'!AC35</f>
        <v>9.3333333333333338E-2</v>
      </c>
      <c r="AB46" s="259"/>
      <c r="AC46" s="266">
        <f t="shared" si="12"/>
        <v>143897.20800000001</v>
      </c>
      <c r="AD46" s="266">
        <f t="shared" si="12"/>
        <v>143897.20800000001</v>
      </c>
      <c r="AE46" s="266">
        <f t="shared" si="13"/>
        <v>107922.906</v>
      </c>
      <c r="AF46" s="266">
        <f t="shared" si="13"/>
        <v>107922.906</v>
      </c>
      <c r="AG46" s="266">
        <f t="shared" si="14"/>
        <v>71948.604000000007</v>
      </c>
      <c r="AH46" s="266">
        <f t="shared" si="14"/>
        <v>71948.604000000007</v>
      </c>
      <c r="AI46" s="266">
        <f t="shared" si="15"/>
        <v>35974.302000000003</v>
      </c>
      <c r="AJ46" s="266">
        <f t="shared" si="15"/>
        <v>35974.302000000003</v>
      </c>
    </row>
    <row r="47" spans="1:36" x14ac:dyDescent="0.35">
      <c r="A47" s="292" t="str">
        <f>'Digital Plan - UPI'!B36</f>
        <v>Bangalore - Seg A</v>
      </c>
      <c r="B47" s="293" t="str">
        <f>'Digital Plan - UPI'!C36</f>
        <v>Core</v>
      </c>
      <c r="C47" s="310" t="str">
        <f>'Digital Plan - UPI'!D36</f>
        <v>Mcanvas</v>
      </c>
      <c r="D47" s="263" t="str">
        <f>'Digital Plan - UPI'!E36</f>
        <v>Static</v>
      </c>
      <c r="E47" s="408" t="str">
        <f>'Digital Plan - UPI'!F36</f>
        <v xml:space="preserve">Network </v>
      </c>
      <c r="F47" s="404" t="str">
        <f>'Digital Plan - UPI'!G36</f>
        <v xml:space="preserve">Mobile </v>
      </c>
      <c r="G47" s="265" t="str">
        <f>'Digital Plan - UPI'!H36</f>
        <v>ROS</v>
      </c>
      <c r="H47" s="265" t="str">
        <f>'Digital Plan - UPI'!I36</f>
        <v xml:space="preserve">Single Screen Interstitial </v>
      </c>
      <c r="I47" s="309" t="str">
        <f>'Digital Plan - UPI'!J36</f>
        <v>Reff : Targeting Sheet</v>
      </c>
      <c r="J47" s="263" t="str">
        <f>'Digital Plan - UPI'!K36</f>
        <v>CPC</v>
      </c>
      <c r="K47" s="266">
        <f>'Digital Plan - UPI'!L36</f>
        <v>21</v>
      </c>
      <c r="L47" s="267">
        <f>'Digital Plan - UPI'!M36</f>
        <v>45460</v>
      </c>
      <c r="M47" s="267">
        <f>'Digital Plan - UPI'!N36</f>
        <v>45480</v>
      </c>
      <c r="N47" s="266">
        <f>'Digital Plan - UPI'!O36</f>
        <v>2233688.8794</v>
      </c>
      <c r="O47" s="268" t="str">
        <f>'Digital Plan - UPI'!P36</f>
        <v>-</v>
      </c>
      <c r="P47" s="269">
        <f>'Digital Plan - UPI'!Q36</f>
        <v>0.02</v>
      </c>
      <c r="Q47" s="266">
        <f>'Digital Plan - UPI'!R36</f>
        <v>44673.777587999997</v>
      </c>
      <c r="R47" s="268" t="str">
        <f>'Digital Plan - UPI'!S36</f>
        <v>-</v>
      </c>
      <c r="S47" s="271" t="str">
        <f>'Digital Plan - UPI'!T36</f>
        <v>-</v>
      </c>
      <c r="T47" s="266">
        <f>'Digital Plan - UPI'!U36</f>
        <v>2233688.8794</v>
      </c>
      <c r="U47" s="266">
        <f>'Digital Plan - UPI'!V36</f>
        <v>1</v>
      </c>
      <c r="V47" s="272">
        <f>'Digital Plan - UPI'!X36</f>
        <v>4.5</v>
      </c>
      <c r="W47" s="273">
        <f>'Digital Plan - UPI'!Y36</f>
        <v>201031.99914599999</v>
      </c>
      <c r="X47" s="273">
        <f>'Digital Plan - UPI'!Z36</f>
        <v>90</v>
      </c>
      <c r="Y47" s="273">
        <f>'Digital Plan - UPI'!AA36</f>
        <v>4.5</v>
      </c>
      <c r="Z47" s="274">
        <f>'Digital Plan - UPI'!AB36</f>
        <v>3467500</v>
      </c>
      <c r="AA47" s="275">
        <f>'Digital Plan - UPI'!AC36</f>
        <v>0.64417848</v>
      </c>
      <c r="AB47" s="259"/>
      <c r="AC47" s="266">
        <f t="shared" si="12"/>
        <v>446737.77588000003</v>
      </c>
      <c r="AD47" s="266">
        <f t="shared" si="12"/>
        <v>446737.77588000003</v>
      </c>
      <c r="AE47" s="266">
        <f t="shared" si="13"/>
        <v>335053.33191000001</v>
      </c>
      <c r="AF47" s="266">
        <f t="shared" si="13"/>
        <v>335053.33191000001</v>
      </c>
      <c r="AG47" s="266">
        <f t="shared" si="14"/>
        <v>223368.88794000002</v>
      </c>
      <c r="AH47" s="266">
        <f t="shared" si="14"/>
        <v>223368.88794000002</v>
      </c>
      <c r="AI47" s="266">
        <f t="shared" si="15"/>
        <v>111684.44397000001</v>
      </c>
      <c r="AJ47" s="266">
        <f t="shared" si="15"/>
        <v>111684.44397000001</v>
      </c>
    </row>
    <row r="48" spans="1:36" x14ac:dyDescent="0.35">
      <c r="A48" s="292" t="str">
        <f>'Digital Plan - UPI'!B37</f>
        <v>Bangalore - Seg A</v>
      </c>
      <c r="B48" s="293" t="str">
        <f>'Digital Plan - UPI'!C37</f>
        <v>Core</v>
      </c>
      <c r="C48" s="310" t="str">
        <f>'Digital Plan - UPI'!D37</f>
        <v>Sports Display (Auction Deal)</v>
      </c>
      <c r="D48" s="314" t="str">
        <f>'Digital Plan - UPI'!E37</f>
        <v>Static</v>
      </c>
      <c r="E48" s="408" t="str">
        <f>'Digital Plan - UPI'!F37</f>
        <v>Sports</v>
      </c>
      <c r="F48" s="404" t="str">
        <f>'Digital Plan - UPI'!G37</f>
        <v>Mobile</v>
      </c>
      <c r="G48" s="265" t="str">
        <f>'Digital Plan - UPI'!H37</f>
        <v>ROS</v>
      </c>
      <c r="H48" s="265" t="str">
        <f>'Digital Plan - UPI'!I37</f>
        <v>Standard Banners</v>
      </c>
      <c r="I48" s="308" t="str">
        <f>'Digital Plan - UPI'!J37</f>
        <v>Geo + Demo (MF 18+)</v>
      </c>
      <c r="J48" s="263" t="str">
        <f>'Digital Plan - UPI'!K37</f>
        <v>CPM</v>
      </c>
      <c r="K48" s="266">
        <f>'Digital Plan - UPI'!L37</f>
        <v>13</v>
      </c>
      <c r="L48" s="267">
        <f>'Digital Plan - UPI'!M37</f>
        <v>45460</v>
      </c>
      <c r="M48" s="267">
        <f>'Digital Plan - UPI'!N37</f>
        <v>45472</v>
      </c>
      <c r="N48" s="266">
        <f>'Digital Plan - UPI'!O37</f>
        <v>1014873.6000000001</v>
      </c>
      <c r="O48" s="268" t="str">
        <f>'Digital Plan - UPI'!P37</f>
        <v>-</v>
      </c>
      <c r="P48" s="315">
        <f>'Digital Plan - UPI'!Q37</f>
        <v>5.0000000000000001E-3</v>
      </c>
      <c r="Q48" s="266">
        <f>'Digital Plan - UPI'!R37</f>
        <v>5074.3680000000004</v>
      </c>
      <c r="R48" s="268" t="str">
        <f>'Digital Plan - UPI'!S37</f>
        <v>-</v>
      </c>
      <c r="S48" s="271" t="str">
        <f>'Digital Plan - UPI'!T37</f>
        <v>-</v>
      </c>
      <c r="T48" s="266">
        <f>'Digital Plan - UPI'!U37</f>
        <v>507436.80000000005</v>
      </c>
      <c r="U48" s="266">
        <f>'Digital Plan - UPI'!V37</f>
        <v>2</v>
      </c>
      <c r="V48" s="272">
        <f>'Digital Plan - UPI'!X37</f>
        <v>105</v>
      </c>
      <c r="W48" s="273">
        <f>'Digital Plan - UPI'!Y37</f>
        <v>106561.72800000002</v>
      </c>
      <c r="X48" s="273">
        <f>'Digital Plan - UPI'!Z37</f>
        <v>105.00000000000001</v>
      </c>
      <c r="Y48" s="273">
        <f>'Digital Plan - UPI'!AA37</f>
        <v>21.000000000000004</v>
      </c>
      <c r="Z48" s="274">
        <f>'Digital Plan - UPI'!AB37</f>
        <v>1014873.6000000001</v>
      </c>
      <c r="AA48" s="275">
        <f>'Digital Plan - UPI'!AC37</f>
        <v>0.5</v>
      </c>
      <c r="AB48" s="259"/>
      <c r="AC48" s="266"/>
      <c r="AD48" s="266"/>
      <c r="AE48" s="266">
        <f>N48/K48*2</f>
        <v>156134.40000000002</v>
      </c>
      <c r="AF48" s="266">
        <f>N48/K48*2</f>
        <v>156134.40000000002</v>
      </c>
      <c r="AG48" s="266"/>
      <c r="AH48" s="266"/>
      <c r="AI48" s="266">
        <f>N48/K48*2</f>
        <v>156134.40000000002</v>
      </c>
      <c r="AJ48" s="266"/>
    </row>
    <row r="49" spans="1:36" x14ac:dyDescent="0.35">
      <c r="A49" s="292" t="str">
        <f>'Digital Plan - UPI'!B38</f>
        <v>Bangalore - Seg A</v>
      </c>
      <c r="B49" s="293" t="str">
        <f>'Digital Plan - UPI'!C38</f>
        <v>Core</v>
      </c>
      <c r="C49" s="311" t="str">
        <f>'Digital Plan - UPI'!D38</f>
        <v>NobrokerHood</v>
      </c>
      <c r="D49" s="263" t="str">
        <f>'Digital Plan - UPI'!E38</f>
        <v>Static</v>
      </c>
      <c r="E49" s="408" t="str">
        <f>'Digital Plan - UPI'!F38</f>
        <v>Community</v>
      </c>
      <c r="F49" s="404" t="str">
        <f>'Digital Plan - UPI'!G38</f>
        <v xml:space="preserve">Mobile </v>
      </c>
      <c r="G49" s="265" t="str">
        <f>'Digital Plan - UPI'!H38</f>
        <v>ROS</v>
      </c>
      <c r="H49" s="265" t="str">
        <f>'Digital Plan - UPI'!I38</f>
        <v>PAC</v>
      </c>
      <c r="I49" s="308" t="str">
        <f>'Digital Plan - UPI'!J38</f>
        <v>Reff : Targeting Sheet</v>
      </c>
      <c r="J49" s="263" t="str">
        <f>'Digital Plan - UPI'!K38</f>
        <v xml:space="preserve">CPM </v>
      </c>
      <c r="K49" s="266">
        <f>'Digital Plan - UPI'!L38</f>
        <v>6</v>
      </c>
      <c r="L49" s="267">
        <f>'Digital Plan - UPI'!M38</f>
        <v>45471</v>
      </c>
      <c r="M49" s="267">
        <f>'Digital Plan - UPI'!N38</f>
        <v>45476</v>
      </c>
      <c r="N49" s="266">
        <f>'Digital Plan - UPI'!O38</f>
        <v>720266.57142857136</v>
      </c>
      <c r="O49" s="268" t="str">
        <f>'Digital Plan - UPI'!P38</f>
        <v>-</v>
      </c>
      <c r="P49" s="315">
        <f>'Digital Plan - UPI'!Q38</f>
        <v>0.01</v>
      </c>
      <c r="Q49" s="266">
        <f>'Digital Plan - UPI'!R38</f>
        <v>7202.6657142857139</v>
      </c>
      <c r="R49" s="268" t="str">
        <f>'Digital Plan - UPI'!S38</f>
        <v>-</v>
      </c>
      <c r="S49" s="271" t="str">
        <f>'Digital Plan - UPI'!T38</f>
        <v>-</v>
      </c>
      <c r="T49" s="266">
        <f>'Digital Plan - UPI'!U38</f>
        <v>144053.31428571427</v>
      </c>
      <c r="U49" s="266">
        <f>'Digital Plan - UPI'!V38</f>
        <v>5</v>
      </c>
      <c r="V49" s="272">
        <f>'Digital Plan - UPI'!X38</f>
        <v>260</v>
      </c>
      <c r="W49" s="273">
        <f>'Digital Plan - UPI'!Y38</f>
        <v>187269.30857142856</v>
      </c>
      <c r="X49" s="273">
        <f>'Digital Plan - UPI'!Z38</f>
        <v>260</v>
      </c>
      <c r="Y49" s="273">
        <f>'Digital Plan - UPI'!AA38</f>
        <v>26</v>
      </c>
      <c r="Z49" s="274">
        <f>'Digital Plan - UPI'!AB38</f>
        <v>392145</v>
      </c>
      <c r="AA49" s="275">
        <f>'Digital Plan - UPI'!AC38</f>
        <v>0.36734706367724762</v>
      </c>
      <c r="AB49" s="259"/>
      <c r="AC49" s="266"/>
      <c r="AD49" s="266">
        <f>N49/K49*2</f>
        <v>240088.85714285713</v>
      </c>
      <c r="AE49" s="266">
        <f>N49/K49*2</f>
        <v>240088.85714285713</v>
      </c>
      <c r="AF49" s="266">
        <f>N49/K49*4</f>
        <v>480177.71428571426</v>
      </c>
      <c r="AG49" s="266"/>
      <c r="AH49" s="266"/>
      <c r="AI49" s="266">
        <f>N49/K49*4</f>
        <v>480177.71428571426</v>
      </c>
      <c r="AJ49" s="266">
        <f>N49/K49*2</f>
        <v>240088.85714285713</v>
      </c>
    </row>
    <row r="50" spans="1:36" x14ac:dyDescent="0.35">
      <c r="A50" s="277" t="str">
        <f>'Digital Plan - UPI'!B39</f>
        <v>Bangalore - Seg A</v>
      </c>
      <c r="B50" s="278">
        <f>'Digital Plan - UPI'!C39</f>
        <v>0</v>
      </c>
      <c r="C50" s="279" t="str">
        <f>'Digital Plan - UPI'!D39</f>
        <v>Total</v>
      </c>
      <c r="D50" s="280">
        <f>'Digital Plan - UPI'!E39</f>
        <v>0</v>
      </c>
      <c r="E50" s="405">
        <f>'Digital Plan - UPI'!F39</f>
        <v>0</v>
      </c>
      <c r="F50" s="405">
        <f>'Digital Plan - UPI'!G39</f>
        <v>0</v>
      </c>
      <c r="G50" s="280">
        <f>'Digital Plan - UPI'!H39</f>
        <v>0</v>
      </c>
      <c r="H50" s="281">
        <f>'Digital Plan - UPI'!I39</f>
        <v>0</v>
      </c>
      <c r="I50" s="282">
        <f>'Digital Plan - UPI'!J39</f>
        <v>0</v>
      </c>
      <c r="J50" s="283">
        <f>'Digital Plan - UPI'!K39</f>
        <v>0</v>
      </c>
      <c r="K50" s="284">
        <f>'Digital Plan - UPI'!L39</f>
        <v>0</v>
      </c>
      <c r="L50" s="284">
        <f>'Digital Plan - UPI'!M39</f>
        <v>0</v>
      </c>
      <c r="M50" s="284">
        <f>'Digital Plan - UPI'!N39</f>
        <v>0</v>
      </c>
      <c r="N50" s="284">
        <f>'Digital Plan - UPI'!O39</f>
        <v>30962824.122288495</v>
      </c>
      <c r="O50" s="284">
        <f>'Digital Plan - UPI'!P39</f>
        <v>0</v>
      </c>
      <c r="P50" s="285">
        <f>'Digital Plan - UPI'!Q39</f>
        <v>3.4573058985276749E-3</v>
      </c>
      <c r="Q50" s="284">
        <f>'Digital Plan - UPI'!R39</f>
        <v>107047.954473063</v>
      </c>
      <c r="R50" s="286">
        <f>'Digital Plan - UPI'!S39</f>
        <v>0</v>
      </c>
      <c r="S50" s="316">
        <f>'Digital Plan - UPI'!T39</f>
        <v>19039611.965930324</v>
      </c>
      <c r="T50" s="284">
        <f>'Digital Plan - UPI'!U39</f>
        <v>2889315.4176068921</v>
      </c>
      <c r="U50" s="284">
        <f>'Digital Plan - UPI'!V39</f>
        <v>10.716318451633018</v>
      </c>
      <c r="V50" s="287">
        <f>'Digital Plan - UPI'!X39</f>
        <v>0</v>
      </c>
      <c r="W50" s="317">
        <f>'Digital Plan - UPI'!Y39</f>
        <v>3553781.4635617076</v>
      </c>
      <c r="X50" s="288">
        <f>'Digital Plan - UPI'!Z39</f>
        <v>114.77575332036746</v>
      </c>
      <c r="Y50" s="288">
        <f>'Digital Plan - UPI'!AA39</f>
        <v>33.198032424393155</v>
      </c>
      <c r="Z50" s="284">
        <f>'Digital Plan - UPI'!AB39</f>
        <v>3581645.5819999999</v>
      </c>
      <c r="AA50" s="289">
        <f>'Digital Plan - UPI'!AC39</f>
        <v>0.80670053791126117</v>
      </c>
      <c r="AB50" s="259"/>
      <c r="AC50" s="284"/>
      <c r="AD50" s="284"/>
      <c r="AE50" s="284"/>
      <c r="AF50" s="284"/>
      <c r="AG50" s="284"/>
      <c r="AH50" s="284"/>
      <c r="AI50" s="284"/>
      <c r="AJ50" s="284"/>
    </row>
    <row r="51" spans="1:36" x14ac:dyDescent="0.35">
      <c r="A51" s="292" t="e">
        <f>'Digital Plan - UPI'!#REF!</f>
        <v>#REF!</v>
      </c>
      <c r="B51" s="293" t="e">
        <f>'Digital Plan - UPI'!#REF!</f>
        <v>#REF!</v>
      </c>
      <c r="C51" s="264" t="e">
        <f>'Digital Plan - UPI'!#REF!</f>
        <v>#REF!</v>
      </c>
      <c r="D51" s="264" t="e">
        <f>'Digital Plan - UPI'!#REF!</f>
        <v>#REF!</v>
      </c>
      <c r="E51" s="404" t="e">
        <f>'Digital Plan - UPI'!#REF!</f>
        <v>#REF!</v>
      </c>
      <c r="F51" s="404" t="e">
        <f>'Digital Plan - UPI'!#REF!</f>
        <v>#REF!</v>
      </c>
      <c r="G51" s="265" t="e">
        <f>'Digital Plan - UPI'!#REF!</f>
        <v>#REF!</v>
      </c>
      <c r="H51" s="265" t="e">
        <f>'Digital Plan - UPI'!#REF!</f>
        <v>#REF!</v>
      </c>
      <c r="I51" s="308" t="e">
        <f>'Digital Plan - UPI'!#REF!</f>
        <v>#REF!</v>
      </c>
      <c r="J51" s="263" t="e">
        <f>'Digital Plan - UPI'!#REF!</f>
        <v>#REF!</v>
      </c>
      <c r="K51" s="266" t="e">
        <f>'Digital Plan - UPI'!#REF!</f>
        <v>#REF!</v>
      </c>
      <c r="L51" s="267" t="e">
        <f>'Digital Plan - UPI'!#REF!</f>
        <v>#REF!</v>
      </c>
      <c r="M51" s="267" t="e">
        <f>'Digital Plan - UPI'!#REF!</f>
        <v>#REF!</v>
      </c>
      <c r="N51" s="266" t="e">
        <f>'Digital Plan - UPI'!#REF!</f>
        <v>#REF!</v>
      </c>
      <c r="O51" s="268" t="e">
        <f>'Digital Plan - UPI'!#REF!</f>
        <v>#REF!</v>
      </c>
      <c r="P51" s="269" t="e">
        <f>'Digital Plan - UPI'!#REF!</f>
        <v>#REF!</v>
      </c>
      <c r="Q51" s="266" t="e">
        <f>'Digital Plan - UPI'!#REF!</f>
        <v>#REF!</v>
      </c>
      <c r="R51" s="318" t="e">
        <f>'Digital Plan - UPI'!#REF!</f>
        <v>#REF!</v>
      </c>
      <c r="S51" s="319" t="e">
        <f>'Digital Plan - UPI'!#REF!</f>
        <v>#REF!</v>
      </c>
      <c r="T51" s="266" t="e">
        <f>'Digital Plan - UPI'!#REF!</f>
        <v>#REF!</v>
      </c>
      <c r="U51" s="266" t="e">
        <f>'Digital Plan - UPI'!#REF!</f>
        <v>#REF!</v>
      </c>
      <c r="V51" s="272" t="e">
        <f>'Digital Plan - UPI'!#REF!</f>
        <v>#REF!</v>
      </c>
      <c r="W51" s="273" t="e">
        <f>'Digital Plan - UPI'!#REF!</f>
        <v>#REF!</v>
      </c>
      <c r="X51" s="273" t="e">
        <f>'Digital Plan - UPI'!#REF!</f>
        <v>#REF!</v>
      </c>
      <c r="Y51" s="273" t="e">
        <f>'Digital Plan - UPI'!#REF!</f>
        <v>#REF!</v>
      </c>
      <c r="Z51" s="274" t="e">
        <f>'Digital Plan - UPI'!#REF!</f>
        <v>#REF!</v>
      </c>
      <c r="AA51" s="275" t="e">
        <f>'Digital Plan - UPI'!#REF!</f>
        <v>#REF!</v>
      </c>
      <c r="AB51" s="259"/>
      <c r="AC51" s="266" t="e">
        <f>N51/2</f>
        <v>#REF!</v>
      </c>
      <c r="AD51" s="266" t="e">
        <f>N51/2</f>
        <v>#REF!</v>
      </c>
      <c r="AE51" s="266"/>
      <c r="AF51" s="266"/>
      <c r="AG51" s="266"/>
      <c r="AH51" s="266"/>
      <c r="AI51" s="266"/>
      <c r="AJ51" s="266"/>
    </row>
    <row r="52" spans="1:36" x14ac:dyDescent="0.35">
      <c r="A52" s="292" t="e">
        <f>'Digital Plan - UPI'!#REF!</f>
        <v>#REF!</v>
      </c>
      <c r="B52" s="293" t="e">
        <f>'Digital Plan - UPI'!#REF!</f>
        <v>#REF!</v>
      </c>
      <c r="C52" s="263" t="e">
        <f>'Digital Plan - UPI'!#REF!</f>
        <v>#REF!</v>
      </c>
      <c r="D52" s="263" t="e">
        <f>'Digital Plan - UPI'!#REF!</f>
        <v>#REF!</v>
      </c>
      <c r="E52" s="404" t="e">
        <f>'Digital Plan - UPI'!#REF!</f>
        <v>#REF!</v>
      </c>
      <c r="F52" s="404" t="e">
        <f>'Digital Plan - UPI'!#REF!</f>
        <v>#REF!</v>
      </c>
      <c r="G52" s="265" t="e">
        <f>'Digital Plan - UPI'!#REF!</f>
        <v>#REF!</v>
      </c>
      <c r="H52" s="265" t="e">
        <f>'Digital Plan - UPI'!#REF!</f>
        <v>#REF!</v>
      </c>
      <c r="I52" s="308" t="e">
        <f>'Digital Plan - UPI'!#REF!</f>
        <v>#REF!</v>
      </c>
      <c r="J52" s="263" t="e">
        <f>'Digital Plan - UPI'!#REF!</f>
        <v>#REF!</v>
      </c>
      <c r="K52" s="266" t="e">
        <f>'Digital Plan - UPI'!#REF!</f>
        <v>#REF!</v>
      </c>
      <c r="L52" s="267" t="e">
        <f>'Digital Plan - UPI'!#REF!</f>
        <v>#REF!</v>
      </c>
      <c r="M52" s="267" t="e">
        <f>'Digital Plan - UPI'!#REF!</f>
        <v>#REF!</v>
      </c>
      <c r="N52" s="266" t="e">
        <f>'Digital Plan - UPI'!#REF!</f>
        <v>#REF!</v>
      </c>
      <c r="O52" s="268" t="e">
        <f>'Digital Plan - UPI'!#REF!</f>
        <v>#REF!</v>
      </c>
      <c r="P52" s="269" t="e">
        <f>'Digital Plan - UPI'!#REF!</f>
        <v>#REF!</v>
      </c>
      <c r="Q52" s="266" t="e">
        <f>'Digital Plan - UPI'!#REF!</f>
        <v>#REF!</v>
      </c>
      <c r="R52" s="318" t="e">
        <f>'Digital Plan - UPI'!#REF!</f>
        <v>#REF!</v>
      </c>
      <c r="S52" s="319" t="e">
        <f>'Digital Plan - UPI'!#REF!</f>
        <v>#REF!</v>
      </c>
      <c r="T52" s="266" t="e">
        <f>'Digital Plan - UPI'!#REF!</f>
        <v>#REF!</v>
      </c>
      <c r="U52" s="266" t="e">
        <f>'Digital Plan - UPI'!#REF!</f>
        <v>#REF!</v>
      </c>
      <c r="V52" s="272" t="e">
        <f>'Digital Plan - UPI'!#REF!</f>
        <v>#REF!</v>
      </c>
      <c r="W52" s="273" t="e">
        <f>'Digital Plan - UPI'!#REF!</f>
        <v>#REF!</v>
      </c>
      <c r="X52" s="273" t="e">
        <f>'Digital Plan - UPI'!#REF!</f>
        <v>#REF!</v>
      </c>
      <c r="Y52" s="273" t="e">
        <f>'Digital Plan - UPI'!#REF!</f>
        <v>#REF!</v>
      </c>
      <c r="Z52" s="274" t="e">
        <f>'Digital Plan - UPI'!#REF!</f>
        <v>#REF!</v>
      </c>
      <c r="AA52" s="275" t="e">
        <f>'Digital Plan - UPI'!#REF!</f>
        <v>#REF!</v>
      </c>
      <c r="AB52" s="259"/>
      <c r="AC52" s="266" t="e">
        <f>N52/2</f>
        <v>#REF!</v>
      </c>
      <c r="AD52" s="266" t="e">
        <f>N52/2</f>
        <v>#REF!</v>
      </c>
      <c r="AE52" s="266"/>
      <c r="AF52" s="266"/>
      <c r="AG52" s="266"/>
      <c r="AH52" s="266"/>
      <c r="AI52" s="266"/>
      <c r="AJ52" s="266"/>
    </row>
    <row r="53" spans="1:36" x14ac:dyDescent="0.35">
      <c r="A53" s="292" t="e">
        <f>'Digital Plan - UPI'!#REF!</f>
        <v>#REF!</v>
      </c>
      <c r="B53" s="293" t="e">
        <f>'Digital Plan - UPI'!#REF!</f>
        <v>#REF!</v>
      </c>
      <c r="C53" s="264" t="e">
        <f>'Digital Plan - UPI'!#REF!</f>
        <v>#REF!</v>
      </c>
      <c r="D53" s="264" t="e">
        <f>'Digital Plan - UPI'!#REF!</f>
        <v>#REF!</v>
      </c>
      <c r="E53" s="404" t="e">
        <f>'Digital Plan - UPI'!#REF!</f>
        <v>#REF!</v>
      </c>
      <c r="F53" s="404" t="e">
        <f>'Digital Plan - UPI'!#REF!</f>
        <v>#REF!</v>
      </c>
      <c r="G53" s="265" t="e">
        <f>'Digital Plan - UPI'!#REF!</f>
        <v>#REF!</v>
      </c>
      <c r="H53" s="265" t="e">
        <f>'Digital Plan - UPI'!#REF!</f>
        <v>#REF!</v>
      </c>
      <c r="I53" s="308" t="e">
        <f>'Digital Plan - UPI'!#REF!</f>
        <v>#REF!</v>
      </c>
      <c r="J53" s="263" t="e">
        <f>'Digital Plan - UPI'!#REF!</f>
        <v>#REF!</v>
      </c>
      <c r="K53" s="266" t="e">
        <f>'Digital Plan - UPI'!#REF!</f>
        <v>#REF!</v>
      </c>
      <c r="L53" s="267" t="e">
        <f>'Digital Plan - UPI'!#REF!</f>
        <v>#REF!</v>
      </c>
      <c r="M53" s="267" t="e">
        <f>'Digital Plan - UPI'!#REF!</f>
        <v>#REF!</v>
      </c>
      <c r="N53" s="266" t="e">
        <f>'Digital Plan - UPI'!#REF!</f>
        <v>#REF!</v>
      </c>
      <c r="O53" s="268" t="e">
        <f>'Digital Plan - UPI'!#REF!</f>
        <v>#REF!</v>
      </c>
      <c r="P53" s="269" t="e">
        <f>'Digital Plan - UPI'!#REF!</f>
        <v>#REF!</v>
      </c>
      <c r="Q53" s="266" t="e">
        <f>'Digital Plan - UPI'!#REF!</f>
        <v>#REF!</v>
      </c>
      <c r="R53" s="318" t="e">
        <f>'Digital Plan - UPI'!#REF!</f>
        <v>#REF!</v>
      </c>
      <c r="S53" s="319" t="e">
        <f>'Digital Plan - UPI'!#REF!</f>
        <v>#REF!</v>
      </c>
      <c r="T53" s="266" t="e">
        <f>'Digital Plan - UPI'!#REF!</f>
        <v>#REF!</v>
      </c>
      <c r="U53" s="266" t="e">
        <f>'Digital Plan - UPI'!#REF!</f>
        <v>#REF!</v>
      </c>
      <c r="V53" s="272" t="e">
        <f>'Digital Plan - UPI'!#REF!</f>
        <v>#REF!</v>
      </c>
      <c r="W53" s="273" t="e">
        <f>'Digital Plan - UPI'!#REF!</f>
        <v>#REF!</v>
      </c>
      <c r="X53" s="273" t="e">
        <f>'Digital Plan - UPI'!#REF!</f>
        <v>#REF!</v>
      </c>
      <c r="Y53" s="273" t="e">
        <f>'Digital Plan - UPI'!#REF!</f>
        <v>#REF!</v>
      </c>
      <c r="Z53" s="274" t="e">
        <f>'Digital Plan - UPI'!#REF!</f>
        <v>#REF!</v>
      </c>
      <c r="AA53" s="275" t="e">
        <f>'Digital Plan - UPI'!#REF!</f>
        <v>#REF!</v>
      </c>
      <c r="AB53" s="259"/>
      <c r="AC53" s="266"/>
      <c r="AD53" s="266"/>
      <c r="AE53" s="266" t="e">
        <f>$N53/3</f>
        <v>#REF!</v>
      </c>
      <c r="AF53" s="266" t="e">
        <f t="shared" ref="AF53:AJ56" si="16">$N53/3</f>
        <v>#REF!</v>
      </c>
      <c r="AG53" s="266" t="e">
        <f t="shared" si="16"/>
        <v>#REF!</v>
      </c>
      <c r="AH53" s="266"/>
      <c r="AI53" s="266"/>
      <c r="AJ53" s="266"/>
    </row>
    <row r="54" spans="1:36" x14ac:dyDescent="0.35">
      <c r="A54" s="292" t="str">
        <f>'Digital Plan - UPI'!B40</f>
        <v>Bangalore - Seg B</v>
      </c>
      <c r="B54" s="293" t="str">
        <f>'Digital Plan - UPI'!C40</f>
        <v>Core</v>
      </c>
      <c r="C54" s="264" t="str">
        <f>'Digital Plan - UPI'!D40</f>
        <v>PMP OTT PG Deal</v>
      </c>
      <c r="D54" s="264" t="str">
        <f>'Digital Plan - UPI'!E40</f>
        <v>Video</v>
      </c>
      <c r="E54" s="404" t="str">
        <f>'Digital Plan - UPI'!F40</f>
        <v xml:space="preserve">Entertainment </v>
      </c>
      <c r="F54" s="404" t="str">
        <f>'Digital Plan - UPI'!G40</f>
        <v>Mobile</v>
      </c>
      <c r="G54" s="265" t="str">
        <f>'Digital Plan - UPI'!H40</f>
        <v>Instream</v>
      </c>
      <c r="H54" s="265" t="str">
        <f>'Digital Plan - UPI'!I40</f>
        <v xml:space="preserve">Video-6 Sec </v>
      </c>
      <c r="I54" s="308" t="str">
        <f>'Digital Plan - UPI'!J40</f>
        <v>Reff : Targeting Sheet</v>
      </c>
      <c r="J54" s="263" t="str">
        <f>'Digital Plan - UPI'!K40</f>
        <v>CPM</v>
      </c>
      <c r="K54" s="266">
        <f>'Digital Plan - UPI'!L40</f>
        <v>21</v>
      </c>
      <c r="L54" s="267">
        <f>'Digital Plan - UPI'!M40</f>
        <v>45460</v>
      </c>
      <c r="M54" s="267">
        <f>'Digital Plan - UPI'!N40</f>
        <v>45480</v>
      </c>
      <c r="N54" s="266">
        <f>'Digital Plan - UPI'!O40</f>
        <v>1854039.6081349996</v>
      </c>
      <c r="O54" s="268" t="str">
        <f>'Digital Plan - UPI'!P40</f>
        <v>-</v>
      </c>
      <c r="P54" s="269">
        <f>'Digital Plan - UPI'!Q40</f>
        <v>2E-3</v>
      </c>
      <c r="Q54" s="266">
        <f>'Digital Plan - UPI'!R40</f>
        <v>3708.0792162699995</v>
      </c>
      <c r="R54" s="318">
        <f>'Digital Plan - UPI'!S40</f>
        <v>0.85</v>
      </c>
      <c r="S54" s="319">
        <f>'Digital Plan - UPI'!T40</f>
        <v>1575933.6669147497</v>
      </c>
      <c r="T54" s="266">
        <f>'Digital Plan - UPI'!U40</f>
        <v>590458.47392834385</v>
      </c>
      <c r="U54" s="266">
        <f>'Digital Plan - UPI'!V40</f>
        <v>3.14</v>
      </c>
      <c r="V54" s="272">
        <f>'Digital Plan - UPI'!X40</f>
        <v>80</v>
      </c>
      <c r="W54" s="273">
        <f>'Digital Plan - UPI'!Y40</f>
        <v>148323.16865079998</v>
      </c>
      <c r="X54" s="273">
        <f>'Digital Plan - UPI'!Z40</f>
        <v>80</v>
      </c>
      <c r="Y54" s="273">
        <f>'Digital Plan - UPI'!AA40</f>
        <v>40</v>
      </c>
      <c r="Z54" s="274">
        <f>'Digital Plan - UPI'!AB40</f>
        <v>1215728.8</v>
      </c>
      <c r="AA54" s="275">
        <f>'Digital Plan - UPI'!AC40</f>
        <v>0.48568272292993619</v>
      </c>
      <c r="AB54" s="259"/>
      <c r="AC54" s="266"/>
      <c r="AD54" s="266"/>
      <c r="AE54" s="266"/>
      <c r="AF54" s="266"/>
      <c r="AG54" s="266"/>
      <c r="AH54" s="266">
        <f>$N54/3</f>
        <v>618013.20271166658</v>
      </c>
      <c r="AI54" s="266">
        <f t="shared" si="16"/>
        <v>618013.20271166658</v>
      </c>
      <c r="AJ54" s="266">
        <f t="shared" si="16"/>
        <v>618013.20271166658</v>
      </c>
    </row>
    <row r="55" spans="1:36" x14ac:dyDescent="0.35">
      <c r="A55" s="292" t="e">
        <f>'Digital Plan - UPI'!#REF!</f>
        <v>#REF!</v>
      </c>
      <c r="B55" s="293" t="e">
        <f>'Digital Plan - UPI'!#REF!</f>
        <v>#REF!</v>
      </c>
      <c r="C55" s="263" t="e">
        <f>'Digital Plan - UPI'!#REF!</f>
        <v>#REF!</v>
      </c>
      <c r="D55" s="263" t="e">
        <f>'Digital Plan - UPI'!#REF!</f>
        <v>#REF!</v>
      </c>
      <c r="E55" s="404" t="e">
        <f>'Digital Plan - UPI'!#REF!</f>
        <v>#REF!</v>
      </c>
      <c r="F55" s="404" t="e">
        <f>'Digital Plan - UPI'!#REF!</f>
        <v>#REF!</v>
      </c>
      <c r="G55" s="265" t="e">
        <f>'Digital Plan - UPI'!#REF!</f>
        <v>#REF!</v>
      </c>
      <c r="H55" s="265" t="e">
        <f>'Digital Plan - UPI'!#REF!</f>
        <v>#REF!</v>
      </c>
      <c r="I55" s="308" t="e">
        <f>'Digital Plan - UPI'!#REF!</f>
        <v>#REF!</v>
      </c>
      <c r="J55" s="263" t="e">
        <f>'Digital Plan - UPI'!#REF!</f>
        <v>#REF!</v>
      </c>
      <c r="K55" s="266" t="e">
        <f>'Digital Plan - UPI'!#REF!</f>
        <v>#REF!</v>
      </c>
      <c r="L55" s="267" t="e">
        <f>'Digital Plan - UPI'!#REF!</f>
        <v>#REF!</v>
      </c>
      <c r="M55" s="267" t="e">
        <f>'Digital Plan - UPI'!#REF!</f>
        <v>#REF!</v>
      </c>
      <c r="N55" s="266" t="e">
        <f>'Digital Plan - UPI'!#REF!</f>
        <v>#REF!</v>
      </c>
      <c r="O55" s="268" t="e">
        <f>'Digital Plan - UPI'!#REF!</f>
        <v>#REF!</v>
      </c>
      <c r="P55" s="269" t="e">
        <f>'Digital Plan - UPI'!#REF!</f>
        <v>#REF!</v>
      </c>
      <c r="Q55" s="266" t="e">
        <f>'Digital Plan - UPI'!#REF!</f>
        <v>#REF!</v>
      </c>
      <c r="R55" s="318" t="e">
        <f>'Digital Plan - UPI'!#REF!</f>
        <v>#REF!</v>
      </c>
      <c r="S55" s="319" t="e">
        <f>'Digital Plan - UPI'!#REF!</f>
        <v>#REF!</v>
      </c>
      <c r="T55" s="266" t="e">
        <f>'Digital Plan - UPI'!#REF!</f>
        <v>#REF!</v>
      </c>
      <c r="U55" s="266" t="e">
        <f>'Digital Plan - UPI'!#REF!</f>
        <v>#REF!</v>
      </c>
      <c r="V55" s="272" t="e">
        <f>'Digital Plan - UPI'!#REF!</f>
        <v>#REF!</v>
      </c>
      <c r="W55" s="273" t="e">
        <f>'Digital Plan - UPI'!#REF!</f>
        <v>#REF!</v>
      </c>
      <c r="X55" s="273" t="e">
        <f>'Digital Plan - UPI'!#REF!</f>
        <v>#REF!</v>
      </c>
      <c r="Y55" s="273" t="e">
        <f>'Digital Plan - UPI'!#REF!</f>
        <v>#REF!</v>
      </c>
      <c r="Z55" s="274" t="e">
        <f>'Digital Plan - UPI'!#REF!</f>
        <v>#REF!</v>
      </c>
      <c r="AA55" s="275" t="e">
        <f>'Digital Plan - UPI'!#REF!</f>
        <v>#REF!</v>
      </c>
      <c r="AB55" s="259"/>
      <c r="AC55" s="266"/>
      <c r="AD55" s="266"/>
      <c r="AE55" s="266" t="e">
        <f>$N55/3</f>
        <v>#REF!</v>
      </c>
      <c r="AF55" s="266" t="e">
        <f t="shared" si="16"/>
        <v>#REF!</v>
      </c>
      <c r="AG55" s="266" t="e">
        <f t="shared" si="16"/>
        <v>#REF!</v>
      </c>
      <c r="AH55" s="266"/>
      <c r="AI55" s="266"/>
      <c r="AJ55" s="266"/>
    </row>
    <row r="56" spans="1:36" x14ac:dyDescent="0.35">
      <c r="A56" s="292" t="str">
        <f>'Digital Plan - UPI'!B42</f>
        <v>Bangalore - Seg B</v>
      </c>
      <c r="B56" s="293" t="str">
        <f>'Digital Plan - UPI'!C42</f>
        <v>Core</v>
      </c>
      <c r="C56" s="263" t="str">
        <f>'Digital Plan - UPI'!D42</f>
        <v xml:space="preserve">YouTube </v>
      </c>
      <c r="D56" s="263" t="str">
        <f>'Digital Plan - UPI'!E42</f>
        <v>Video</v>
      </c>
      <c r="E56" s="404" t="str">
        <f>'Digital Plan - UPI'!F42</f>
        <v xml:space="preserve">Entertainment </v>
      </c>
      <c r="F56" s="404" t="str">
        <f>'Digital Plan - UPI'!G42</f>
        <v>Mobile</v>
      </c>
      <c r="G56" s="265" t="str">
        <f>'Digital Plan - UPI'!H42</f>
        <v>Instream</v>
      </c>
      <c r="H56" s="265" t="str">
        <f>'Digital Plan - UPI'!I42</f>
        <v xml:space="preserve">Bumper 6 secs  </v>
      </c>
      <c r="I56" s="308" t="str">
        <f>'Digital Plan - UPI'!J42</f>
        <v>Reff : Targeting Sheet</v>
      </c>
      <c r="J56" s="263" t="str">
        <f>'Digital Plan - UPI'!K42</f>
        <v>CPM</v>
      </c>
      <c r="K56" s="266">
        <f>'Digital Plan - UPI'!L42</f>
        <v>21</v>
      </c>
      <c r="L56" s="267">
        <f>'Digital Plan - UPI'!M42</f>
        <v>45460</v>
      </c>
      <c r="M56" s="267">
        <f>'Digital Plan - UPI'!N42</f>
        <v>45480</v>
      </c>
      <c r="N56" s="266">
        <f>'Digital Plan - UPI'!O42</f>
        <v>12515029.052418752</v>
      </c>
      <c r="O56" s="268" t="str">
        <f>'Digital Plan - UPI'!P42</f>
        <v>-</v>
      </c>
      <c r="P56" s="269">
        <f>'Digital Plan - UPI'!Q42</f>
        <v>1E-3</v>
      </c>
      <c r="Q56" s="266">
        <f>'Digital Plan - UPI'!R42</f>
        <v>12515.029052418751</v>
      </c>
      <c r="R56" s="318">
        <f>'Digital Plan - UPI'!S42</f>
        <v>0.8</v>
      </c>
      <c r="S56" s="319">
        <f>'Digital Plan - UPI'!T42</f>
        <v>10012023.241935002</v>
      </c>
      <c r="T56" s="266">
        <f>'Digital Plan - UPI'!U42</f>
        <v>3067409.0814751843</v>
      </c>
      <c r="U56" s="266">
        <f>'Digital Plan - UPI'!V42</f>
        <v>4.08</v>
      </c>
      <c r="V56" s="272">
        <f>'Digital Plan - UPI'!X42</f>
        <v>80</v>
      </c>
      <c r="W56" s="273">
        <f>'Digital Plan - UPI'!Y42</f>
        <v>1001202.3241935001</v>
      </c>
      <c r="X56" s="273">
        <f>'Digital Plan - UPI'!Z42</f>
        <v>80</v>
      </c>
      <c r="Y56" s="273">
        <f>'Digital Plan - UPI'!AA42</f>
        <v>80</v>
      </c>
      <c r="Z56" s="274">
        <f>'Digital Plan - UPI'!AB42</f>
        <v>4973540</v>
      </c>
      <c r="AA56" s="275">
        <f>'Digital Plan - UPI'!AC42</f>
        <v>0.61674563419117656</v>
      </c>
      <c r="AB56" s="259"/>
      <c r="AC56" s="266"/>
      <c r="AD56" s="266"/>
      <c r="AE56" s="266"/>
      <c r="AF56" s="266"/>
      <c r="AG56" s="266"/>
      <c r="AH56" s="266">
        <f>$N56/3</f>
        <v>4171676.3508062507</v>
      </c>
      <c r="AI56" s="266">
        <f t="shared" si="16"/>
        <v>4171676.3508062507</v>
      </c>
      <c r="AJ56" s="266">
        <f t="shared" si="16"/>
        <v>4171676.3508062507</v>
      </c>
    </row>
    <row r="57" spans="1:36" x14ac:dyDescent="0.35">
      <c r="A57" s="292" t="str">
        <f>'Digital Plan - UPI'!B43</f>
        <v>Bangalore - Seg B</v>
      </c>
      <c r="B57" s="293" t="str">
        <f>'Digital Plan - UPI'!C43</f>
        <v>Core</v>
      </c>
      <c r="C57" s="263" t="str">
        <f>'Digital Plan - UPI'!D43</f>
        <v xml:space="preserve">DSP </v>
      </c>
      <c r="D57" s="263" t="str">
        <f>'Digital Plan - UPI'!E43</f>
        <v>Static</v>
      </c>
      <c r="E57" s="404" t="str">
        <f>'Digital Plan - UPI'!F43</f>
        <v xml:space="preserve">Network </v>
      </c>
      <c r="F57" s="404" t="str">
        <f>'Digital Plan - UPI'!G43</f>
        <v>Mobile</v>
      </c>
      <c r="G57" s="265" t="str">
        <f>'Digital Plan - UPI'!H43</f>
        <v>ROS</v>
      </c>
      <c r="H57" s="265" t="str">
        <f>'Digital Plan - UPI'!I43</f>
        <v>Large Formats</v>
      </c>
      <c r="I57" s="309" t="str">
        <f>'Digital Plan - UPI'!J43</f>
        <v>Reff : Targeting Sheet</v>
      </c>
      <c r="J57" s="263" t="str">
        <f>'Digital Plan - UPI'!K43</f>
        <v>CPM</v>
      </c>
      <c r="K57" s="266">
        <f>'Digital Plan - UPI'!L43</f>
        <v>21</v>
      </c>
      <c r="L57" s="267">
        <f>'Digital Plan - UPI'!M43</f>
        <v>45460</v>
      </c>
      <c r="M57" s="267">
        <f>'Digital Plan - UPI'!N43</f>
        <v>45480</v>
      </c>
      <c r="N57" s="266">
        <f>'Digital Plan - UPI'!O43</f>
        <v>1293553.4028580021</v>
      </c>
      <c r="O57" s="268" t="str">
        <f>'Digital Plan - UPI'!P43</f>
        <v>-</v>
      </c>
      <c r="P57" s="269">
        <f>'Digital Plan - UPI'!Q43</f>
        <v>1.4999999999999999E-2</v>
      </c>
      <c r="Q57" s="266">
        <f>'Digital Plan - UPI'!R43</f>
        <v>19403.301042870033</v>
      </c>
      <c r="R57" s="268" t="str">
        <f>'Digital Plan - UPI'!S43</f>
        <v>-</v>
      </c>
      <c r="S57" s="271" t="str">
        <f>'Digital Plan - UPI'!T43</f>
        <v>-</v>
      </c>
      <c r="T57" s="266">
        <f>'Digital Plan - UPI'!U43</f>
        <v>1521827.5327741201</v>
      </c>
      <c r="U57" s="266">
        <f>'Digital Plan - UPI'!V43</f>
        <v>0.85</v>
      </c>
      <c r="V57" s="272">
        <f>'Digital Plan - UPI'!X43</f>
        <v>105</v>
      </c>
      <c r="W57" s="273">
        <f>'Digital Plan - UPI'!Y43</f>
        <v>135823.10730009023</v>
      </c>
      <c r="X57" s="273">
        <f>'Digital Plan - UPI'!Z43</f>
        <v>105</v>
      </c>
      <c r="Y57" s="273">
        <f>'Digital Plan - UPI'!AA43</f>
        <v>7</v>
      </c>
      <c r="Z57" s="274">
        <f>'Digital Plan - UPI'!AB43</f>
        <v>4724863</v>
      </c>
      <c r="AA57" s="275">
        <f>'Digital Plan - UPI'!AC43</f>
        <v>0.32208924</v>
      </c>
      <c r="AB57" s="259"/>
      <c r="AC57" s="266">
        <f t="shared" ref="AC57:AC60" si="17">$N57*20%</f>
        <v>258710.68057160045</v>
      </c>
      <c r="AD57" s="266">
        <f t="shared" ref="AD57:AF60" si="18">$N57*15%</f>
        <v>194033.01042870031</v>
      </c>
      <c r="AE57" s="266">
        <f t="shared" si="18"/>
        <v>194033.01042870031</v>
      </c>
      <c r="AF57" s="266">
        <f t="shared" si="18"/>
        <v>194033.01042870031</v>
      </c>
      <c r="AG57" s="266">
        <f t="shared" ref="AG57:AI60" si="19">$N57*10%</f>
        <v>129355.34028580022</v>
      </c>
      <c r="AH57" s="266">
        <f t="shared" si="19"/>
        <v>129355.34028580022</v>
      </c>
      <c r="AI57" s="266">
        <f t="shared" si="19"/>
        <v>129355.34028580022</v>
      </c>
      <c r="AJ57" s="266">
        <f t="shared" ref="AJ57:AJ60" si="20">$N57*5%</f>
        <v>64677.670142900111</v>
      </c>
    </row>
    <row r="58" spans="1:36" x14ac:dyDescent="0.35">
      <c r="A58" s="292" t="str">
        <f>'Digital Plan - UPI'!B44</f>
        <v>Bangalore - Seg B</v>
      </c>
      <c r="B58" s="293" t="str">
        <f>'Digital Plan - UPI'!C44</f>
        <v>Core</v>
      </c>
      <c r="C58" s="310" t="str">
        <f>'Digital Plan - UPI'!D44</f>
        <v>Mediakart</v>
      </c>
      <c r="D58" s="263" t="str">
        <f>'Digital Plan - UPI'!E44</f>
        <v>Static</v>
      </c>
      <c r="E58" s="408" t="str">
        <f>'Digital Plan - UPI'!F44</f>
        <v xml:space="preserve">Network </v>
      </c>
      <c r="F58" s="404" t="str">
        <f>'Digital Plan - UPI'!G44</f>
        <v xml:space="preserve">Mobile </v>
      </c>
      <c r="G58" s="265" t="str">
        <f>'Digital Plan - UPI'!H44</f>
        <v>ROS</v>
      </c>
      <c r="H58" s="265" t="str">
        <f>'Digital Plan - UPI'!I44</f>
        <v>Interstitial Static banner</v>
      </c>
      <c r="I58" s="309" t="str">
        <f>'Digital Plan - UPI'!J44</f>
        <v>Reff : Targeting Sheet</v>
      </c>
      <c r="J58" s="263" t="str">
        <f>'Digital Plan - UPI'!K44</f>
        <v xml:space="preserve">CPM </v>
      </c>
      <c r="K58" s="266">
        <f>'Digital Plan - UPI'!L44</f>
        <v>21</v>
      </c>
      <c r="L58" s="267">
        <f>'Digital Plan - UPI'!M44</f>
        <v>45460</v>
      </c>
      <c r="M58" s="267">
        <f>'Digital Plan - UPI'!N44</f>
        <v>45480</v>
      </c>
      <c r="N58" s="266">
        <f>'Digital Plan - UPI'!O44</f>
        <v>690937.97452242498</v>
      </c>
      <c r="O58" s="268" t="str">
        <f>'Digital Plan - UPI'!P44</f>
        <v>-</v>
      </c>
      <c r="P58" s="269">
        <f>'Digital Plan - UPI'!Q44</f>
        <v>1.4999999999999999E-2</v>
      </c>
      <c r="Q58" s="266">
        <f>'Digital Plan - UPI'!R44</f>
        <v>10364.069617836374</v>
      </c>
      <c r="R58" s="268" t="str">
        <f>'Digital Plan - UPI'!S44</f>
        <v>-</v>
      </c>
      <c r="S58" s="271" t="str">
        <f>'Digital Plan - UPI'!T44</f>
        <v>-</v>
      </c>
      <c r="T58" s="266">
        <f>'Digital Plan - UPI'!U44</f>
        <v>812868.20532049995</v>
      </c>
      <c r="U58" s="266">
        <f>'Digital Plan - UPI'!V44</f>
        <v>0.85</v>
      </c>
      <c r="V58" s="272">
        <f>'Digital Plan - UPI'!X44</f>
        <v>120</v>
      </c>
      <c r="W58" s="273">
        <f>'Digital Plan - UPI'!Y44</f>
        <v>82912.556942690993</v>
      </c>
      <c r="X58" s="273">
        <f>'Digital Plan - UPI'!Z44</f>
        <v>120</v>
      </c>
      <c r="Y58" s="273">
        <f>'Digital Plan - UPI'!AA44</f>
        <v>8</v>
      </c>
      <c r="Z58" s="274">
        <f>'Digital Plan - UPI'!AB44</f>
        <v>1903618</v>
      </c>
      <c r="AA58" s="275">
        <f>'Digital Plan - UPI'!AC44</f>
        <v>0.42701224999999998</v>
      </c>
      <c r="AB58" s="259"/>
      <c r="AC58" s="266">
        <f t="shared" si="17"/>
        <v>138187.59490448501</v>
      </c>
      <c r="AD58" s="266">
        <f t="shared" si="18"/>
        <v>103640.69617836374</v>
      </c>
      <c r="AE58" s="266">
        <f t="shared" si="18"/>
        <v>103640.69617836374</v>
      </c>
      <c r="AF58" s="266">
        <f t="shared" si="18"/>
        <v>103640.69617836374</v>
      </c>
      <c r="AG58" s="266">
        <f t="shared" si="19"/>
        <v>69093.797452242507</v>
      </c>
      <c r="AH58" s="266">
        <f t="shared" si="19"/>
        <v>69093.797452242507</v>
      </c>
      <c r="AI58" s="266">
        <f t="shared" si="19"/>
        <v>69093.797452242507</v>
      </c>
      <c r="AJ58" s="266">
        <f t="shared" si="20"/>
        <v>34546.898726121253</v>
      </c>
    </row>
    <row r="59" spans="1:36" x14ac:dyDescent="0.35">
      <c r="A59" s="292" t="str">
        <f>'Digital Plan - UPI'!B45</f>
        <v>Bangalore - Seg B</v>
      </c>
      <c r="B59" s="293" t="str">
        <f>'Digital Plan - UPI'!C45</f>
        <v>Core</v>
      </c>
      <c r="C59" s="310" t="str">
        <f>'Digital Plan - UPI'!D45</f>
        <v>Dailyhunt</v>
      </c>
      <c r="D59" s="311" t="str">
        <f>'Digital Plan - UPI'!E45</f>
        <v>Static</v>
      </c>
      <c r="E59" s="408" t="str">
        <f>'Digital Plan - UPI'!F45</f>
        <v>News</v>
      </c>
      <c r="F59" s="404" t="str">
        <f>'Digital Plan - UPI'!G45</f>
        <v xml:space="preserve">Mobile </v>
      </c>
      <c r="G59" s="310" t="str">
        <f>'Digital Plan - UPI'!H45</f>
        <v>ROS</v>
      </c>
      <c r="H59" s="263" t="str">
        <f>'Digital Plan - UPI'!I45</f>
        <v>Page Insert - Innovation</v>
      </c>
      <c r="I59" s="309" t="str">
        <f>'Digital Plan - UPI'!J45</f>
        <v>Reff : Targeting Sheet</v>
      </c>
      <c r="J59" s="263" t="str">
        <f>'Digital Plan - UPI'!K45</f>
        <v>CPM</v>
      </c>
      <c r="K59" s="266">
        <f>'Digital Plan - UPI'!L45</f>
        <v>21</v>
      </c>
      <c r="L59" s="267">
        <f>'Digital Plan - UPI'!M45</f>
        <v>45460</v>
      </c>
      <c r="M59" s="267">
        <f>'Digital Plan - UPI'!N45</f>
        <v>45480</v>
      </c>
      <c r="N59" s="266">
        <f>'Digital Plan - UPI'!O45</f>
        <v>558471.38569885527</v>
      </c>
      <c r="O59" s="268" t="str">
        <f>'Digital Plan - UPI'!P45</f>
        <v>-</v>
      </c>
      <c r="P59" s="312">
        <f>'Digital Plan - UPI'!Q45</f>
        <v>0.01</v>
      </c>
      <c r="Q59" s="266">
        <f>'Digital Plan - UPI'!R45</f>
        <v>5584.7138569885528</v>
      </c>
      <c r="R59" s="268" t="str">
        <f>'Digital Plan - UPI'!S45</f>
        <v>-</v>
      </c>
      <c r="S59" s="271" t="str">
        <f>'Digital Plan - UPI'!T45</f>
        <v>-</v>
      </c>
      <c r="T59" s="266">
        <f>'Digital Plan - UPI'!U45</f>
        <v>657025.15964571212</v>
      </c>
      <c r="U59" s="266">
        <f>'Digital Plan - UPI'!V45</f>
        <v>0.85</v>
      </c>
      <c r="V59" s="272">
        <f>'Digital Plan - UPI'!X45</f>
        <v>200</v>
      </c>
      <c r="W59" s="273">
        <f>'Digital Plan - UPI'!Y45</f>
        <v>111694.27713977106</v>
      </c>
      <c r="X59" s="273">
        <f>'Digital Plan - UPI'!Z45</f>
        <v>200</v>
      </c>
      <c r="Y59" s="273">
        <f>'Digital Plan - UPI'!AA45</f>
        <v>20</v>
      </c>
      <c r="Z59" s="274">
        <f>'Digital Plan - UPI'!AB45</f>
        <v>2781662</v>
      </c>
      <c r="AA59" s="275">
        <f>'Digital Plan - UPI'!AC45</f>
        <v>0.23619877600000003</v>
      </c>
      <c r="AB59" s="259"/>
      <c r="AC59" s="266">
        <f t="shared" si="17"/>
        <v>111694.27713977106</v>
      </c>
      <c r="AD59" s="266">
        <f t="shared" si="18"/>
        <v>83770.707854828288</v>
      </c>
      <c r="AE59" s="266">
        <f t="shared" si="18"/>
        <v>83770.707854828288</v>
      </c>
      <c r="AF59" s="266">
        <f t="shared" si="18"/>
        <v>83770.707854828288</v>
      </c>
      <c r="AG59" s="266">
        <f t="shared" si="19"/>
        <v>55847.13856988553</v>
      </c>
      <c r="AH59" s="266">
        <f t="shared" si="19"/>
        <v>55847.13856988553</v>
      </c>
      <c r="AI59" s="266">
        <f t="shared" si="19"/>
        <v>55847.13856988553</v>
      </c>
      <c r="AJ59" s="266">
        <f t="shared" si="20"/>
        <v>27923.569284942765</v>
      </c>
    </row>
    <row r="60" spans="1:36" x14ac:dyDescent="0.35">
      <c r="A60" s="292" t="str">
        <f>'Digital Plan - UPI'!B46</f>
        <v>Bangalore - Seg B</v>
      </c>
      <c r="B60" s="293" t="str">
        <f>'Digital Plan - UPI'!C46</f>
        <v>Core</v>
      </c>
      <c r="C60" s="310" t="str">
        <f>'Digital Plan - UPI'!D46</f>
        <v>Zee Digital</v>
      </c>
      <c r="D60" s="263" t="str">
        <f>'Digital Plan - UPI'!E46</f>
        <v>Static</v>
      </c>
      <c r="E60" s="408" t="str">
        <f>'Digital Plan - UPI'!F46</f>
        <v>News</v>
      </c>
      <c r="F60" s="404" t="str">
        <f>'Digital Plan - UPI'!G46</f>
        <v>Mobile</v>
      </c>
      <c r="G60" s="265" t="str">
        <f>'Digital Plan - UPI'!H46</f>
        <v>ROS</v>
      </c>
      <c r="H60" s="265" t="str">
        <f>'Digital Plan - UPI'!I46</f>
        <v>Standard Banners</v>
      </c>
      <c r="I60" s="309" t="str">
        <f>'Digital Plan - UPI'!J46</f>
        <v>Reff : Targeting Sheet</v>
      </c>
      <c r="J60" s="263" t="str">
        <f>'Digital Plan - UPI'!K46</f>
        <v>CPM</v>
      </c>
      <c r="K60" s="266">
        <f>'Digital Plan - UPI'!L46</f>
        <v>21</v>
      </c>
      <c r="L60" s="267">
        <f>'Digital Plan - UPI'!M46</f>
        <v>45460</v>
      </c>
      <c r="M60" s="267">
        <f>'Digital Plan - UPI'!N46</f>
        <v>45480</v>
      </c>
      <c r="N60" s="266">
        <f>'Digital Plan - UPI'!O46</f>
        <v>4615384.615384615</v>
      </c>
      <c r="O60" s="268" t="str">
        <f>'Digital Plan - UPI'!P46</f>
        <v>-</v>
      </c>
      <c r="P60" s="269">
        <f>'Digital Plan - UPI'!Q46</f>
        <v>3.0000000000000001E-3</v>
      </c>
      <c r="Q60" s="266">
        <f>'Digital Plan - UPI'!R46</f>
        <v>13846.153846153846</v>
      </c>
      <c r="R60" s="268" t="str">
        <f>'Digital Plan - UPI'!S46</f>
        <v>-</v>
      </c>
      <c r="S60" s="271" t="str">
        <f>'Digital Plan - UPI'!T46</f>
        <v>-</v>
      </c>
      <c r="T60" s="266">
        <f>'Digital Plan - UPI'!U46</f>
        <v>923076.92307692301</v>
      </c>
      <c r="U60" s="266">
        <f>'Digital Plan - UPI'!V46</f>
        <v>5</v>
      </c>
      <c r="V60" s="272">
        <f>'Digital Plan - UPI'!X46</f>
        <v>65</v>
      </c>
      <c r="W60" s="273">
        <f>'Digital Plan - UPI'!Y46</f>
        <v>300000</v>
      </c>
      <c r="X60" s="273">
        <f>'Digital Plan - UPI'!Z46</f>
        <v>65</v>
      </c>
      <c r="Y60" s="273">
        <f>'Digital Plan - UPI'!AA46</f>
        <v>21.666666666666668</v>
      </c>
      <c r="Z60" s="274">
        <f>'Digital Plan - UPI'!AB46</f>
        <v>1498058.6725384621</v>
      </c>
      <c r="AA60" s="275">
        <f>'Digital Plan - UPI'!AC46</f>
        <v>0.61618208952575149</v>
      </c>
      <c r="AB60" s="259"/>
      <c r="AC60" s="266">
        <f t="shared" si="17"/>
        <v>923076.92307692301</v>
      </c>
      <c r="AD60" s="266">
        <f t="shared" si="18"/>
        <v>692307.69230769225</v>
      </c>
      <c r="AE60" s="266">
        <f t="shared" si="18"/>
        <v>692307.69230769225</v>
      </c>
      <c r="AF60" s="266">
        <f t="shared" si="18"/>
        <v>692307.69230769225</v>
      </c>
      <c r="AG60" s="266">
        <f t="shared" si="19"/>
        <v>461538.4615384615</v>
      </c>
      <c r="AH60" s="266">
        <f t="shared" si="19"/>
        <v>461538.4615384615</v>
      </c>
      <c r="AI60" s="266">
        <f t="shared" si="19"/>
        <v>461538.4615384615</v>
      </c>
      <c r="AJ60" s="266">
        <f t="shared" si="20"/>
        <v>230769.23076923075</v>
      </c>
    </row>
    <row r="61" spans="1:36" x14ac:dyDescent="0.35">
      <c r="A61" s="277" t="str">
        <f>'Digital Plan - UPI'!B47</f>
        <v>Bangalore - Seg B</v>
      </c>
      <c r="B61" s="278">
        <f>'Digital Plan - UPI'!C47</f>
        <v>0</v>
      </c>
      <c r="C61" s="279" t="str">
        <f>'Digital Plan - UPI'!D47</f>
        <v>Total</v>
      </c>
      <c r="D61" s="280">
        <f>'Digital Plan - UPI'!E47</f>
        <v>0</v>
      </c>
      <c r="E61" s="405">
        <f>'Digital Plan - UPI'!F47</f>
        <v>0</v>
      </c>
      <c r="F61" s="405">
        <f>'Digital Plan - UPI'!G47</f>
        <v>0</v>
      </c>
      <c r="G61" s="280">
        <f>'Digital Plan - UPI'!H47</f>
        <v>0</v>
      </c>
      <c r="H61" s="281">
        <f>'Digital Plan - UPI'!I47</f>
        <v>0</v>
      </c>
      <c r="I61" s="282">
        <f>'Digital Plan - UPI'!J47</f>
        <v>0</v>
      </c>
      <c r="J61" s="283">
        <f>'Digital Plan - UPI'!K47</f>
        <v>0</v>
      </c>
      <c r="K61" s="284">
        <f>'Digital Plan - UPI'!L47</f>
        <v>0</v>
      </c>
      <c r="L61" s="284">
        <f>'Digital Plan - UPI'!M47</f>
        <v>0</v>
      </c>
      <c r="M61" s="284">
        <f>'Digital Plan - UPI'!N47</f>
        <v>0</v>
      </c>
      <c r="N61" s="284">
        <f>'Digital Plan - UPI'!O47</f>
        <v>22299932.542407233</v>
      </c>
      <c r="O61" s="284">
        <f>'Digital Plan - UPI'!P47</f>
        <v>0</v>
      </c>
      <c r="P61" s="285">
        <f>'Digital Plan - UPI'!Q47</f>
        <v>3.0029857494845965E-3</v>
      </c>
      <c r="Q61" s="284">
        <f>'Digital Plan - UPI'!R47</f>
        <v>66966.379639316729</v>
      </c>
      <c r="R61" s="286">
        <f>'Digital Plan - UPI'!S47</f>
        <v>0</v>
      </c>
      <c r="S61" s="316">
        <f>'Digital Plan - UPI'!T47</f>
        <v>12244595.936730897</v>
      </c>
      <c r="T61" s="284">
        <f>'Digital Plan - UPI'!U47</f>
        <v>3743197.525687024</v>
      </c>
      <c r="U61" s="284">
        <f>'Digital Plan - UPI'!V47</f>
        <v>5.9574554613743818</v>
      </c>
      <c r="V61" s="287">
        <f>'Digital Plan - UPI'!X47</f>
        <v>0</v>
      </c>
      <c r="W61" s="317">
        <f>'Digital Plan - UPI'!Y47</f>
        <v>1817036.2263895522</v>
      </c>
      <c r="X61" s="288">
        <f>'Digital Plan - UPI'!Z47</f>
        <v>81.481691612032421</v>
      </c>
      <c r="Y61" s="288">
        <f>'Digital Plan - UPI'!AA47</f>
        <v>27.13355920054471</v>
      </c>
      <c r="Z61" s="284">
        <f>'Digital Plan - UPI'!AB47</f>
        <v>6792129.5708807698</v>
      </c>
      <c r="AA61" s="289">
        <f>'Digital Plan - UPI'!AC47</f>
        <v>0.55110808570773839</v>
      </c>
      <c r="AB61" s="259"/>
      <c r="AC61" s="284"/>
      <c r="AD61" s="284"/>
      <c r="AE61" s="284"/>
      <c r="AF61" s="284"/>
      <c r="AG61" s="284"/>
      <c r="AH61" s="284"/>
      <c r="AI61" s="284"/>
      <c r="AJ61" s="284"/>
    </row>
    <row r="62" spans="1:36" x14ac:dyDescent="0.35">
      <c r="A62" s="321" t="e">
        <f>'Digital Plan - UPI'!#REF!</f>
        <v>#REF!</v>
      </c>
      <c r="B62" s="293" t="e">
        <f>'Digital Plan - UPI'!#REF!</f>
        <v>#REF!</v>
      </c>
      <c r="C62" s="294" t="e">
        <f>'Digital Plan - UPI'!#REF!</f>
        <v>#REF!</v>
      </c>
      <c r="D62" s="294" t="e">
        <f>'Digital Plan - UPI'!#REF!</f>
        <v>#REF!</v>
      </c>
      <c r="E62" s="406" t="e">
        <f>'Digital Plan - UPI'!#REF!</f>
        <v>#REF!</v>
      </c>
      <c r="F62" s="406" t="e">
        <f>'Digital Plan - UPI'!#REF!</f>
        <v>#REF!</v>
      </c>
      <c r="G62" s="296" t="e">
        <f>'Digital Plan - UPI'!#REF!</f>
        <v>#REF!</v>
      </c>
      <c r="H62" s="296" t="e">
        <f>'Digital Plan - UPI'!#REF!</f>
        <v>#REF!</v>
      </c>
      <c r="I62" s="297" t="e">
        <f>'Digital Plan - UPI'!#REF!</f>
        <v>#REF!</v>
      </c>
      <c r="J62" s="295" t="e">
        <f>'Digital Plan - UPI'!#REF!</f>
        <v>#REF!</v>
      </c>
      <c r="K62" s="298" t="e">
        <f>'Digital Plan - UPI'!#REF!</f>
        <v>#REF!</v>
      </c>
      <c r="L62" s="299" t="e">
        <f>'Digital Plan - UPI'!#REF!</f>
        <v>#REF!</v>
      </c>
      <c r="M62" s="299" t="e">
        <f>'Digital Plan - UPI'!#REF!</f>
        <v>#REF!</v>
      </c>
      <c r="N62" s="298" t="e">
        <f>'Digital Plan - UPI'!#REF!</f>
        <v>#REF!</v>
      </c>
      <c r="O62" s="300" t="e">
        <f>'Digital Plan - UPI'!#REF!</f>
        <v>#REF!</v>
      </c>
      <c r="P62" s="301" t="e">
        <f>'Digital Plan - UPI'!#REF!</f>
        <v>#REF!</v>
      </c>
      <c r="Q62" s="298" t="e">
        <f>'Digital Plan - UPI'!#REF!</f>
        <v>#REF!</v>
      </c>
      <c r="R62" s="302" t="e">
        <f>'Digital Plan - UPI'!#REF!</f>
        <v>#REF!</v>
      </c>
      <c r="S62" s="303" t="e">
        <f>'Digital Plan - UPI'!#REF!</f>
        <v>#REF!</v>
      </c>
      <c r="T62" s="298" t="e">
        <f>'Digital Plan - UPI'!#REF!</f>
        <v>#REF!</v>
      </c>
      <c r="U62" s="298" t="e">
        <f>'Digital Plan - UPI'!#REF!</f>
        <v>#REF!</v>
      </c>
      <c r="V62" s="304" t="e">
        <f>'Digital Plan - UPI'!#REF!</f>
        <v>#REF!</v>
      </c>
      <c r="W62" s="305" t="e">
        <f>'Digital Plan - UPI'!#REF!</f>
        <v>#REF!</v>
      </c>
      <c r="X62" s="305" t="e">
        <f>'Digital Plan - UPI'!#REF!</f>
        <v>#REF!</v>
      </c>
      <c r="Y62" s="305" t="e">
        <f>'Digital Plan - UPI'!#REF!</f>
        <v>#REF!</v>
      </c>
      <c r="Z62" s="306" t="e">
        <f>'Digital Plan - UPI'!#REF!</f>
        <v>#REF!</v>
      </c>
      <c r="AA62" s="307" t="e">
        <f>'Digital Plan - UPI'!#REF!</f>
        <v>#REF!</v>
      </c>
      <c r="AB62" s="259"/>
      <c r="AC62" s="298" t="e">
        <f>N62/2</f>
        <v>#REF!</v>
      </c>
      <c r="AD62" s="298" t="e">
        <f>N62/2</f>
        <v>#REF!</v>
      </c>
      <c r="AE62" s="298"/>
      <c r="AF62" s="298"/>
      <c r="AG62" s="298"/>
      <c r="AH62" s="298"/>
      <c r="AI62" s="298"/>
      <c r="AJ62" s="298"/>
    </row>
    <row r="63" spans="1:36" x14ac:dyDescent="0.35">
      <c r="A63" s="321" t="e">
        <f>'Digital Plan - UPI'!#REF!</f>
        <v>#REF!</v>
      </c>
      <c r="B63" s="293" t="e">
        <f>'Digital Plan - UPI'!#REF!</f>
        <v>#REF!</v>
      </c>
      <c r="C63" s="295" t="e">
        <f>'Digital Plan - UPI'!#REF!</f>
        <v>#REF!</v>
      </c>
      <c r="D63" s="295" t="e">
        <f>'Digital Plan - UPI'!#REF!</f>
        <v>#REF!</v>
      </c>
      <c r="E63" s="406" t="e">
        <f>'Digital Plan - UPI'!#REF!</f>
        <v>#REF!</v>
      </c>
      <c r="F63" s="407" t="e">
        <f>'Digital Plan - UPI'!#REF!</f>
        <v>#REF!</v>
      </c>
      <c r="G63" s="296" t="e">
        <f>'Digital Plan - UPI'!#REF!</f>
        <v>#REF!</v>
      </c>
      <c r="H63" s="296" t="e">
        <f>'Digital Plan - UPI'!#REF!</f>
        <v>#REF!</v>
      </c>
      <c r="I63" s="297" t="e">
        <f>'Digital Plan - UPI'!#REF!</f>
        <v>#REF!</v>
      </c>
      <c r="J63" s="295" t="e">
        <f>'Digital Plan - UPI'!#REF!</f>
        <v>#REF!</v>
      </c>
      <c r="K63" s="298" t="e">
        <f>'Digital Plan - UPI'!#REF!</f>
        <v>#REF!</v>
      </c>
      <c r="L63" s="299" t="e">
        <f>'Digital Plan - UPI'!#REF!</f>
        <v>#REF!</v>
      </c>
      <c r="M63" s="299" t="e">
        <f>'Digital Plan - UPI'!#REF!</f>
        <v>#REF!</v>
      </c>
      <c r="N63" s="298" t="e">
        <f>'Digital Plan - UPI'!#REF!</f>
        <v>#REF!</v>
      </c>
      <c r="O63" s="300" t="e">
        <f>'Digital Plan - UPI'!#REF!</f>
        <v>#REF!</v>
      </c>
      <c r="P63" s="301" t="e">
        <f>'Digital Plan - UPI'!#REF!</f>
        <v>#REF!</v>
      </c>
      <c r="Q63" s="298" t="e">
        <f>'Digital Plan - UPI'!#REF!</f>
        <v>#REF!</v>
      </c>
      <c r="R63" s="302" t="e">
        <f>'Digital Plan - UPI'!#REF!</f>
        <v>#REF!</v>
      </c>
      <c r="S63" s="303" t="e">
        <f>'Digital Plan - UPI'!#REF!</f>
        <v>#REF!</v>
      </c>
      <c r="T63" s="298" t="e">
        <f>'Digital Plan - UPI'!#REF!</f>
        <v>#REF!</v>
      </c>
      <c r="U63" s="298" t="e">
        <f>'Digital Plan - UPI'!#REF!</f>
        <v>#REF!</v>
      </c>
      <c r="V63" s="304" t="e">
        <f>'Digital Plan - UPI'!#REF!</f>
        <v>#REF!</v>
      </c>
      <c r="W63" s="305" t="e">
        <f>'Digital Plan - UPI'!#REF!</f>
        <v>#REF!</v>
      </c>
      <c r="X63" s="305" t="e">
        <f>'Digital Plan - UPI'!#REF!</f>
        <v>#REF!</v>
      </c>
      <c r="Y63" s="305" t="e">
        <f>'Digital Plan - UPI'!#REF!</f>
        <v>#REF!</v>
      </c>
      <c r="Z63" s="306" t="e">
        <f>'Digital Plan - UPI'!#REF!</f>
        <v>#REF!</v>
      </c>
      <c r="AA63" s="307" t="e">
        <f>'Digital Plan - UPI'!#REF!</f>
        <v>#REF!</v>
      </c>
      <c r="AB63" s="259"/>
      <c r="AC63" s="298" t="e">
        <f>N63/2</f>
        <v>#REF!</v>
      </c>
      <c r="AD63" s="298" t="e">
        <f>N63/2</f>
        <v>#REF!</v>
      </c>
      <c r="AE63" s="298"/>
      <c r="AF63" s="298"/>
      <c r="AG63" s="298"/>
      <c r="AH63" s="298"/>
      <c r="AI63" s="298"/>
      <c r="AJ63" s="298"/>
    </row>
    <row r="64" spans="1:36" x14ac:dyDescent="0.35">
      <c r="A64" s="321" t="str">
        <f>'Digital Plan - UPI'!B48</f>
        <v>Ahmedabad</v>
      </c>
      <c r="B64" s="293" t="str">
        <f>'Digital Plan - UPI'!C48</f>
        <v>Core - CTV</v>
      </c>
      <c r="C64" s="294" t="str">
        <f>'Digital Plan - UPI'!D48</f>
        <v>Connected TV PMP</v>
      </c>
      <c r="D64" s="294" t="str">
        <f>'Digital Plan - UPI'!E48</f>
        <v>Video</v>
      </c>
      <c r="E64" s="406" t="str">
        <f>'Digital Plan - UPI'!F48</f>
        <v xml:space="preserve">Entertainment </v>
      </c>
      <c r="F64" s="406" t="str">
        <f>'Digital Plan - UPI'!G48</f>
        <v>CTV</v>
      </c>
      <c r="G64" s="296" t="str">
        <f>'Digital Plan - UPI'!H48</f>
        <v>Instream</v>
      </c>
      <c r="H64" s="296" t="str">
        <f>'Digital Plan - UPI'!I48</f>
        <v xml:space="preserve">Video-6 Sec </v>
      </c>
      <c r="I64" s="297" t="str">
        <f>'Digital Plan - UPI'!J48</f>
        <v>Reff : Targeting Sheet</v>
      </c>
      <c r="J64" s="295" t="str">
        <f>'Digital Plan - UPI'!K48</f>
        <v>CPM</v>
      </c>
      <c r="K64" s="298">
        <f>'Digital Plan - UPI'!L48</f>
        <v>21</v>
      </c>
      <c r="L64" s="299">
        <f>'Digital Plan - UPI'!M48</f>
        <v>45460</v>
      </c>
      <c r="M64" s="299">
        <f>'Digital Plan - UPI'!N48</f>
        <v>45480</v>
      </c>
      <c r="N64" s="298">
        <f>'Digital Plan - UPI'!O48</f>
        <v>1271488.0728704</v>
      </c>
      <c r="O64" s="300" t="str">
        <f>'Digital Plan - UPI'!P48</f>
        <v>-</v>
      </c>
      <c r="P64" s="301">
        <f>'Digital Plan - UPI'!Q48</f>
        <v>0</v>
      </c>
      <c r="Q64" s="298">
        <f>'Digital Plan - UPI'!R48</f>
        <v>0</v>
      </c>
      <c r="R64" s="302">
        <f>'Digital Plan - UPI'!S48</f>
        <v>0.85</v>
      </c>
      <c r="S64" s="303">
        <f>'Digital Plan - UPI'!T48</f>
        <v>1080764.86193984</v>
      </c>
      <c r="T64" s="298">
        <f>'Digital Plan - UPI'!U48</f>
        <v>186983.54012799999</v>
      </c>
      <c r="U64" s="298">
        <f>'Digital Plan - UPI'!V48</f>
        <v>6.8000000000000007</v>
      </c>
      <c r="V64" s="304">
        <f>'Digital Plan - UPI'!X48</f>
        <v>125</v>
      </c>
      <c r="W64" s="305">
        <f>'Digital Plan - UPI'!Y48</f>
        <v>158936.0091088</v>
      </c>
      <c r="X64" s="305">
        <f>'Digital Plan - UPI'!Z48</f>
        <v>125</v>
      </c>
      <c r="Y64" s="305">
        <f>'Digital Plan - UPI'!AA48</f>
        <v>0</v>
      </c>
      <c r="Z64" s="306">
        <f>'Digital Plan - UPI'!AB48</f>
        <v>217700</v>
      </c>
      <c r="AA64" s="307">
        <f>'Digital Plan - UPI'!AC48</f>
        <v>0.85890464</v>
      </c>
      <c r="AB64" s="259"/>
      <c r="AC64" s="298"/>
      <c r="AD64" s="298"/>
      <c r="AE64" s="298">
        <f>$N64/3</f>
        <v>423829.3576234667</v>
      </c>
      <c r="AF64" s="298">
        <f t="shared" ref="AF64:AJ69" si="21">$N64/3</f>
        <v>423829.3576234667</v>
      </c>
      <c r="AG64" s="298">
        <f t="shared" si="21"/>
        <v>423829.3576234667</v>
      </c>
      <c r="AH64" s="298"/>
      <c r="AI64" s="298"/>
      <c r="AJ64" s="298"/>
    </row>
    <row r="65" spans="1:36" x14ac:dyDescent="0.35">
      <c r="A65" s="321" t="e">
        <f>'Digital Plan - UPI'!#REF!</f>
        <v>#REF!</v>
      </c>
      <c r="B65" s="293" t="e">
        <f>'Digital Plan - UPI'!#REF!</f>
        <v>#REF!</v>
      </c>
      <c r="C65" s="294" t="e">
        <f>'Digital Plan - UPI'!#REF!</f>
        <v>#REF!</v>
      </c>
      <c r="D65" s="294" t="e">
        <f>'Digital Plan - UPI'!#REF!</f>
        <v>#REF!</v>
      </c>
      <c r="E65" s="406" t="e">
        <f>'Digital Plan - UPI'!#REF!</f>
        <v>#REF!</v>
      </c>
      <c r="F65" s="406" t="e">
        <f>'Digital Plan - UPI'!#REF!</f>
        <v>#REF!</v>
      </c>
      <c r="G65" s="296" t="e">
        <f>'Digital Plan - UPI'!#REF!</f>
        <v>#REF!</v>
      </c>
      <c r="H65" s="296" t="e">
        <f>'Digital Plan - UPI'!#REF!</f>
        <v>#REF!</v>
      </c>
      <c r="I65" s="297" t="e">
        <f>'Digital Plan - UPI'!#REF!</f>
        <v>#REF!</v>
      </c>
      <c r="J65" s="295" t="e">
        <f>'Digital Plan - UPI'!#REF!</f>
        <v>#REF!</v>
      </c>
      <c r="K65" s="298" t="e">
        <f>'Digital Plan - UPI'!#REF!</f>
        <v>#REF!</v>
      </c>
      <c r="L65" s="299" t="e">
        <f>'Digital Plan - UPI'!#REF!</f>
        <v>#REF!</v>
      </c>
      <c r="M65" s="299" t="e">
        <f>'Digital Plan - UPI'!#REF!</f>
        <v>#REF!</v>
      </c>
      <c r="N65" s="298" t="e">
        <f>'Digital Plan - UPI'!#REF!</f>
        <v>#REF!</v>
      </c>
      <c r="O65" s="300" t="e">
        <f>'Digital Plan - UPI'!#REF!</f>
        <v>#REF!</v>
      </c>
      <c r="P65" s="301" t="e">
        <f>'Digital Plan - UPI'!#REF!</f>
        <v>#REF!</v>
      </c>
      <c r="Q65" s="298" t="e">
        <f>'Digital Plan - UPI'!#REF!</f>
        <v>#REF!</v>
      </c>
      <c r="R65" s="302" t="e">
        <f>'Digital Plan - UPI'!#REF!</f>
        <v>#REF!</v>
      </c>
      <c r="S65" s="303" t="e">
        <f>'Digital Plan - UPI'!#REF!</f>
        <v>#REF!</v>
      </c>
      <c r="T65" s="298" t="e">
        <f>'Digital Plan - UPI'!#REF!</f>
        <v>#REF!</v>
      </c>
      <c r="U65" s="298" t="e">
        <f>'Digital Plan - UPI'!#REF!</f>
        <v>#REF!</v>
      </c>
      <c r="V65" s="304" t="e">
        <f>'Digital Plan - UPI'!#REF!</f>
        <v>#REF!</v>
      </c>
      <c r="W65" s="305" t="e">
        <f>'Digital Plan - UPI'!#REF!</f>
        <v>#REF!</v>
      </c>
      <c r="X65" s="305" t="e">
        <f>'Digital Plan - UPI'!#REF!</f>
        <v>#REF!</v>
      </c>
      <c r="Y65" s="305" t="e">
        <f>'Digital Plan - UPI'!#REF!</f>
        <v>#REF!</v>
      </c>
      <c r="Z65" s="306" t="e">
        <f>'Digital Plan - UPI'!#REF!</f>
        <v>#REF!</v>
      </c>
      <c r="AA65" s="307" t="e">
        <f>'Digital Plan - UPI'!#REF!</f>
        <v>#REF!</v>
      </c>
      <c r="AB65" s="259"/>
      <c r="AC65" s="298"/>
      <c r="AD65" s="298"/>
      <c r="AE65" s="298"/>
      <c r="AF65" s="298"/>
      <c r="AG65" s="298"/>
      <c r="AH65" s="298" t="e">
        <f>$N65/3</f>
        <v>#REF!</v>
      </c>
      <c r="AI65" s="298" t="e">
        <f t="shared" si="21"/>
        <v>#REF!</v>
      </c>
      <c r="AJ65" s="298" t="e">
        <f t="shared" si="21"/>
        <v>#REF!</v>
      </c>
    </row>
    <row r="66" spans="1:36" x14ac:dyDescent="0.35">
      <c r="A66" s="321" t="str">
        <f>'Digital Plan - UPI'!B49</f>
        <v>Ahmedabad</v>
      </c>
      <c r="B66" s="293" t="str">
        <f>'Digital Plan - UPI'!C49</f>
        <v>Core - CTV</v>
      </c>
      <c r="C66" s="295" t="str">
        <f>'Digital Plan - UPI'!D49</f>
        <v xml:space="preserve">YouTube </v>
      </c>
      <c r="D66" s="295" t="str">
        <f>'Digital Plan - UPI'!E49</f>
        <v>Video</v>
      </c>
      <c r="E66" s="406" t="str">
        <f>'Digital Plan - UPI'!F49</f>
        <v xml:space="preserve">Entertainment </v>
      </c>
      <c r="F66" s="407" t="str">
        <f>'Digital Plan - UPI'!G49</f>
        <v>CTV</v>
      </c>
      <c r="G66" s="296" t="str">
        <f>'Digital Plan - UPI'!H49</f>
        <v>Instream</v>
      </c>
      <c r="H66" s="296" t="str">
        <f>'Digital Plan - UPI'!I49</f>
        <v xml:space="preserve">Bumper 6 secs  </v>
      </c>
      <c r="I66" s="297" t="str">
        <f>'Digital Plan - UPI'!J49</f>
        <v>Reff : Targeting Sheet</v>
      </c>
      <c r="J66" s="295" t="str">
        <f>'Digital Plan - UPI'!K49</f>
        <v>CPM</v>
      </c>
      <c r="K66" s="298">
        <f>'Digital Plan - UPI'!L49</f>
        <v>21</v>
      </c>
      <c r="L66" s="299">
        <f>'Digital Plan - UPI'!M49</f>
        <v>45460</v>
      </c>
      <c r="M66" s="299">
        <f>'Digital Plan - UPI'!N49</f>
        <v>45480</v>
      </c>
      <c r="N66" s="298">
        <f>'Digital Plan - UPI'!O49</f>
        <v>8632421.4747311994</v>
      </c>
      <c r="O66" s="300" t="str">
        <f>'Digital Plan - UPI'!P49</f>
        <v>-</v>
      </c>
      <c r="P66" s="301">
        <f>'Digital Plan - UPI'!Q49</f>
        <v>0</v>
      </c>
      <c r="Q66" s="298">
        <f>'Digital Plan - UPI'!R49</f>
        <v>0</v>
      </c>
      <c r="R66" s="302">
        <f>'Digital Plan - UPI'!S49</f>
        <v>0.8</v>
      </c>
      <c r="S66" s="303">
        <f>'Digital Plan - UPI'!T49</f>
        <v>6905937.1797849601</v>
      </c>
      <c r="T66" s="298">
        <f>'Digital Plan - UPI'!U49</f>
        <v>1040050.7800880963</v>
      </c>
      <c r="U66" s="298">
        <f>'Digital Plan - UPI'!V49</f>
        <v>8.3000000000000007</v>
      </c>
      <c r="V66" s="304">
        <f>'Digital Plan - UPI'!X49</f>
        <v>110</v>
      </c>
      <c r="W66" s="305">
        <f>'Digital Plan - UPI'!Y49</f>
        <v>949566.36222043203</v>
      </c>
      <c r="X66" s="305">
        <f>'Digital Plan - UPI'!Z49</f>
        <v>110.00000000000001</v>
      </c>
      <c r="Y66" s="305">
        <f>'Digital Plan - UPI'!AA49</f>
        <v>0</v>
      </c>
      <c r="Z66" s="306">
        <f>'Digital Plan - UPI'!AB49</f>
        <v>1156136</v>
      </c>
      <c r="AA66" s="307">
        <f>'Digital Plan - UPI'!AC49</f>
        <v>0.8995920722891565</v>
      </c>
      <c r="AB66" s="259"/>
      <c r="AC66" s="298"/>
      <c r="AD66" s="298"/>
      <c r="AE66" s="298">
        <f>$N66/3</f>
        <v>2877473.8249104</v>
      </c>
      <c r="AF66" s="298">
        <f t="shared" si="21"/>
        <v>2877473.8249104</v>
      </c>
      <c r="AG66" s="298">
        <f t="shared" si="21"/>
        <v>2877473.8249104</v>
      </c>
      <c r="AH66" s="298"/>
      <c r="AI66" s="298"/>
      <c r="AJ66" s="298"/>
    </row>
    <row r="67" spans="1:36" x14ac:dyDescent="0.35">
      <c r="A67" s="321" t="e">
        <f>'Digital Plan - UPI'!#REF!</f>
        <v>#REF!</v>
      </c>
      <c r="B67" s="293" t="e">
        <f>'Digital Plan - UPI'!#REF!</f>
        <v>#REF!</v>
      </c>
      <c r="C67" s="295" t="e">
        <f>'Digital Plan - UPI'!#REF!</f>
        <v>#REF!</v>
      </c>
      <c r="D67" s="295" t="e">
        <f>'Digital Plan - UPI'!#REF!</f>
        <v>#REF!</v>
      </c>
      <c r="E67" s="406" t="e">
        <f>'Digital Plan - UPI'!#REF!</f>
        <v>#REF!</v>
      </c>
      <c r="F67" s="407" t="e">
        <f>'Digital Plan - UPI'!#REF!</f>
        <v>#REF!</v>
      </c>
      <c r="G67" s="296" t="e">
        <f>'Digital Plan - UPI'!#REF!</f>
        <v>#REF!</v>
      </c>
      <c r="H67" s="296" t="e">
        <f>'Digital Plan - UPI'!#REF!</f>
        <v>#REF!</v>
      </c>
      <c r="I67" s="297" t="e">
        <f>'Digital Plan - UPI'!#REF!</f>
        <v>#REF!</v>
      </c>
      <c r="J67" s="295" t="e">
        <f>'Digital Plan - UPI'!#REF!</f>
        <v>#REF!</v>
      </c>
      <c r="K67" s="298" t="e">
        <f>'Digital Plan - UPI'!#REF!</f>
        <v>#REF!</v>
      </c>
      <c r="L67" s="299" t="e">
        <f>'Digital Plan - UPI'!#REF!</f>
        <v>#REF!</v>
      </c>
      <c r="M67" s="299" t="e">
        <f>'Digital Plan - UPI'!#REF!</f>
        <v>#REF!</v>
      </c>
      <c r="N67" s="298" t="e">
        <f>'Digital Plan - UPI'!#REF!</f>
        <v>#REF!</v>
      </c>
      <c r="O67" s="300" t="e">
        <f>'Digital Plan - UPI'!#REF!</f>
        <v>#REF!</v>
      </c>
      <c r="P67" s="301" t="e">
        <f>'Digital Plan - UPI'!#REF!</f>
        <v>#REF!</v>
      </c>
      <c r="Q67" s="298" t="e">
        <f>'Digital Plan - UPI'!#REF!</f>
        <v>#REF!</v>
      </c>
      <c r="R67" s="302" t="e">
        <f>'Digital Plan - UPI'!#REF!</f>
        <v>#REF!</v>
      </c>
      <c r="S67" s="303" t="e">
        <f>'Digital Plan - UPI'!#REF!</f>
        <v>#REF!</v>
      </c>
      <c r="T67" s="298" t="e">
        <f>'Digital Plan - UPI'!#REF!</f>
        <v>#REF!</v>
      </c>
      <c r="U67" s="298" t="e">
        <f>'Digital Plan - UPI'!#REF!</f>
        <v>#REF!</v>
      </c>
      <c r="V67" s="304" t="e">
        <f>'Digital Plan - UPI'!#REF!</f>
        <v>#REF!</v>
      </c>
      <c r="W67" s="305" t="e">
        <f>'Digital Plan - UPI'!#REF!</f>
        <v>#REF!</v>
      </c>
      <c r="X67" s="305" t="e">
        <f>'Digital Plan - UPI'!#REF!</f>
        <v>#REF!</v>
      </c>
      <c r="Y67" s="305" t="e">
        <f>'Digital Plan - UPI'!#REF!</f>
        <v>#REF!</v>
      </c>
      <c r="Z67" s="306" t="e">
        <f>'Digital Plan - UPI'!#REF!</f>
        <v>#REF!</v>
      </c>
      <c r="AA67" s="307" t="e">
        <f>'Digital Plan - UPI'!#REF!</f>
        <v>#REF!</v>
      </c>
      <c r="AB67" s="259"/>
      <c r="AC67" s="298"/>
      <c r="AD67" s="298"/>
      <c r="AE67" s="298"/>
      <c r="AF67" s="298"/>
      <c r="AG67" s="298"/>
      <c r="AH67" s="298" t="e">
        <f>$N67/3</f>
        <v>#REF!</v>
      </c>
      <c r="AI67" s="298" t="e">
        <f t="shared" si="21"/>
        <v>#REF!</v>
      </c>
      <c r="AJ67" s="298" t="e">
        <f t="shared" si="21"/>
        <v>#REF!</v>
      </c>
    </row>
    <row r="68" spans="1:36" x14ac:dyDescent="0.35">
      <c r="A68" s="321" t="str">
        <f>'Digital Plan - UPI'!B50</f>
        <v>Ahmedabad</v>
      </c>
      <c r="B68" s="293" t="str">
        <f>'Digital Plan - UPI'!C50</f>
        <v>Core</v>
      </c>
      <c r="C68" s="264" t="str">
        <f>'Digital Plan - UPI'!D50</f>
        <v>Meta</v>
      </c>
      <c r="D68" s="264" t="str">
        <f>'Digital Plan - UPI'!E50</f>
        <v>Video</v>
      </c>
      <c r="E68" s="404" t="str">
        <f>'Digital Plan - UPI'!F50</f>
        <v xml:space="preserve">Entertainment </v>
      </c>
      <c r="F68" s="404" t="str">
        <f>'Digital Plan - UPI'!G50</f>
        <v xml:space="preserve">Mobile </v>
      </c>
      <c r="G68" s="265" t="str">
        <f>'Digital Plan - UPI'!H50</f>
        <v xml:space="preserve">Instream </v>
      </c>
      <c r="H68" s="265" t="str">
        <f>'Digital Plan - UPI'!I50</f>
        <v>Instream - 6 Sec</v>
      </c>
      <c r="I68" s="308" t="str">
        <f>'Digital Plan - UPI'!J50</f>
        <v>Reff : Targeting Sheet</v>
      </c>
      <c r="J68" s="263" t="str">
        <f>'Digital Plan - UPI'!K50</f>
        <v>CPM</v>
      </c>
      <c r="K68" s="266">
        <f>'Digital Plan - UPI'!L50</f>
        <v>21</v>
      </c>
      <c r="L68" s="267">
        <f>'Digital Plan - UPI'!M50</f>
        <v>45460</v>
      </c>
      <c r="M68" s="267">
        <f>'Digital Plan - UPI'!N50</f>
        <v>45480</v>
      </c>
      <c r="N68" s="266">
        <f>'Digital Plan - UPI'!O50</f>
        <v>1989633.7413940313</v>
      </c>
      <c r="O68" s="268" t="str">
        <f>'Digital Plan - UPI'!P50</f>
        <v>-</v>
      </c>
      <c r="P68" s="269">
        <f>'Digital Plan - UPI'!Q50</f>
        <v>1E-3</v>
      </c>
      <c r="Q68" s="266">
        <f>'Digital Plan - UPI'!R50</f>
        <v>1989.6337413940314</v>
      </c>
      <c r="R68" s="270">
        <f>'Digital Plan - UPI'!S50</f>
        <v>0.7</v>
      </c>
      <c r="S68" s="271">
        <f>'Digital Plan - UPI'!T50</f>
        <v>1392743.6189758219</v>
      </c>
      <c r="T68" s="266">
        <f>'Digital Plan - UPI'!U50</f>
        <v>1136933.566510875</v>
      </c>
      <c r="U68" s="266">
        <f>'Digital Plan - UPI'!V50</f>
        <v>1.75</v>
      </c>
      <c r="V68" s="272">
        <f>'Digital Plan - UPI'!X50</f>
        <v>70</v>
      </c>
      <c r="W68" s="273">
        <f>'Digital Plan - UPI'!Y50</f>
        <v>139274.36189758219</v>
      </c>
      <c r="X68" s="273">
        <f>'Digital Plan - UPI'!Z50</f>
        <v>69.999999999999986</v>
      </c>
      <c r="Y68" s="273">
        <f>'Digital Plan - UPI'!AA50</f>
        <v>70</v>
      </c>
      <c r="Z68" s="274">
        <f>'Digital Plan - UPI'!AB50</f>
        <v>1863772.05</v>
      </c>
      <c r="AA68" s="275">
        <f>'Digital Plan - UPI'!AC50</f>
        <v>0.61001749999999999</v>
      </c>
      <c r="AB68" s="259"/>
      <c r="AC68" s="266"/>
      <c r="AD68" s="266"/>
      <c r="AE68" s="266">
        <f>$N68/3</f>
        <v>663211.24713134381</v>
      </c>
      <c r="AF68" s="266">
        <f t="shared" si="21"/>
        <v>663211.24713134381</v>
      </c>
      <c r="AG68" s="266">
        <f t="shared" si="21"/>
        <v>663211.24713134381</v>
      </c>
      <c r="AH68" s="266"/>
      <c r="AI68" s="266"/>
      <c r="AJ68" s="266"/>
    </row>
    <row r="69" spans="1:36" x14ac:dyDescent="0.35">
      <c r="A69" s="321" t="str">
        <f>'Digital Plan - UPI'!B51</f>
        <v>Ahmedabad</v>
      </c>
      <c r="B69" s="293" t="str">
        <f>'Digital Plan - UPI'!C51</f>
        <v>Core</v>
      </c>
      <c r="C69" s="264" t="str">
        <f>'Digital Plan - UPI'!D51</f>
        <v xml:space="preserve">YouTube </v>
      </c>
      <c r="D69" s="264" t="str">
        <f>'Digital Plan - UPI'!E51</f>
        <v>Video</v>
      </c>
      <c r="E69" s="404" t="str">
        <f>'Digital Plan - UPI'!F51</f>
        <v xml:space="preserve">Entertainment </v>
      </c>
      <c r="F69" s="404" t="str">
        <f>'Digital Plan - UPI'!G51</f>
        <v xml:space="preserve">Mobile </v>
      </c>
      <c r="G69" s="265" t="str">
        <f>'Digital Plan - UPI'!H51</f>
        <v xml:space="preserve">Instream </v>
      </c>
      <c r="H69" s="265" t="str">
        <f>'Digital Plan - UPI'!I51</f>
        <v xml:space="preserve">Bumper 6 secs  </v>
      </c>
      <c r="I69" s="308" t="str">
        <f>'Digital Plan - UPI'!J51</f>
        <v>Reff : Targeting Sheet</v>
      </c>
      <c r="J69" s="263" t="str">
        <f>'Digital Plan - UPI'!K51</f>
        <v>CPM</v>
      </c>
      <c r="K69" s="266">
        <f>'Digital Plan - UPI'!L51</f>
        <v>21</v>
      </c>
      <c r="L69" s="267">
        <f>'Digital Plan - UPI'!M51</f>
        <v>45460</v>
      </c>
      <c r="M69" s="267">
        <f>'Digital Plan - UPI'!N51</f>
        <v>45480</v>
      </c>
      <c r="N69" s="266">
        <f>'Digital Plan - UPI'!O51</f>
        <v>2758735.8599160933</v>
      </c>
      <c r="O69" s="268" t="str">
        <f>'Digital Plan - UPI'!P51</f>
        <v>-</v>
      </c>
      <c r="P69" s="269">
        <f>'Digital Plan - UPI'!Q51</f>
        <v>1E-3</v>
      </c>
      <c r="Q69" s="266">
        <f>'Digital Plan - UPI'!R51</f>
        <v>2758.7358599160934</v>
      </c>
      <c r="R69" s="270">
        <f>'Digital Plan - UPI'!S51</f>
        <v>0.8</v>
      </c>
      <c r="S69" s="271">
        <f>'Digital Plan - UPI'!T51</f>
        <v>2206988.6879328745</v>
      </c>
      <c r="T69" s="266">
        <f>'Digital Plan - UPI'!U51</f>
        <v>1352321.4999588693</v>
      </c>
      <c r="U69" s="266">
        <f>'Digital Plan - UPI'!V51</f>
        <v>2.04</v>
      </c>
      <c r="V69" s="272">
        <f>'Digital Plan - UPI'!X51</f>
        <v>80</v>
      </c>
      <c r="W69" s="273">
        <f>'Digital Plan - UPI'!Y51</f>
        <v>220698.86879328749</v>
      </c>
      <c r="X69" s="273">
        <f>'Digital Plan - UPI'!Z51</f>
        <v>80.000000000000014</v>
      </c>
      <c r="Y69" s="273">
        <f>'Digital Plan - UPI'!AA51</f>
        <v>80</v>
      </c>
      <c r="Z69" s="274">
        <f>'Digital Plan - UPI'!AB51</f>
        <v>2192673</v>
      </c>
      <c r="AA69" s="275">
        <f>'Digital Plan - UPI'!AC51</f>
        <v>0.61674563419117634</v>
      </c>
      <c r="AB69" s="259"/>
      <c r="AC69" s="266"/>
      <c r="AD69" s="266"/>
      <c r="AE69" s="266"/>
      <c r="AF69" s="266"/>
      <c r="AG69" s="266"/>
      <c r="AH69" s="266">
        <f>$N69/3</f>
        <v>919578.6199720311</v>
      </c>
      <c r="AI69" s="266">
        <f t="shared" si="21"/>
        <v>919578.6199720311</v>
      </c>
      <c r="AJ69" s="266">
        <f t="shared" si="21"/>
        <v>919578.6199720311</v>
      </c>
    </row>
    <row r="70" spans="1:36" x14ac:dyDescent="0.35">
      <c r="A70" s="321" t="str">
        <f>'Digital Plan - UPI'!B52</f>
        <v>Ahmedabad</v>
      </c>
      <c r="B70" s="293" t="str">
        <f>'Digital Plan - UPI'!C52</f>
        <v>Core</v>
      </c>
      <c r="C70" s="263" t="str">
        <f>'Digital Plan - UPI'!D52</f>
        <v xml:space="preserve">DSP </v>
      </c>
      <c r="D70" s="263" t="str">
        <f>'Digital Plan - UPI'!E52</f>
        <v>Static</v>
      </c>
      <c r="E70" s="404" t="str">
        <f>'Digital Plan - UPI'!F52</f>
        <v xml:space="preserve">Network </v>
      </c>
      <c r="F70" s="404" t="str">
        <f>'Digital Plan - UPI'!G52</f>
        <v>Mobile</v>
      </c>
      <c r="G70" s="265" t="str">
        <f>'Digital Plan - UPI'!H52</f>
        <v>ROS</v>
      </c>
      <c r="H70" s="265" t="str">
        <f>'Digital Plan - UPI'!I52</f>
        <v>Large Formats</v>
      </c>
      <c r="I70" s="309" t="str">
        <f>'Digital Plan - UPI'!J52</f>
        <v>Reff : Targeting Sheet</v>
      </c>
      <c r="J70" s="263" t="str">
        <f>'Digital Plan - UPI'!K52</f>
        <v>CPM</v>
      </c>
      <c r="K70" s="266">
        <f>'Digital Plan - UPI'!L52</f>
        <v>21</v>
      </c>
      <c r="L70" s="267">
        <f>'Digital Plan - UPI'!M52</f>
        <v>45460</v>
      </c>
      <c r="M70" s="267">
        <f>'Digital Plan - UPI'!N52</f>
        <v>45480</v>
      </c>
      <c r="N70" s="266">
        <f>'Digital Plan - UPI'!O52</f>
        <v>1140571.7539237097</v>
      </c>
      <c r="O70" s="268" t="str">
        <f>'Digital Plan - UPI'!P52</f>
        <v>-</v>
      </c>
      <c r="P70" s="269">
        <f>'Digital Plan - UPI'!Q52</f>
        <v>1.4999999999999999E-2</v>
      </c>
      <c r="Q70" s="266">
        <f>'Digital Plan - UPI'!R52</f>
        <v>17108.576308855645</v>
      </c>
      <c r="R70" s="268" t="str">
        <f>'Digital Plan - UPI'!S52</f>
        <v>-</v>
      </c>
      <c r="S70" s="271" t="str">
        <f>'Digital Plan - UPI'!T52</f>
        <v>-</v>
      </c>
      <c r="T70" s="266">
        <f>'Digital Plan - UPI'!U52</f>
        <v>570285.87696185487</v>
      </c>
      <c r="U70" s="266">
        <f>'Digital Plan - UPI'!V52</f>
        <v>2</v>
      </c>
      <c r="V70" s="272">
        <f>'Digital Plan - UPI'!X52</f>
        <v>105</v>
      </c>
      <c r="W70" s="273">
        <f>'Digital Plan - UPI'!Y52</f>
        <v>119760.03416198953</v>
      </c>
      <c r="X70" s="273">
        <f>'Digital Plan - UPI'!Z52</f>
        <v>105.00000000000001</v>
      </c>
      <c r="Y70" s="273">
        <f>'Digital Plan - UPI'!AA52</f>
        <v>7.0000000000000009</v>
      </c>
      <c r="Z70" s="274">
        <f>'Digital Plan - UPI'!AB52</f>
        <v>1770583.4475</v>
      </c>
      <c r="AA70" s="275">
        <f>'Digital Plan - UPI'!AC52</f>
        <v>0.32208924</v>
      </c>
      <c r="AB70" s="259"/>
      <c r="AC70" s="266">
        <f t="shared" ref="AC70:AD74" si="22">$N70*20%</f>
        <v>228114.35078474195</v>
      </c>
      <c r="AD70" s="266">
        <f t="shared" si="22"/>
        <v>228114.35078474195</v>
      </c>
      <c r="AE70" s="266">
        <f t="shared" ref="AE70:AF74" si="23">$N70*15%</f>
        <v>171085.76308855644</v>
      </c>
      <c r="AF70" s="266">
        <f t="shared" si="23"/>
        <v>171085.76308855644</v>
      </c>
      <c r="AG70" s="266">
        <f t="shared" ref="AG70:AH74" si="24">$N70*10%</f>
        <v>114057.17539237098</v>
      </c>
      <c r="AH70" s="266">
        <f t="shared" si="24"/>
        <v>114057.17539237098</v>
      </c>
      <c r="AI70" s="266">
        <f t="shared" ref="AI70:AJ74" si="25">$N70*5%</f>
        <v>57028.587696185488</v>
      </c>
      <c r="AJ70" s="266">
        <f t="shared" si="25"/>
        <v>57028.587696185488</v>
      </c>
    </row>
    <row r="71" spans="1:36" x14ac:dyDescent="0.35">
      <c r="A71" s="321" t="str">
        <f>'Digital Plan - UPI'!B53</f>
        <v>Ahmedabad</v>
      </c>
      <c r="B71" s="293" t="str">
        <f>'Digital Plan - UPI'!C53</f>
        <v>Core</v>
      </c>
      <c r="C71" s="310" t="str">
        <f>'Digital Plan - UPI'!D53</f>
        <v>Mediakart</v>
      </c>
      <c r="D71" s="263" t="str">
        <f>'Digital Plan - UPI'!E53</f>
        <v>Static</v>
      </c>
      <c r="E71" s="408" t="str">
        <f>'Digital Plan - UPI'!F53</f>
        <v xml:space="preserve">Network </v>
      </c>
      <c r="F71" s="404" t="str">
        <f>'Digital Plan - UPI'!G53</f>
        <v xml:space="preserve">Mobile </v>
      </c>
      <c r="G71" s="265" t="str">
        <f>'Digital Plan - UPI'!H53</f>
        <v>ROS</v>
      </c>
      <c r="H71" s="265" t="str">
        <f>'Digital Plan - UPI'!I53</f>
        <v>Interstitial Static banner</v>
      </c>
      <c r="I71" s="309" t="str">
        <f>'Digital Plan - UPI'!J53</f>
        <v>Reff : Targeting Sheet</v>
      </c>
      <c r="J71" s="263" t="str">
        <f>'Digital Plan - UPI'!K53</f>
        <v xml:space="preserve">CPM </v>
      </c>
      <c r="K71" s="266">
        <f>'Digital Plan - UPI'!L53</f>
        <v>21</v>
      </c>
      <c r="L71" s="267">
        <f>'Digital Plan - UPI'!M53</f>
        <v>45460</v>
      </c>
      <c r="M71" s="267">
        <f>'Digital Plan - UPI'!N53</f>
        <v>45480</v>
      </c>
      <c r="N71" s="266">
        <f>'Digital Plan - UPI'!O53</f>
        <v>1229635.7970248</v>
      </c>
      <c r="O71" s="268" t="str">
        <f>'Digital Plan - UPI'!P53</f>
        <v>-</v>
      </c>
      <c r="P71" s="269">
        <f>'Digital Plan - UPI'!Q53</f>
        <v>1.4999999999999999E-2</v>
      </c>
      <c r="Q71" s="266">
        <f>'Digital Plan - UPI'!R53</f>
        <v>18444.536955371997</v>
      </c>
      <c r="R71" s="268" t="str">
        <f>'Digital Plan - UPI'!S53</f>
        <v>-</v>
      </c>
      <c r="S71" s="271" t="str">
        <f>'Digital Plan - UPI'!T53</f>
        <v>-</v>
      </c>
      <c r="T71" s="266">
        <f>'Digital Plan - UPI'!U53</f>
        <v>614817.89851239999</v>
      </c>
      <c r="U71" s="266">
        <f>'Digital Plan - UPI'!V53</f>
        <v>2</v>
      </c>
      <c r="V71" s="272">
        <f>'Digital Plan - UPI'!X53</f>
        <v>120</v>
      </c>
      <c r="W71" s="273">
        <f>'Digital Plan - UPI'!Y53</f>
        <v>147556.29564297601</v>
      </c>
      <c r="X71" s="273">
        <f>'Digital Plan - UPI'!Z53</f>
        <v>120.00000000000001</v>
      </c>
      <c r="Y71" s="273">
        <f>'Digital Plan - UPI'!AA53</f>
        <v>8.0000000000000018</v>
      </c>
      <c r="Z71" s="274">
        <f>'Digital Plan - UPI'!AB53</f>
        <v>1145306</v>
      </c>
      <c r="AA71" s="275">
        <f>'Digital Plan - UPI'!AC53</f>
        <v>0.53681539999999994</v>
      </c>
      <c r="AB71" s="259"/>
      <c r="AC71" s="266">
        <f t="shared" si="22"/>
        <v>245927.15940496</v>
      </c>
      <c r="AD71" s="266">
        <f t="shared" si="22"/>
        <v>245927.15940496</v>
      </c>
      <c r="AE71" s="266">
        <f t="shared" si="23"/>
        <v>184445.36955372</v>
      </c>
      <c r="AF71" s="266">
        <f t="shared" si="23"/>
        <v>184445.36955372</v>
      </c>
      <c r="AG71" s="266">
        <f t="shared" si="24"/>
        <v>122963.57970248</v>
      </c>
      <c r="AH71" s="266">
        <f t="shared" si="24"/>
        <v>122963.57970248</v>
      </c>
      <c r="AI71" s="266">
        <f t="shared" si="25"/>
        <v>61481.789851239999</v>
      </c>
      <c r="AJ71" s="266">
        <f t="shared" si="25"/>
        <v>61481.789851239999</v>
      </c>
    </row>
    <row r="72" spans="1:36" x14ac:dyDescent="0.35">
      <c r="A72" s="321" t="str">
        <f>'Digital Plan - UPI'!B54</f>
        <v>Ahmedabad</v>
      </c>
      <c r="B72" s="293" t="str">
        <f>'Digital Plan - UPI'!C54</f>
        <v>Core</v>
      </c>
      <c r="C72" s="310" t="str">
        <f>'Digital Plan - UPI'!D54</f>
        <v>Dailyhunt</v>
      </c>
      <c r="D72" s="311" t="str">
        <f>'Digital Plan - UPI'!E54</f>
        <v>Static</v>
      </c>
      <c r="E72" s="408" t="str">
        <f>'Digital Plan - UPI'!F54</f>
        <v>News</v>
      </c>
      <c r="F72" s="404" t="str">
        <f>'Digital Plan - UPI'!G54</f>
        <v xml:space="preserve">Mobile </v>
      </c>
      <c r="G72" s="310" t="str">
        <f>'Digital Plan - UPI'!H54</f>
        <v>ROS</v>
      </c>
      <c r="H72" s="263" t="str">
        <f>'Digital Plan - UPI'!I54</f>
        <v>Page Insert - Innovation</v>
      </c>
      <c r="I72" s="309" t="str">
        <f>'Digital Plan - UPI'!J54</f>
        <v>Reff : Targeting Sheet</v>
      </c>
      <c r="J72" s="263" t="str">
        <f>'Digital Plan - UPI'!K54</f>
        <v>CPM</v>
      </c>
      <c r="K72" s="266">
        <f>'Digital Plan - UPI'!L54</f>
        <v>21</v>
      </c>
      <c r="L72" s="267">
        <f>'Digital Plan - UPI'!M54</f>
        <v>45460</v>
      </c>
      <c r="M72" s="267">
        <f>'Digital Plan - UPI'!N54</f>
        <v>45480</v>
      </c>
      <c r="N72" s="266">
        <f>'Digital Plan - UPI'!O54</f>
        <v>991214.3046521761</v>
      </c>
      <c r="O72" s="268" t="str">
        <f>'Digital Plan - UPI'!P54</f>
        <v>-</v>
      </c>
      <c r="P72" s="312">
        <f>'Digital Plan - UPI'!Q54</f>
        <v>0.01</v>
      </c>
      <c r="Q72" s="266">
        <f>'Digital Plan - UPI'!R54</f>
        <v>9912.1430465217618</v>
      </c>
      <c r="R72" s="268" t="str">
        <f>'Digital Plan - UPI'!S54</f>
        <v>-</v>
      </c>
      <c r="S72" s="271" t="str">
        <f>'Digital Plan - UPI'!T54</f>
        <v>-</v>
      </c>
      <c r="T72" s="266">
        <f>'Digital Plan - UPI'!U54</f>
        <v>495607.15232608805</v>
      </c>
      <c r="U72" s="266">
        <f>'Digital Plan - UPI'!V54</f>
        <v>2</v>
      </c>
      <c r="V72" s="272">
        <f>'Digital Plan - UPI'!X54</f>
        <v>200</v>
      </c>
      <c r="W72" s="273">
        <f>'Digital Plan - UPI'!Y54</f>
        <v>198242.86093043521</v>
      </c>
      <c r="X72" s="273">
        <f>'Digital Plan - UPI'!Z54</f>
        <v>199.99999999999997</v>
      </c>
      <c r="Y72" s="273">
        <f>'Digital Plan - UPI'!AA54</f>
        <v>19.999999999999996</v>
      </c>
      <c r="Z72" s="274">
        <f>'Digital Plan - UPI'!AB54</f>
        <v>1398842</v>
      </c>
      <c r="AA72" s="275">
        <f>'Digital Plan - UPI'!AC54</f>
        <v>0.35429816400000003</v>
      </c>
      <c r="AB72" s="259"/>
      <c r="AC72" s="266">
        <f t="shared" si="22"/>
        <v>198242.86093043524</v>
      </c>
      <c r="AD72" s="266">
        <f t="shared" si="22"/>
        <v>198242.86093043524</v>
      </c>
      <c r="AE72" s="266">
        <f t="shared" si="23"/>
        <v>148682.1456978264</v>
      </c>
      <c r="AF72" s="266">
        <f t="shared" si="23"/>
        <v>148682.1456978264</v>
      </c>
      <c r="AG72" s="266">
        <f t="shared" si="24"/>
        <v>99121.430465217622</v>
      </c>
      <c r="AH72" s="266">
        <f t="shared" si="24"/>
        <v>99121.430465217622</v>
      </c>
      <c r="AI72" s="266">
        <f t="shared" si="25"/>
        <v>49560.715232608811</v>
      </c>
      <c r="AJ72" s="266">
        <f t="shared" si="25"/>
        <v>49560.715232608811</v>
      </c>
    </row>
    <row r="73" spans="1:36" x14ac:dyDescent="0.35">
      <c r="A73" s="321" t="str">
        <f>'Digital Plan - UPI'!B55</f>
        <v>Ahmedabad</v>
      </c>
      <c r="B73" s="293" t="str">
        <f>'Digital Plan - UPI'!C55</f>
        <v>Core</v>
      </c>
      <c r="C73" s="310" t="str">
        <f>'Digital Plan - UPI'!D55</f>
        <v>UBER</v>
      </c>
      <c r="D73" s="263" t="str">
        <f>'Digital Plan - UPI'!E55</f>
        <v>Static</v>
      </c>
      <c r="E73" s="408" t="str">
        <f>'Digital Plan - UPI'!F55</f>
        <v>Utility</v>
      </c>
      <c r="F73" s="404" t="str">
        <f>'Digital Plan - UPI'!G55</f>
        <v xml:space="preserve">Mobile </v>
      </c>
      <c r="G73" s="265" t="str">
        <f>'Digital Plan - UPI'!H55</f>
        <v>ROS</v>
      </c>
      <c r="H73" s="265" t="str">
        <f>'Digital Plan - UPI'!I55</f>
        <v>Journey Ads</v>
      </c>
      <c r="I73" s="309" t="str">
        <f>'Digital Plan - UPI'!J55</f>
        <v>NA</v>
      </c>
      <c r="J73" s="263" t="str">
        <f>'Digital Plan - UPI'!K55</f>
        <v>CPT</v>
      </c>
      <c r="K73" s="266">
        <f>'Digital Plan - UPI'!L55</f>
        <v>21</v>
      </c>
      <c r="L73" s="267">
        <f>'Digital Plan - UPI'!M55</f>
        <v>45460</v>
      </c>
      <c r="M73" s="267">
        <f>'Digital Plan - UPI'!N55</f>
        <v>45480</v>
      </c>
      <c r="N73" s="266">
        <f>'Digital Plan - UPI'!O55</f>
        <v>134903.72</v>
      </c>
      <c r="O73" s="268">
        <f>'Digital Plan - UPI'!P55</f>
        <v>44967.906666666669</v>
      </c>
      <c r="P73" s="269">
        <f>'Digital Plan - UPI'!Q55</f>
        <v>1.4999999999999999E-2</v>
      </c>
      <c r="Q73" s="266">
        <f>'Digital Plan - UPI'!R55</f>
        <v>2023.5557999999999</v>
      </c>
      <c r="R73" s="268" t="str">
        <f>'Digital Plan - UPI'!S55</f>
        <v>-</v>
      </c>
      <c r="S73" s="271" t="str">
        <f>'Digital Plan - UPI'!T55</f>
        <v>-</v>
      </c>
      <c r="T73" s="266">
        <f>'Digital Plan - UPI'!U55</f>
        <v>44967.906666666669</v>
      </c>
      <c r="U73" s="266">
        <f>'Digital Plan - UPI'!V55</f>
        <v>3</v>
      </c>
      <c r="V73" s="272">
        <f>'Digital Plan - UPI'!X55</f>
        <v>1.5</v>
      </c>
      <c r="W73" s="273">
        <f>'Digital Plan - UPI'!Y55</f>
        <v>67451.86</v>
      </c>
      <c r="X73" s="273">
        <f>'Digital Plan - UPI'!Z55</f>
        <v>500</v>
      </c>
      <c r="Y73" s="273">
        <f>'Digital Plan - UPI'!AA55</f>
        <v>33.333333333333336</v>
      </c>
      <c r="Z73" s="274">
        <f>'Digital Plan - UPI'!AB55</f>
        <v>481799</v>
      </c>
      <c r="AA73" s="275">
        <f>'Digital Plan - UPI'!AC55</f>
        <v>9.3333333333333338E-2</v>
      </c>
      <c r="AB73" s="259"/>
      <c r="AC73" s="266">
        <f t="shared" si="22"/>
        <v>26980.744000000002</v>
      </c>
      <c r="AD73" s="266">
        <f t="shared" si="22"/>
        <v>26980.744000000002</v>
      </c>
      <c r="AE73" s="266">
        <f t="shared" si="23"/>
        <v>20235.558000000001</v>
      </c>
      <c r="AF73" s="266">
        <f t="shared" si="23"/>
        <v>20235.558000000001</v>
      </c>
      <c r="AG73" s="266">
        <f t="shared" si="24"/>
        <v>13490.372000000001</v>
      </c>
      <c r="AH73" s="266">
        <f t="shared" si="24"/>
        <v>13490.372000000001</v>
      </c>
      <c r="AI73" s="266">
        <f t="shared" si="25"/>
        <v>6745.1860000000006</v>
      </c>
      <c r="AJ73" s="266">
        <f t="shared" si="25"/>
        <v>6745.1860000000006</v>
      </c>
    </row>
    <row r="74" spans="1:36" x14ac:dyDescent="0.35">
      <c r="A74" s="321" t="str">
        <f>'Digital Plan - UPI'!B56</f>
        <v>Ahmedabad</v>
      </c>
      <c r="B74" s="293" t="str">
        <f>'Digital Plan - UPI'!C56</f>
        <v>Core</v>
      </c>
      <c r="C74" s="310" t="str">
        <f>'Digital Plan - UPI'!D56</f>
        <v>Mcanvas</v>
      </c>
      <c r="D74" s="263" t="str">
        <f>'Digital Plan - UPI'!E56</f>
        <v>Static</v>
      </c>
      <c r="E74" s="408" t="str">
        <f>'Digital Plan - UPI'!F56</f>
        <v xml:space="preserve">Network </v>
      </c>
      <c r="F74" s="404" t="str">
        <f>'Digital Plan - UPI'!G56</f>
        <v xml:space="preserve">Mobile </v>
      </c>
      <c r="G74" s="265" t="str">
        <f>'Digital Plan - UPI'!H56</f>
        <v>ROS</v>
      </c>
      <c r="H74" s="265" t="str">
        <f>'Digital Plan - UPI'!I56</f>
        <v xml:space="preserve">Single Screen Interstitial </v>
      </c>
      <c r="I74" s="309" t="str">
        <f>'Digital Plan - UPI'!J56</f>
        <v>Reff : Targeting Sheet</v>
      </c>
      <c r="J74" s="263" t="str">
        <f>'Digital Plan - UPI'!K56</f>
        <v>CPC</v>
      </c>
      <c r="K74" s="266">
        <f>'Digital Plan - UPI'!L56</f>
        <v>21</v>
      </c>
      <c r="L74" s="267">
        <f>'Digital Plan - UPI'!M56</f>
        <v>45460</v>
      </c>
      <c r="M74" s="267">
        <f>'Digital Plan - UPI'!N56</f>
        <v>45480</v>
      </c>
      <c r="N74" s="266">
        <f>'Digital Plan - UPI'!O56</f>
        <v>2125760.0000000005</v>
      </c>
      <c r="O74" s="268" t="str">
        <f>'Digital Plan - UPI'!P56</f>
        <v>-</v>
      </c>
      <c r="P74" s="269">
        <f>'Digital Plan - UPI'!Q56</f>
        <v>0.02</v>
      </c>
      <c r="Q74" s="266">
        <f>'Digital Plan - UPI'!R56</f>
        <v>42515.200000000012</v>
      </c>
      <c r="R74" s="268" t="str">
        <f>'Digital Plan - UPI'!S56</f>
        <v>-</v>
      </c>
      <c r="S74" s="271" t="str">
        <f>'Digital Plan - UPI'!T56</f>
        <v>-</v>
      </c>
      <c r="T74" s="266">
        <f>'Digital Plan - UPI'!U56</f>
        <v>2125760.0000000005</v>
      </c>
      <c r="U74" s="266">
        <f>'Digital Plan - UPI'!V56</f>
        <v>1</v>
      </c>
      <c r="V74" s="272">
        <f>'Digital Plan - UPI'!X56</f>
        <v>4.5</v>
      </c>
      <c r="W74" s="273">
        <f>'Digital Plan - UPI'!Y56</f>
        <v>191318.40000000005</v>
      </c>
      <c r="X74" s="273">
        <f>'Digital Plan - UPI'!Z56</f>
        <v>90.000000000000014</v>
      </c>
      <c r="Y74" s="273">
        <f>'Digital Plan - UPI'!AA56</f>
        <v>4.5</v>
      </c>
      <c r="Z74" s="274">
        <f>'Digital Plan - UPI'!AB56</f>
        <v>3270400.0000000005</v>
      </c>
      <c r="AA74" s="275">
        <f>'Digital Plan - UPI'!AC56</f>
        <v>0.65</v>
      </c>
      <c r="AB74" s="259"/>
      <c r="AC74" s="266">
        <f t="shared" si="22"/>
        <v>425152.00000000012</v>
      </c>
      <c r="AD74" s="266">
        <f t="shared" si="22"/>
        <v>425152.00000000012</v>
      </c>
      <c r="AE74" s="266">
        <f t="shared" si="23"/>
        <v>318864.00000000006</v>
      </c>
      <c r="AF74" s="266">
        <f t="shared" si="23"/>
        <v>318864.00000000006</v>
      </c>
      <c r="AG74" s="266">
        <f t="shared" si="24"/>
        <v>212576.00000000006</v>
      </c>
      <c r="AH74" s="266">
        <f t="shared" si="24"/>
        <v>212576.00000000006</v>
      </c>
      <c r="AI74" s="266">
        <f t="shared" si="25"/>
        <v>106288.00000000003</v>
      </c>
      <c r="AJ74" s="266">
        <f t="shared" si="25"/>
        <v>106288.00000000003</v>
      </c>
    </row>
    <row r="75" spans="1:36" x14ac:dyDescent="0.35">
      <c r="A75" s="321" t="str">
        <f>'Digital Plan - UPI'!B57</f>
        <v>Ahmedabad</v>
      </c>
      <c r="B75" s="293" t="str">
        <f>'Digital Plan - UPI'!C57</f>
        <v>Core</v>
      </c>
      <c r="C75" s="310" t="str">
        <f>'Digital Plan - UPI'!D57</f>
        <v>Sports Display (Auction Deal)</v>
      </c>
      <c r="D75" s="314" t="str">
        <f>'Digital Plan - UPI'!E57</f>
        <v>Static</v>
      </c>
      <c r="E75" s="408" t="str">
        <f>'Digital Plan - UPI'!F57</f>
        <v>Sports</v>
      </c>
      <c r="F75" s="404" t="str">
        <f>'Digital Plan - UPI'!G57</f>
        <v>Mobile</v>
      </c>
      <c r="G75" s="265" t="str">
        <f>'Digital Plan - UPI'!H57</f>
        <v>ROS</v>
      </c>
      <c r="H75" s="265" t="str">
        <f>'Digital Plan - UPI'!I57</f>
        <v>Standard Banners</v>
      </c>
      <c r="I75" s="308" t="str">
        <f>'Digital Plan - UPI'!J57</f>
        <v>Geo + Demo (MF 18+)</v>
      </c>
      <c r="J75" s="263" t="str">
        <f>'Digital Plan - UPI'!K57</f>
        <v>CPM</v>
      </c>
      <c r="K75" s="266">
        <f>'Digital Plan - UPI'!L57</f>
        <v>13</v>
      </c>
      <c r="L75" s="267">
        <f>'Digital Plan - UPI'!M57</f>
        <v>45460</v>
      </c>
      <c r="M75" s="267">
        <f>'Digital Plan - UPI'!N57</f>
        <v>45472</v>
      </c>
      <c r="N75" s="266">
        <f>'Digital Plan - UPI'!O57</f>
        <v>640126.4</v>
      </c>
      <c r="O75" s="268" t="str">
        <f>'Digital Plan - UPI'!P57</f>
        <v>-</v>
      </c>
      <c r="P75" s="315">
        <f>'Digital Plan - UPI'!Q57</f>
        <v>5.0000000000000001E-3</v>
      </c>
      <c r="Q75" s="266">
        <f>'Digital Plan - UPI'!R57</f>
        <v>3200.6320000000001</v>
      </c>
      <c r="R75" s="268" t="str">
        <f>'Digital Plan - UPI'!S57</f>
        <v>-</v>
      </c>
      <c r="S75" s="271" t="str">
        <f>'Digital Plan - UPI'!T57</f>
        <v>-</v>
      </c>
      <c r="T75" s="266">
        <f>'Digital Plan - UPI'!U57</f>
        <v>320063.2</v>
      </c>
      <c r="U75" s="266">
        <f>'Digital Plan - UPI'!V57</f>
        <v>2</v>
      </c>
      <c r="V75" s="272">
        <f>'Digital Plan - UPI'!X57</f>
        <v>105</v>
      </c>
      <c r="W75" s="273">
        <f>'Digital Plan - UPI'!Y57</f>
        <v>67213.271999999997</v>
      </c>
      <c r="X75" s="273">
        <f>'Digital Plan - UPI'!Z57</f>
        <v>105</v>
      </c>
      <c r="Y75" s="273">
        <f>'Digital Plan - UPI'!AA57</f>
        <v>21</v>
      </c>
      <c r="Z75" s="274">
        <f>'Digital Plan - UPI'!AB57</f>
        <v>800158</v>
      </c>
      <c r="AA75" s="275">
        <f>'Digital Plan - UPI'!AC57</f>
        <v>0.4</v>
      </c>
      <c r="AB75" s="259"/>
      <c r="AC75" s="266"/>
      <c r="AD75" s="266"/>
      <c r="AE75" s="266">
        <f>N75/K75*2</f>
        <v>98480.984615384616</v>
      </c>
      <c r="AF75" s="266">
        <f>N75/K75*2</f>
        <v>98480.984615384616</v>
      </c>
      <c r="AG75" s="266"/>
      <c r="AH75" s="266"/>
      <c r="AI75" s="266">
        <f>N75/K75*2</f>
        <v>98480.984615384616</v>
      </c>
      <c r="AJ75" s="266"/>
    </row>
    <row r="76" spans="1:36" x14ac:dyDescent="0.35">
      <c r="A76" s="321" t="str">
        <f>'Digital Plan - UPI'!B58</f>
        <v>Ahmedabad</v>
      </c>
      <c r="B76" s="293" t="str">
        <f>'Digital Plan - UPI'!C58</f>
        <v>Core</v>
      </c>
      <c r="C76" s="311" t="str">
        <f>'Digital Plan - UPI'!D58</f>
        <v>NobrokerHood</v>
      </c>
      <c r="D76" s="263" t="str">
        <f>'Digital Plan - UPI'!E58</f>
        <v>Static</v>
      </c>
      <c r="E76" s="408" t="str">
        <f>'Digital Plan - UPI'!F58</f>
        <v>Community</v>
      </c>
      <c r="F76" s="404" t="str">
        <f>'Digital Plan - UPI'!G58</f>
        <v xml:space="preserve">Mobile </v>
      </c>
      <c r="G76" s="265" t="str">
        <f>'Digital Plan - UPI'!H58</f>
        <v>ROS</v>
      </c>
      <c r="H76" s="265" t="str">
        <f>'Digital Plan - UPI'!I58</f>
        <v>PAC</v>
      </c>
      <c r="I76" s="308" t="str">
        <f>'Digital Plan - UPI'!J58</f>
        <v>Reff : Targeting Sheet</v>
      </c>
      <c r="J76" s="263" t="str">
        <f>'Digital Plan - UPI'!K58</f>
        <v xml:space="preserve">CPM </v>
      </c>
      <c r="K76" s="266">
        <f>'Digital Plan - UPI'!L58</f>
        <v>6</v>
      </c>
      <c r="L76" s="267">
        <f>'Digital Plan - UPI'!M58</f>
        <v>45471</v>
      </c>
      <c r="M76" s="267">
        <f>'Digital Plan - UPI'!N58</f>
        <v>45476</v>
      </c>
      <c r="N76" s="266">
        <f>'Digital Plan - UPI'!O58</f>
        <v>155277.85714285716</v>
      </c>
      <c r="O76" s="268" t="str">
        <f>'Digital Plan - UPI'!P58</f>
        <v>-</v>
      </c>
      <c r="P76" s="315">
        <f>'Digital Plan - UPI'!Q58</f>
        <v>0.01</v>
      </c>
      <c r="Q76" s="266">
        <f>'Digital Plan - UPI'!R58</f>
        <v>1552.7785714285717</v>
      </c>
      <c r="R76" s="268" t="str">
        <f>'Digital Plan - UPI'!S58</f>
        <v>-</v>
      </c>
      <c r="S76" s="271" t="str">
        <f>'Digital Plan - UPI'!T58</f>
        <v>-</v>
      </c>
      <c r="T76" s="266">
        <f>'Digital Plan - UPI'!U58</f>
        <v>62111.142857142862</v>
      </c>
      <c r="U76" s="266">
        <f>'Digital Plan - UPI'!V58</f>
        <v>2.5</v>
      </c>
      <c r="V76" s="272">
        <f>'Digital Plan - UPI'!X58</f>
        <v>260</v>
      </c>
      <c r="W76" s="273">
        <f>'Digital Plan - UPI'!Y58</f>
        <v>40372.242857142861</v>
      </c>
      <c r="X76" s="273">
        <f>'Digital Plan - UPI'!Z58</f>
        <v>260</v>
      </c>
      <c r="Y76" s="273">
        <f>'Digital Plan - UPI'!AA58</f>
        <v>25.999999999999996</v>
      </c>
      <c r="Z76" s="274">
        <f>'Digital Plan - UPI'!AB58</f>
        <v>169080</v>
      </c>
      <c r="AA76" s="275">
        <f>'Digital Plan - UPI'!AC58</f>
        <v>0.36734766298286531</v>
      </c>
      <c r="AB76" s="259"/>
      <c r="AC76" s="266"/>
      <c r="AD76" s="266">
        <f>N76/K76*2</f>
        <v>51759.285714285717</v>
      </c>
      <c r="AE76" s="266">
        <f>N76/K76*2</f>
        <v>51759.285714285717</v>
      </c>
      <c r="AF76" s="266">
        <f>N76/K76*4</f>
        <v>103518.57142857143</v>
      </c>
      <c r="AG76" s="266"/>
      <c r="AH76" s="266"/>
      <c r="AI76" s="266">
        <f>N76/K76*4</f>
        <v>103518.57142857143</v>
      </c>
      <c r="AJ76" s="266">
        <f>N76/K76*2</f>
        <v>51759.285714285717</v>
      </c>
    </row>
    <row r="77" spans="1:36" x14ac:dyDescent="0.35">
      <c r="A77" s="277" t="str">
        <f>'Digital Plan - UPI'!B59</f>
        <v>Ahmedabad</v>
      </c>
      <c r="B77" s="278">
        <f>'Digital Plan - UPI'!C59</f>
        <v>0</v>
      </c>
      <c r="C77" s="279" t="str">
        <f>'Digital Plan - UPI'!D59</f>
        <v>Total</v>
      </c>
      <c r="D77" s="280">
        <f>'Digital Plan - UPI'!E59</f>
        <v>0</v>
      </c>
      <c r="E77" s="405">
        <f>'Digital Plan - UPI'!F59</f>
        <v>0</v>
      </c>
      <c r="F77" s="405">
        <f>'Digital Plan - UPI'!G59</f>
        <v>0</v>
      </c>
      <c r="G77" s="280">
        <f>'Digital Plan - UPI'!H59</f>
        <v>0</v>
      </c>
      <c r="H77" s="281">
        <f>'Digital Plan - UPI'!I59</f>
        <v>0</v>
      </c>
      <c r="I77" s="282">
        <f>'Digital Plan - UPI'!J59</f>
        <v>0</v>
      </c>
      <c r="J77" s="283">
        <f>'Digital Plan - UPI'!K59</f>
        <v>0</v>
      </c>
      <c r="K77" s="284">
        <f>'Digital Plan - UPI'!L59</f>
        <v>0</v>
      </c>
      <c r="L77" s="284">
        <f>'Digital Plan - UPI'!M59</f>
        <v>0</v>
      </c>
      <c r="M77" s="284">
        <f>'Digital Plan - UPI'!N59</f>
        <v>0</v>
      </c>
      <c r="N77" s="284">
        <f>'Digital Plan - UPI'!O59</f>
        <v>21069768.981655266</v>
      </c>
      <c r="O77" s="284">
        <f>'Digital Plan - UPI'!P59</f>
        <v>0</v>
      </c>
      <c r="P77" s="285">
        <f>'Digital Plan - UPI'!Q59</f>
        <v>4.7226807455802884E-3</v>
      </c>
      <c r="Q77" s="284">
        <f>'Digital Plan - UPI'!R59</f>
        <v>99505.792283488117</v>
      </c>
      <c r="R77" s="286">
        <f>'Digital Plan - UPI'!S59</f>
        <v>0</v>
      </c>
      <c r="S77" s="316">
        <f>'Digital Plan - UPI'!T59</f>
        <v>11586434.348633498</v>
      </c>
      <c r="T77" s="284">
        <f>'Digital Plan - UPI'!U59</f>
        <v>2708174.2564009996</v>
      </c>
      <c r="U77" s="284">
        <f>'Digital Plan - UPI'!V59</f>
        <v>7.7800639792122235</v>
      </c>
      <c r="V77" s="287">
        <f>'Digital Plan - UPI'!X59</f>
        <v>0</v>
      </c>
      <c r="W77" s="317">
        <f>'Digital Plan - UPI'!Y59</f>
        <v>2300390.5676126452</v>
      </c>
      <c r="X77" s="288">
        <f>'Digital Plan - UPI'!Z59</f>
        <v>109.17967679738288</v>
      </c>
      <c r="Y77" s="288">
        <f>'Digital Plan - UPI'!AA59</f>
        <v>23.118157393882381</v>
      </c>
      <c r="Z77" s="284">
        <f>'Digital Plan - UPI'!AB59</f>
        <v>3494320.9899500003</v>
      </c>
      <c r="AA77" s="289">
        <f>'Digital Plan - UPI'!AC59</f>
        <v>0.77502160339303872</v>
      </c>
      <c r="AB77" s="259"/>
      <c r="AC77" s="284"/>
      <c r="AD77" s="284"/>
      <c r="AE77" s="284"/>
      <c r="AF77" s="284"/>
      <c r="AG77" s="284"/>
      <c r="AH77" s="284"/>
      <c r="AI77" s="284"/>
      <c r="AJ77" s="284"/>
    </row>
    <row r="78" spans="1:36" x14ac:dyDescent="0.35">
      <c r="A78" s="321" t="e">
        <f>'Digital Plan - UPI'!#REF!</f>
        <v>#REF!</v>
      </c>
      <c r="B78" s="293" t="e">
        <f>'Digital Plan - UPI'!#REF!</f>
        <v>#REF!</v>
      </c>
      <c r="C78" s="294" t="e">
        <f>'Digital Plan - UPI'!#REF!</f>
        <v>#REF!</v>
      </c>
      <c r="D78" s="294" t="e">
        <f>'Digital Plan - UPI'!#REF!</f>
        <v>#REF!</v>
      </c>
      <c r="E78" s="406" t="e">
        <f>'Digital Plan - UPI'!#REF!</f>
        <v>#REF!</v>
      </c>
      <c r="F78" s="406" t="e">
        <f>'Digital Plan - UPI'!#REF!</f>
        <v>#REF!</v>
      </c>
      <c r="G78" s="296" t="e">
        <f>'Digital Plan - UPI'!#REF!</f>
        <v>#REF!</v>
      </c>
      <c r="H78" s="296" t="e">
        <f>'Digital Plan - UPI'!#REF!</f>
        <v>#REF!</v>
      </c>
      <c r="I78" s="297" t="e">
        <f>'Digital Plan - UPI'!#REF!</f>
        <v>#REF!</v>
      </c>
      <c r="J78" s="295" t="e">
        <f>'Digital Plan - UPI'!#REF!</f>
        <v>#REF!</v>
      </c>
      <c r="K78" s="298" t="e">
        <f>'Digital Plan - UPI'!#REF!</f>
        <v>#REF!</v>
      </c>
      <c r="L78" s="299" t="e">
        <f>'Digital Plan - UPI'!#REF!</f>
        <v>#REF!</v>
      </c>
      <c r="M78" s="299" t="e">
        <f>'Digital Plan - UPI'!#REF!</f>
        <v>#REF!</v>
      </c>
      <c r="N78" s="298" t="e">
        <f>'Digital Plan - UPI'!#REF!</f>
        <v>#REF!</v>
      </c>
      <c r="O78" s="300" t="e">
        <f>'Digital Plan - UPI'!#REF!</f>
        <v>#REF!</v>
      </c>
      <c r="P78" s="301" t="e">
        <f>'Digital Plan - UPI'!#REF!</f>
        <v>#REF!</v>
      </c>
      <c r="Q78" s="298" t="e">
        <f>'Digital Plan - UPI'!#REF!</f>
        <v>#REF!</v>
      </c>
      <c r="R78" s="302" t="e">
        <f>'Digital Plan - UPI'!#REF!</f>
        <v>#REF!</v>
      </c>
      <c r="S78" s="303" t="e">
        <f>'Digital Plan - UPI'!#REF!</f>
        <v>#REF!</v>
      </c>
      <c r="T78" s="298" t="e">
        <f>'Digital Plan - UPI'!#REF!</f>
        <v>#REF!</v>
      </c>
      <c r="U78" s="298" t="e">
        <f>'Digital Plan - UPI'!#REF!</f>
        <v>#REF!</v>
      </c>
      <c r="V78" s="304" t="e">
        <f>'Digital Plan - UPI'!#REF!</f>
        <v>#REF!</v>
      </c>
      <c r="W78" s="305" t="e">
        <f>'Digital Plan - UPI'!#REF!</f>
        <v>#REF!</v>
      </c>
      <c r="X78" s="305" t="e">
        <f>'Digital Plan - UPI'!#REF!</f>
        <v>#REF!</v>
      </c>
      <c r="Y78" s="305" t="e">
        <f>'Digital Plan - UPI'!#REF!</f>
        <v>#REF!</v>
      </c>
      <c r="Z78" s="306" t="e">
        <f>'Digital Plan - UPI'!#REF!</f>
        <v>#REF!</v>
      </c>
      <c r="AA78" s="307" t="e">
        <f>'Digital Plan - UPI'!#REF!</f>
        <v>#REF!</v>
      </c>
      <c r="AB78" s="259"/>
      <c r="AC78" s="298" t="e">
        <f>N78/2</f>
        <v>#REF!</v>
      </c>
      <c r="AD78" s="298" t="e">
        <f>N78/2</f>
        <v>#REF!</v>
      </c>
      <c r="AE78" s="298"/>
      <c r="AF78" s="298"/>
      <c r="AG78" s="298"/>
      <c r="AH78" s="298"/>
      <c r="AI78" s="298"/>
      <c r="AJ78" s="298"/>
    </row>
    <row r="79" spans="1:36" x14ac:dyDescent="0.35">
      <c r="A79" s="321" t="e">
        <f>'Digital Plan - UPI'!#REF!</f>
        <v>#REF!</v>
      </c>
      <c r="B79" s="293" t="e">
        <f>'Digital Plan - UPI'!#REF!</f>
        <v>#REF!</v>
      </c>
      <c r="C79" s="295" t="e">
        <f>'Digital Plan - UPI'!#REF!</f>
        <v>#REF!</v>
      </c>
      <c r="D79" s="295" t="e">
        <f>'Digital Plan - UPI'!#REF!</f>
        <v>#REF!</v>
      </c>
      <c r="E79" s="406" t="e">
        <f>'Digital Plan - UPI'!#REF!</f>
        <v>#REF!</v>
      </c>
      <c r="F79" s="407" t="e">
        <f>'Digital Plan - UPI'!#REF!</f>
        <v>#REF!</v>
      </c>
      <c r="G79" s="296" t="e">
        <f>'Digital Plan - UPI'!#REF!</f>
        <v>#REF!</v>
      </c>
      <c r="H79" s="296" t="e">
        <f>'Digital Plan - UPI'!#REF!</f>
        <v>#REF!</v>
      </c>
      <c r="I79" s="297" t="e">
        <f>'Digital Plan - UPI'!#REF!</f>
        <v>#REF!</v>
      </c>
      <c r="J79" s="295" t="e">
        <f>'Digital Plan - UPI'!#REF!</f>
        <v>#REF!</v>
      </c>
      <c r="K79" s="298" t="e">
        <f>'Digital Plan - UPI'!#REF!</f>
        <v>#REF!</v>
      </c>
      <c r="L79" s="299" t="e">
        <f>'Digital Plan - UPI'!#REF!</f>
        <v>#REF!</v>
      </c>
      <c r="M79" s="299" t="e">
        <f>'Digital Plan - UPI'!#REF!</f>
        <v>#REF!</v>
      </c>
      <c r="N79" s="298" t="e">
        <f>'Digital Plan - UPI'!#REF!</f>
        <v>#REF!</v>
      </c>
      <c r="O79" s="300" t="e">
        <f>'Digital Plan - UPI'!#REF!</f>
        <v>#REF!</v>
      </c>
      <c r="P79" s="301" t="e">
        <f>'Digital Plan - UPI'!#REF!</f>
        <v>#REF!</v>
      </c>
      <c r="Q79" s="298" t="e">
        <f>'Digital Plan - UPI'!#REF!</f>
        <v>#REF!</v>
      </c>
      <c r="R79" s="302" t="e">
        <f>'Digital Plan - UPI'!#REF!</f>
        <v>#REF!</v>
      </c>
      <c r="S79" s="303" t="e">
        <f>'Digital Plan - UPI'!#REF!</f>
        <v>#REF!</v>
      </c>
      <c r="T79" s="298" t="e">
        <f>'Digital Plan - UPI'!#REF!</f>
        <v>#REF!</v>
      </c>
      <c r="U79" s="298" t="e">
        <f>'Digital Plan - UPI'!#REF!</f>
        <v>#REF!</v>
      </c>
      <c r="V79" s="304" t="e">
        <f>'Digital Plan - UPI'!#REF!</f>
        <v>#REF!</v>
      </c>
      <c r="W79" s="305" t="e">
        <f>'Digital Plan - UPI'!#REF!</f>
        <v>#REF!</v>
      </c>
      <c r="X79" s="305" t="e">
        <f>'Digital Plan - UPI'!#REF!</f>
        <v>#REF!</v>
      </c>
      <c r="Y79" s="305" t="e">
        <f>'Digital Plan - UPI'!#REF!</f>
        <v>#REF!</v>
      </c>
      <c r="Z79" s="306" t="e">
        <f>'Digital Plan - UPI'!#REF!</f>
        <v>#REF!</v>
      </c>
      <c r="AA79" s="307" t="e">
        <f>'Digital Plan - UPI'!#REF!</f>
        <v>#REF!</v>
      </c>
      <c r="AB79" s="259"/>
      <c r="AC79" s="298" t="e">
        <f>N79/2</f>
        <v>#REF!</v>
      </c>
      <c r="AD79" s="298" t="e">
        <f>N79/2</f>
        <v>#REF!</v>
      </c>
      <c r="AE79" s="298"/>
      <c r="AF79" s="298"/>
      <c r="AG79" s="298"/>
      <c r="AH79" s="298"/>
      <c r="AI79" s="298"/>
      <c r="AJ79" s="298"/>
    </row>
    <row r="80" spans="1:36" x14ac:dyDescent="0.35">
      <c r="A80" s="321" t="str">
        <f>'Digital Plan - UPI'!B60</f>
        <v>Chennai</v>
      </c>
      <c r="B80" s="293" t="str">
        <f>'Digital Plan - UPI'!C60</f>
        <v>Core - CTV</v>
      </c>
      <c r="C80" s="294" t="str">
        <f>'Digital Plan - UPI'!D60</f>
        <v>Connected TV PMP</v>
      </c>
      <c r="D80" s="294" t="str">
        <f>'Digital Plan - UPI'!E60</f>
        <v>Video</v>
      </c>
      <c r="E80" s="406" t="str">
        <f>'Digital Plan - UPI'!F60</f>
        <v xml:space="preserve">Entertainment </v>
      </c>
      <c r="F80" s="406" t="str">
        <f>'Digital Plan - UPI'!G60</f>
        <v>CTV</v>
      </c>
      <c r="G80" s="296" t="str">
        <f>'Digital Plan - UPI'!H60</f>
        <v>Instream</v>
      </c>
      <c r="H80" s="296" t="str">
        <f>'Digital Plan - UPI'!I60</f>
        <v xml:space="preserve">Video-6 Sec </v>
      </c>
      <c r="I80" s="297" t="str">
        <f>'Digital Plan - UPI'!J60</f>
        <v>Reff : Targeting Sheet</v>
      </c>
      <c r="J80" s="295" t="str">
        <f>'Digital Plan - UPI'!K60</f>
        <v>CPM</v>
      </c>
      <c r="K80" s="298">
        <f>'Digital Plan - UPI'!L60</f>
        <v>21</v>
      </c>
      <c r="L80" s="299">
        <f>'Digital Plan - UPI'!M60</f>
        <v>45460</v>
      </c>
      <c r="M80" s="299">
        <f>'Digital Plan - UPI'!N60</f>
        <v>45480</v>
      </c>
      <c r="N80" s="298">
        <f>'Digital Plan - UPI'!O60</f>
        <v>3328559.5322425603</v>
      </c>
      <c r="O80" s="300" t="str">
        <f>'Digital Plan - UPI'!P60</f>
        <v>-</v>
      </c>
      <c r="P80" s="301">
        <f>'Digital Plan - UPI'!Q60</f>
        <v>0</v>
      </c>
      <c r="Q80" s="298">
        <f>'Digital Plan - UPI'!R60</f>
        <v>0</v>
      </c>
      <c r="R80" s="302">
        <f>'Digital Plan - UPI'!S60</f>
        <v>0.85</v>
      </c>
      <c r="S80" s="303">
        <f>'Digital Plan - UPI'!T60</f>
        <v>2829275.6024061763</v>
      </c>
      <c r="T80" s="298">
        <f>'Digital Plan - UPI'!U60</f>
        <v>489494.04885919997</v>
      </c>
      <c r="U80" s="298">
        <f>'Digital Plan - UPI'!V60</f>
        <v>6.8000000000000007</v>
      </c>
      <c r="V80" s="304">
        <f>'Digital Plan - UPI'!X60</f>
        <v>125</v>
      </c>
      <c r="W80" s="305">
        <f>'Digital Plan - UPI'!Y60</f>
        <v>416069.94153032004</v>
      </c>
      <c r="X80" s="305">
        <f>'Digital Plan - UPI'!Z60</f>
        <v>125</v>
      </c>
      <c r="Y80" s="305">
        <f>'Digital Plan - UPI'!AA60</f>
        <v>0</v>
      </c>
      <c r="Z80" s="306">
        <f>'Digital Plan - UPI'!AB60</f>
        <v>569905</v>
      </c>
      <c r="AA80" s="307">
        <f>'Digital Plan - UPI'!AC60</f>
        <v>0.85890464</v>
      </c>
      <c r="AB80" s="259"/>
      <c r="AC80" s="298"/>
      <c r="AD80" s="298"/>
      <c r="AE80" s="298">
        <f>$N80/3</f>
        <v>1109519.8440808535</v>
      </c>
      <c r="AF80" s="298">
        <f t="shared" ref="AF80:AJ85" si="26">$N80/3</f>
        <v>1109519.8440808535</v>
      </c>
      <c r="AG80" s="298">
        <f t="shared" si="26"/>
        <v>1109519.8440808535</v>
      </c>
      <c r="AH80" s="298"/>
      <c r="AI80" s="298"/>
      <c r="AJ80" s="298"/>
    </row>
    <row r="81" spans="1:36" x14ac:dyDescent="0.35">
      <c r="A81" s="321" t="e">
        <f>'Digital Plan - UPI'!#REF!</f>
        <v>#REF!</v>
      </c>
      <c r="B81" s="293" t="e">
        <f>'Digital Plan - UPI'!#REF!</f>
        <v>#REF!</v>
      </c>
      <c r="C81" s="294" t="e">
        <f>'Digital Plan - UPI'!#REF!</f>
        <v>#REF!</v>
      </c>
      <c r="D81" s="294" t="e">
        <f>'Digital Plan - UPI'!#REF!</f>
        <v>#REF!</v>
      </c>
      <c r="E81" s="406" t="e">
        <f>'Digital Plan - UPI'!#REF!</f>
        <v>#REF!</v>
      </c>
      <c r="F81" s="406" t="e">
        <f>'Digital Plan - UPI'!#REF!</f>
        <v>#REF!</v>
      </c>
      <c r="G81" s="296" t="e">
        <f>'Digital Plan - UPI'!#REF!</f>
        <v>#REF!</v>
      </c>
      <c r="H81" s="296" t="e">
        <f>'Digital Plan - UPI'!#REF!</f>
        <v>#REF!</v>
      </c>
      <c r="I81" s="297" t="e">
        <f>'Digital Plan - UPI'!#REF!</f>
        <v>#REF!</v>
      </c>
      <c r="J81" s="295" t="e">
        <f>'Digital Plan - UPI'!#REF!</f>
        <v>#REF!</v>
      </c>
      <c r="K81" s="298" t="e">
        <f>'Digital Plan - UPI'!#REF!</f>
        <v>#REF!</v>
      </c>
      <c r="L81" s="299" t="e">
        <f>'Digital Plan - UPI'!#REF!</f>
        <v>#REF!</v>
      </c>
      <c r="M81" s="299" t="e">
        <f>'Digital Plan - UPI'!#REF!</f>
        <v>#REF!</v>
      </c>
      <c r="N81" s="298" t="e">
        <f>'Digital Plan - UPI'!#REF!</f>
        <v>#REF!</v>
      </c>
      <c r="O81" s="300" t="e">
        <f>'Digital Plan - UPI'!#REF!</f>
        <v>#REF!</v>
      </c>
      <c r="P81" s="301" t="e">
        <f>'Digital Plan - UPI'!#REF!</f>
        <v>#REF!</v>
      </c>
      <c r="Q81" s="298" t="e">
        <f>'Digital Plan - UPI'!#REF!</f>
        <v>#REF!</v>
      </c>
      <c r="R81" s="302" t="e">
        <f>'Digital Plan - UPI'!#REF!</f>
        <v>#REF!</v>
      </c>
      <c r="S81" s="303" t="e">
        <f>'Digital Plan - UPI'!#REF!</f>
        <v>#REF!</v>
      </c>
      <c r="T81" s="298" t="e">
        <f>'Digital Plan - UPI'!#REF!</f>
        <v>#REF!</v>
      </c>
      <c r="U81" s="298" t="e">
        <f>'Digital Plan - UPI'!#REF!</f>
        <v>#REF!</v>
      </c>
      <c r="V81" s="304" t="e">
        <f>'Digital Plan - UPI'!#REF!</f>
        <v>#REF!</v>
      </c>
      <c r="W81" s="305" t="e">
        <f>'Digital Plan - UPI'!#REF!</f>
        <v>#REF!</v>
      </c>
      <c r="X81" s="305" t="e">
        <f>'Digital Plan - UPI'!#REF!</f>
        <v>#REF!</v>
      </c>
      <c r="Y81" s="305" t="e">
        <f>'Digital Plan - UPI'!#REF!</f>
        <v>#REF!</v>
      </c>
      <c r="Z81" s="306" t="e">
        <f>'Digital Plan - UPI'!#REF!</f>
        <v>#REF!</v>
      </c>
      <c r="AA81" s="307" t="e">
        <f>'Digital Plan - UPI'!#REF!</f>
        <v>#REF!</v>
      </c>
      <c r="AB81" s="259"/>
      <c r="AC81" s="298"/>
      <c r="AD81" s="298"/>
      <c r="AE81" s="298"/>
      <c r="AF81" s="298"/>
      <c r="AG81" s="298"/>
      <c r="AH81" s="298" t="e">
        <f>$N81/3</f>
        <v>#REF!</v>
      </c>
      <c r="AI81" s="298" t="e">
        <f t="shared" si="26"/>
        <v>#REF!</v>
      </c>
      <c r="AJ81" s="298" t="e">
        <f t="shared" si="26"/>
        <v>#REF!</v>
      </c>
    </row>
    <row r="82" spans="1:36" x14ac:dyDescent="0.35">
      <c r="A82" s="321" t="str">
        <f>'Digital Plan - UPI'!B61</f>
        <v>Chennai</v>
      </c>
      <c r="B82" s="293" t="str">
        <f>'Digital Plan - UPI'!C61</f>
        <v>Core - CTV</v>
      </c>
      <c r="C82" s="295" t="str">
        <f>'Digital Plan - UPI'!D61</f>
        <v xml:space="preserve">YouTube </v>
      </c>
      <c r="D82" s="295" t="str">
        <f>'Digital Plan - UPI'!E61</f>
        <v>Video</v>
      </c>
      <c r="E82" s="406" t="str">
        <f>'Digital Plan - UPI'!F61</f>
        <v xml:space="preserve">Entertainment </v>
      </c>
      <c r="F82" s="407" t="str">
        <f>'Digital Plan - UPI'!G61</f>
        <v>CTV</v>
      </c>
      <c r="G82" s="296" t="str">
        <f>'Digital Plan - UPI'!H61</f>
        <v>Instream</v>
      </c>
      <c r="H82" s="296" t="str">
        <f>'Digital Plan - UPI'!I61</f>
        <v xml:space="preserve">Bumper 6 secs  </v>
      </c>
      <c r="I82" s="297" t="str">
        <f>'Digital Plan - UPI'!J61</f>
        <v>Reff : Targeting Sheet</v>
      </c>
      <c r="J82" s="295" t="str">
        <f>'Digital Plan - UPI'!K61</f>
        <v>CPM</v>
      </c>
      <c r="K82" s="298">
        <f>'Digital Plan - UPI'!L61</f>
        <v>21</v>
      </c>
      <c r="L82" s="299">
        <f>'Digital Plan - UPI'!M61</f>
        <v>45460</v>
      </c>
      <c r="M82" s="299">
        <f>'Digital Plan - UPI'!N61</f>
        <v>45480</v>
      </c>
      <c r="N82" s="298">
        <f>'Digital Plan - UPI'!O61</f>
        <v>10774324.2906</v>
      </c>
      <c r="O82" s="300" t="str">
        <f>'Digital Plan - UPI'!P61</f>
        <v>-</v>
      </c>
      <c r="P82" s="301">
        <f>'Digital Plan - UPI'!Q61</f>
        <v>0</v>
      </c>
      <c r="Q82" s="298">
        <f>'Digital Plan - UPI'!R61</f>
        <v>0</v>
      </c>
      <c r="R82" s="302">
        <f>'Digital Plan - UPI'!S61</f>
        <v>0.8</v>
      </c>
      <c r="S82" s="303">
        <f>'Digital Plan - UPI'!T61</f>
        <v>8619459.43248</v>
      </c>
      <c r="T82" s="298">
        <f>'Digital Plan - UPI'!U61</f>
        <v>1298111.3603132528</v>
      </c>
      <c r="U82" s="298">
        <f>'Digital Plan - UPI'!V61</f>
        <v>8.3000000000000007</v>
      </c>
      <c r="V82" s="304">
        <f>'Digital Plan - UPI'!X61</f>
        <v>110</v>
      </c>
      <c r="W82" s="305">
        <f>'Digital Plan - UPI'!Y61</f>
        <v>1185175.671966</v>
      </c>
      <c r="X82" s="305">
        <f>'Digital Plan - UPI'!Z61</f>
        <v>110</v>
      </c>
      <c r="Y82" s="305">
        <f>'Digital Plan - UPI'!AA61</f>
        <v>0</v>
      </c>
      <c r="Z82" s="306">
        <f>'Digital Plan - UPI'!AB61</f>
        <v>1443000</v>
      </c>
      <c r="AA82" s="307">
        <f>'Digital Plan - UPI'!AC61</f>
        <v>0.8995920722891565</v>
      </c>
      <c r="AB82" s="259"/>
      <c r="AC82" s="298"/>
      <c r="AD82" s="298"/>
      <c r="AE82" s="298">
        <f>$N82/3</f>
        <v>3591441.4301999998</v>
      </c>
      <c r="AF82" s="298">
        <f t="shared" si="26"/>
        <v>3591441.4301999998</v>
      </c>
      <c r="AG82" s="298">
        <f t="shared" si="26"/>
        <v>3591441.4301999998</v>
      </c>
      <c r="AH82" s="298"/>
      <c r="AI82" s="298"/>
      <c r="AJ82" s="298"/>
    </row>
    <row r="83" spans="1:36" x14ac:dyDescent="0.35">
      <c r="A83" s="321" t="e">
        <f>'Digital Plan - UPI'!#REF!</f>
        <v>#REF!</v>
      </c>
      <c r="B83" s="293" t="e">
        <f>'Digital Plan - UPI'!#REF!</f>
        <v>#REF!</v>
      </c>
      <c r="C83" s="295" t="e">
        <f>'Digital Plan - UPI'!#REF!</f>
        <v>#REF!</v>
      </c>
      <c r="D83" s="295" t="e">
        <f>'Digital Plan - UPI'!#REF!</f>
        <v>#REF!</v>
      </c>
      <c r="E83" s="406" t="e">
        <f>'Digital Plan - UPI'!#REF!</f>
        <v>#REF!</v>
      </c>
      <c r="F83" s="407" t="e">
        <f>'Digital Plan - UPI'!#REF!</f>
        <v>#REF!</v>
      </c>
      <c r="G83" s="296" t="e">
        <f>'Digital Plan - UPI'!#REF!</f>
        <v>#REF!</v>
      </c>
      <c r="H83" s="296" t="e">
        <f>'Digital Plan - UPI'!#REF!</f>
        <v>#REF!</v>
      </c>
      <c r="I83" s="297" t="e">
        <f>'Digital Plan - UPI'!#REF!</f>
        <v>#REF!</v>
      </c>
      <c r="J83" s="295" t="e">
        <f>'Digital Plan - UPI'!#REF!</f>
        <v>#REF!</v>
      </c>
      <c r="K83" s="298" t="e">
        <f>'Digital Plan - UPI'!#REF!</f>
        <v>#REF!</v>
      </c>
      <c r="L83" s="299" t="e">
        <f>'Digital Plan - UPI'!#REF!</f>
        <v>#REF!</v>
      </c>
      <c r="M83" s="299" t="e">
        <f>'Digital Plan - UPI'!#REF!</f>
        <v>#REF!</v>
      </c>
      <c r="N83" s="298" t="e">
        <f>'Digital Plan - UPI'!#REF!</f>
        <v>#REF!</v>
      </c>
      <c r="O83" s="300" t="e">
        <f>'Digital Plan - UPI'!#REF!</f>
        <v>#REF!</v>
      </c>
      <c r="P83" s="301" t="e">
        <f>'Digital Plan - UPI'!#REF!</f>
        <v>#REF!</v>
      </c>
      <c r="Q83" s="298" t="e">
        <f>'Digital Plan - UPI'!#REF!</f>
        <v>#REF!</v>
      </c>
      <c r="R83" s="302" t="e">
        <f>'Digital Plan - UPI'!#REF!</f>
        <v>#REF!</v>
      </c>
      <c r="S83" s="303" t="e">
        <f>'Digital Plan - UPI'!#REF!</f>
        <v>#REF!</v>
      </c>
      <c r="T83" s="298" t="e">
        <f>'Digital Plan - UPI'!#REF!</f>
        <v>#REF!</v>
      </c>
      <c r="U83" s="298" t="e">
        <f>'Digital Plan - UPI'!#REF!</f>
        <v>#REF!</v>
      </c>
      <c r="V83" s="304" t="e">
        <f>'Digital Plan - UPI'!#REF!</f>
        <v>#REF!</v>
      </c>
      <c r="W83" s="305" t="e">
        <f>'Digital Plan - UPI'!#REF!</f>
        <v>#REF!</v>
      </c>
      <c r="X83" s="305" t="e">
        <f>'Digital Plan - UPI'!#REF!</f>
        <v>#REF!</v>
      </c>
      <c r="Y83" s="305" t="e">
        <f>'Digital Plan - UPI'!#REF!</f>
        <v>#REF!</v>
      </c>
      <c r="Z83" s="306" t="e">
        <f>'Digital Plan - UPI'!#REF!</f>
        <v>#REF!</v>
      </c>
      <c r="AA83" s="307" t="e">
        <f>'Digital Plan - UPI'!#REF!</f>
        <v>#REF!</v>
      </c>
      <c r="AB83" s="259"/>
      <c r="AC83" s="298"/>
      <c r="AD83" s="298"/>
      <c r="AE83" s="298"/>
      <c r="AF83" s="298"/>
      <c r="AG83" s="298"/>
      <c r="AH83" s="298" t="e">
        <f>$N83/3</f>
        <v>#REF!</v>
      </c>
      <c r="AI83" s="298" t="e">
        <f t="shared" si="26"/>
        <v>#REF!</v>
      </c>
      <c r="AJ83" s="298" t="e">
        <f t="shared" si="26"/>
        <v>#REF!</v>
      </c>
    </row>
    <row r="84" spans="1:36" x14ac:dyDescent="0.35">
      <c r="A84" s="321" t="str">
        <f>'Digital Plan - UPI'!B62</f>
        <v>Chennai</v>
      </c>
      <c r="B84" s="293" t="str">
        <f>'Digital Plan - UPI'!C62</f>
        <v>Core</v>
      </c>
      <c r="C84" s="264" t="str">
        <f>'Digital Plan - UPI'!D62</f>
        <v>Meta</v>
      </c>
      <c r="D84" s="264" t="str">
        <f>'Digital Plan - UPI'!E62</f>
        <v>Video</v>
      </c>
      <c r="E84" s="404" t="str">
        <f>'Digital Plan - UPI'!F62</f>
        <v xml:space="preserve">Entertainment </v>
      </c>
      <c r="F84" s="404" t="str">
        <f>'Digital Plan - UPI'!G62</f>
        <v xml:space="preserve">Mobile </v>
      </c>
      <c r="G84" s="265" t="str">
        <f>'Digital Plan - UPI'!H62</f>
        <v xml:space="preserve">Instream </v>
      </c>
      <c r="H84" s="265" t="str">
        <f>'Digital Plan - UPI'!I62</f>
        <v>Instream - 6 Sec</v>
      </c>
      <c r="I84" s="308" t="str">
        <f>'Digital Plan - UPI'!J62</f>
        <v>Reff : Targeting Sheet</v>
      </c>
      <c r="J84" s="263" t="str">
        <f>'Digital Plan - UPI'!K62</f>
        <v>CPM</v>
      </c>
      <c r="K84" s="266">
        <f>'Digital Plan - UPI'!L62</f>
        <v>21</v>
      </c>
      <c r="L84" s="267">
        <f>'Digital Plan - UPI'!M62</f>
        <v>45460</v>
      </c>
      <c r="M84" s="267">
        <f>'Digital Plan - UPI'!N62</f>
        <v>45480</v>
      </c>
      <c r="N84" s="266">
        <f>'Digital Plan - UPI'!O62</f>
        <v>2880635.3138062498</v>
      </c>
      <c r="O84" s="268" t="str">
        <f>'Digital Plan - UPI'!P62</f>
        <v>-</v>
      </c>
      <c r="P84" s="269">
        <f>'Digital Plan - UPI'!Q62</f>
        <v>1E-3</v>
      </c>
      <c r="Q84" s="266">
        <f>'Digital Plan - UPI'!R62</f>
        <v>2880.63531380625</v>
      </c>
      <c r="R84" s="270">
        <f>'Digital Plan - UPI'!S62</f>
        <v>0.7</v>
      </c>
      <c r="S84" s="271">
        <f>'Digital Plan - UPI'!T62</f>
        <v>2016444.7196643746</v>
      </c>
      <c r="T84" s="266">
        <f>'Digital Plan - UPI'!U62</f>
        <v>1646077.3221749999</v>
      </c>
      <c r="U84" s="266">
        <f>'Digital Plan - UPI'!V62</f>
        <v>1.75</v>
      </c>
      <c r="V84" s="272">
        <f>'Digital Plan - UPI'!X62</f>
        <v>70</v>
      </c>
      <c r="W84" s="273">
        <f>'Digital Plan - UPI'!Y62</f>
        <v>201644.47196643747</v>
      </c>
      <c r="X84" s="273">
        <f>'Digital Plan - UPI'!Z62</f>
        <v>69.999999999999986</v>
      </c>
      <c r="Y84" s="273">
        <f>'Digital Plan - UPI'!AA62</f>
        <v>69.999999999999986</v>
      </c>
      <c r="Z84" s="274">
        <f>'Digital Plan - UPI'!AB62</f>
        <v>2698410</v>
      </c>
      <c r="AA84" s="275">
        <f>'Digital Plan - UPI'!AC62</f>
        <v>0.61001749999999999</v>
      </c>
      <c r="AB84" s="259"/>
      <c r="AC84" s="266"/>
      <c r="AD84" s="266"/>
      <c r="AE84" s="266">
        <f>$N84/3</f>
        <v>960211.77126874996</v>
      </c>
      <c r="AF84" s="266">
        <f t="shared" si="26"/>
        <v>960211.77126874996</v>
      </c>
      <c r="AG84" s="266">
        <f t="shared" si="26"/>
        <v>960211.77126874996</v>
      </c>
      <c r="AH84" s="266"/>
      <c r="AI84" s="266"/>
      <c r="AJ84" s="266"/>
    </row>
    <row r="85" spans="1:36" x14ac:dyDescent="0.35">
      <c r="A85" s="321" t="str">
        <f>'Digital Plan - UPI'!B63</f>
        <v>Chennai</v>
      </c>
      <c r="B85" s="293" t="str">
        <f>'Digital Plan - UPI'!C63</f>
        <v>Core</v>
      </c>
      <c r="C85" s="264" t="str">
        <f>'Digital Plan - UPI'!D63</f>
        <v xml:space="preserve">YouTube </v>
      </c>
      <c r="D85" s="264" t="str">
        <f>'Digital Plan - UPI'!E63</f>
        <v>Video</v>
      </c>
      <c r="E85" s="404" t="str">
        <f>'Digital Plan - UPI'!F63</f>
        <v xml:space="preserve">Entertainment </v>
      </c>
      <c r="F85" s="404" t="str">
        <f>'Digital Plan - UPI'!G63</f>
        <v xml:space="preserve">Mobile </v>
      </c>
      <c r="G85" s="265" t="str">
        <f>'Digital Plan - UPI'!H63</f>
        <v xml:space="preserve">Instream </v>
      </c>
      <c r="H85" s="265" t="str">
        <f>'Digital Plan - UPI'!I63</f>
        <v xml:space="preserve">Bumper 6 secs  </v>
      </c>
      <c r="I85" s="308" t="str">
        <f>'Digital Plan - UPI'!J63</f>
        <v>Reff : Targeting Sheet</v>
      </c>
      <c r="J85" s="263" t="str">
        <f>'Digital Plan - UPI'!K63</f>
        <v>CPM</v>
      </c>
      <c r="K85" s="266">
        <f>'Digital Plan - UPI'!L63</f>
        <v>21</v>
      </c>
      <c r="L85" s="267">
        <f>'Digital Plan - UPI'!M63</f>
        <v>45460</v>
      </c>
      <c r="M85" s="267">
        <f>'Digital Plan - UPI'!N63</f>
        <v>45480</v>
      </c>
      <c r="N85" s="266">
        <f>'Digital Plan - UPI'!O63</f>
        <v>4255948.1250000009</v>
      </c>
      <c r="O85" s="268" t="str">
        <f>'Digital Plan - UPI'!P63</f>
        <v>-</v>
      </c>
      <c r="P85" s="269">
        <f>'Digital Plan - UPI'!Q63</f>
        <v>1E-3</v>
      </c>
      <c r="Q85" s="266">
        <f>'Digital Plan - UPI'!R63</f>
        <v>4255.9481250000008</v>
      </c>
      <c r="R85" s="270">
        <f>'Digital Plan - UPI'!S63</f>
        <v>0.8</v>
      </c>
      <c r="S85" s="271">
        <f>'Digital Plan - UPI'!T63</f>
        <v>3404758.5000000009</v>
      </c>
      <c r="T85" s="266">
        <f>'Digital Plan - UPI'!U63</f>
        <v>2086249.0808823535</v>
      </c>
      <c r="U85" s="266">
        <f>'Digital Plan - UPI'!V63</f>
        <v>2.04</v>
      </c>
      <c r="V85" s="272">
        <f>'Digital Plan - UPI'!X63</f>
        <v>80</v>
      </c>
      <c r="W85" s="273">
        <f>'Digital Plan - UPI'!Y63</f>
        <v>340475.85000000003</v>
      </c>
      <c r="X85" s="273">
        <f>'Digital Plan - UPI'!Z63</f>
        <v>79.999999999999986</v>
      </c>
      <c r="Y85" s="273">
        <f>'Digital Plan - UPI'!AA63</f>
        <v>80</v>
      </c>
      <c r="Z85" s="274">
        <f>'Digital Plan - UPI'!AB63</f>
        <v>3174600</v>
      </c>
      <c r="AA85" s="275">
        <f>'Digital Plan - UPI'!AC63</f>
        <v>0.65716911764705899</v>
      </c>
      <c r="AB85" s="259"/>
      <c r="AC85" s="266"/>
      <c r="AD85" s="266"/>
      <c r="AE85" s="266"/>
      <c r="AF85" s="266"/>
      <c r="AG85" s="266"/>
      <c r="AH85" s="266">
        <f>$N85/3</f>
        <v>1418649.3750000002</v>
      </c>
      <c r="AI85" s="266">
        <f t="shared" si="26"/>
        <v>1418649.3750000002</v>
      </c>
      <c r="AJ85" s="266">
        <f t="shared" si="26"/>
        <v>1418649.3750000002</v>
      </c>
    </row>
    <row r="86" spans="1:36" x14ac:dyDescent="0.35">
      <c r="A86" s="321" t="str">
        <f>'Digital Plan - UPI'!B64</f>
        <v>Chennai</v>
      </c>
      <c r="B86" s="293" t="str">
        <f>'Digital Plan - UPI'!C64</f>
        <v>Core</v>
      </c>
      <c r="C86" s="263" t="str">
        <f>'Digital Plan - UPI'!D64</f>
        <v xml:space="preserve">DSP </v>
      </c>
      <c r="D86" s="263" t="str">
        <f>'Digital Plan - UPI'!E64</f>
        <v>Static</v>
      </c>
      <c r="E86" s="404" t="str">
        <f>'Digital Plan - UPI'!F64</f>
        <v xml:space="preserve">Network </v>
      </c>
      <c r="F86" s="404" t="str">
        <f>'Digital Plan - UPI'!G64</f>
        <v>Mobile</v>
      </c>
      <c r="G86" s="265" t="str">
        <f>'Digital Plan - UPI'!H64</f>
        <v>ROS</v>
      </c>
      <c r="H86" s="265" t="str">
        <f>'Digital Plan - UPI'!I64</f>
        <v>Large Formats</v>
      </c>
      <c r="I86" s="309" t="str">
        <f>'Digital Plan - UPI'!J64</f>
        <v>Reff : Targeting Sheet</v>
      </c>
      <c r="J86" s="263" t="str">
        <f>'Digital Plan - UPI'!K64</f>
        <v>CPM</v>
      </c>
      <c r="K86" s="266">
        <f>'Digital Plan - UPI'!L64</f>
        <v>21</v>
      </c>
      <c r="L86" s="267">
        <f>'Digital Plan - UPI'!M64</f>
        <v>45460</v>
      </c>
      <c r="M86" s="267">
        <f>'Digital Plan - UPI'!N64</f>
        <v>45480</v>
      </c>
      <c r="N86" s="266">
        <f>'Digital Plan - UPI'!O64</f>
        <v>1651344.76960596</v>
      </c>
      <c r="O86" s="268" t="str">
        <f>'Digital Plan - UPI'!P64</f>
        <v>-</v>
      </c>
      <c r="P86" s="269">
        <f>'Digital Plan - UPI'!Q64</f>
        <v>1.4999999999999999E-2</v>
      </c>
      <c r="Q86" s="266">
        <f>'Digital Plan - UPI'!R64</f>
        <v>24770.1715440894</v>
      </c>
      <c r="R86" s="268" t="str">
        <f>'Digital Plan - UPI'!S64</f>
        <v>-</v>
      </c>
      <c r="S86" s="271" t="str">
        <f>'Digital Plan - UPI'!T64</f>
        <v>-</v>
      </c>
      <c r="T86" s="266">
        <f>'Digital Plan - UPI'!U64</f>
        <v>825672.38480298</v>
      </c>
      <c r="U86" s="266">
        <f>'Digital Plan - UPI'!V64</f>
        <v>2</v>
      </c>
      <c r="V86" s="272">
        <f>'Digital Plan - UPI'!X64</f>
        <v>105</v>
      </c>
      <c r="W86" s="273">
        <f>'Digital Plan - UPI'!Y64</f>
        <v>173391.20080862578</v>
      </c>
      <c r="X86" s="273">
        <f>'Digital Plan - UPI'!Z64</f>
        <v>105</v>
      </c>
      <c r="Y86" s="273">
        <f>'Digital Plan - UPI'!AA64</f>
        <v>6.9999999999999991</v>
      </c>
      <c r="Z86" s="274">
        <f>'Digital Plan - UPI'!AB64</f>
        <v>2563489.5</v>
      </c>
      <c r="AA86" s="275">
        <f>'Digital Plan - UPI'!AC64</f>
        <v>0.32208924</v>
      </c>
      <c r="AB86" s="259"/>
      <c r="AC86" s="266">
        <f t="shared" ref="AC86:AD90" si="27">$N86*20%</f>
        <v>330268.95392119203</v>
      </c>
      <c r="AD86" s="266">
        <f t="shared" si="27"/>
        <v>330268.95392119203</v>
      </c>
      <c r="AE86" s="266">
        <f t="shared" ref="AE86:AF90" si="28">$N86*15%</f>
        <v>247701.71544089398</v>
      </c>
      <c r="AF86" s="266">
        <f t="shared" si="28"/>
        <v>247701.71544089398</v>
      </c>
      <c r="AG86" s="266">
        <f t="shared" ref="AG86:AH90" si="29">$N86*10%</f>
        <v>165134.47696059602</v>
      </c>
      <c r="AH86" s="266">
        <f t="shared" si="29"/>
        <v>165134.47696059602</v>
      </c>
      <c r="AI86" s="266">
        <f t="shared" ref="AI86:AJ90" si="30">$N86*5%</f>
        <v>82567.238480298009</v>
      </c>
      <c r="AJ86" s="266">
        <f t="shared" si="30"/>
        <v>82567.238480298009</v>
      </c>
    </row>
    <row r="87" spans="1:36" x14ac:dyDescent="0.35">
      <c r="A87" s="321" t="str">
        <f>'Digital Plan - UPI'!B65</f>
        <v>Chennai</v>
      </c>
      <c r="B87" s="293" t="str">
        <f>'Digital Plan - UPI'!C65</f>
        <v>Core</v>
      </c>
      <c r="C87" s="310" t="str">
        <f>'Digital Plan - UPI'!D65</f>
        <v>Mediakart</v>
      </c>
      <c r="D87" s="263" t="str">
        <f>'Digital Plan - UPI'!E65</f>
        <v>Static</v>
      </c>
      <c r="E87" s="408" t="str">
        <f>'Digital Plan - UPI'!F65</f>
        <v xml:space="preserve">Network </v>
      </c>
      <c r="F87" s="404" t="str">
        <f>'Digital Plan - UPI'!G65</f>
        <v xml:space="preserve">Mobile </v>
      </c>
      <c r="G87" s="265" t="str">
        <f>'Digital Plan - UPI'!H65</f>
        <v>ROS</v>
      </c>
      <c r="H87" s="265" t="str">
        <f>'Digital Plan - UPI'!I65</f>
        <v>Interstitial Static banner</v>
      </c>
      <c r="I87" s="309" t="str">
        <f>'Digital Plan - UPI'!J65</f>
        <v>Reff : Targeting Sheet</v>
      </c>
      <c r="J87" s="263" t="str">
        <f>'Digital Plan - UPI'!K65</f>
        <v xml:space="preserve">CPM </v>
      </c>
      <c r="K87" s="266">
        <f>'Digital Plan - UPI'!L65</f>
        <v>21</v>
      </c>
      <c r="L87" s="267">
        <f>'Digital Plan - UPI'!M65</f>
        <v>45460</v>
      </c>
      <c r="M87" s="267">
        <f>'Digital Plan - UPI'!N65</f>
        <v>45480</v>
      </c>
      <c r="N87" s="266">
        <f>'Digital Plan - UPI'!O65</f>
        <v>1804924.7567427999</v>
      </c>
      <c r="O87" s="268" t="str">
        <f>'Digital Plan - UPI'!P65</f>
        <v>-</v>
      </c>
      <c r="P87" s="269">
        <f>'Digital Plan - UPI'!Q65</f>
        <v>1.4999999999999999E-2</v>
      </c>
      <c r="Q87" s="266">
        <f>'Digital Plan - UPI'!R65</f>
        <v>27073.871351141996</v>
      </c>
      <c r="R87" s="268" t="str">
        <f>'Digital Plan - UPI'!S65</f>
        <v>-</v>
      </c>
      <c r="S87" s="271" t="str">
        <f>'Digital Plan - UPI'!T65</f>
        <v>-</v>
      </c>
      <c r="T87" s="266">
        <f>'Digital Plan - UPI'!U65</f>
        <v>902462.37837139994</v>
      </c>
      <c r="U87" s="266">
        <f>'Digital Plan - UPI'!V65</f>
        <v>2</v>
      </c>
      <c r="V87" s="272">
        <f>'Digital Plan - UPI'!X65</f>
        <v>120</v>
      </c>
      <c r="W87" s="273">
        <f>'Digital Plan - UPI'!Y65</f>
        <v>216590.97080913599</v>
      </c>
      <c r="X87" s="273">
        <f>'Digital Plan - UPI'!Z65</f>
        <v>120.00000000000001</v>
      </c>
      <c r="Y87" s="273">
        <f>'Digital Plan - UPI'!AA65</f>
        <v>8.0000000000000018</v>
      </c>
      <c r="Z87" s="274">
        <f>'Digital Plan - UPI'!AB65</f>
        <v>1681141</v>
      </c>
      <c r="AA87" s="275">
        <f>'Digital Plan - UPI'!AC65</f>
        <v>0.53681539999999994</v>
      </c>
      <c r="AB87" s="259"/>
      <c r="AC87" s="266">
        <f t="shared" si="27"/>
        <v>360984.95134855999</v>
      </c>
      <c r="AD87" s="266">
        <f t="shared" si="27"/>
        <v>360984.95134855999</v>
      </c>
      <c r="AE87" s="266">
        <f t="shared" si="28"/>
        <v>270738.71351141995</v>
      </c>
      <c r="AF87" s="266">
        <f t="shared" si="28"/>
        <v>270738.71351141995</v>
      </c>
      <c r="AG87" s="266">
        <f t="shared" si="29"/>
        <v>180492.47567427999</v>
      </c>
      <c r="AH87" s="266">
        <f t="shared" si="29"/>
        <v>180492.47567427999</v>
      </c>
      <c r="AI87" s="266">
        <f t="shared" si="30"/>
        <v>90246.237837139997</v>
      </c>
      <c r="AJ87" s="266">
        <f t="shared" si="30"/>
        <v>90246.237837139997</v>
      </c>
    </row>
    <row r="88" spans="1:36" x14ac:dyDescent="0.35">
      <c r="A88" s="321" t="str">
        <f>'Digital Plan - UPI'!B66</f>
        <v>Chennai</v>
      </c>
      <c r="B88" s="293" t="str">
        <f>'Digital Plan - UPI'!C66</f>
        <v>Core</v>
      </c>
      <c r="C88" s="310" t="str">
        <f>'Digital Plan - UPI'!D66</f>
        <v>Dailyhunt</v>
      </c>
      <c r="D88" s="311" t="str">
        <f>'Digital Plan - UPI'!E66</f>
        <v>Static</v>
      </c>
      <c r="E88" s="408" t="str">
        <f>'Digital Plan - UPI'!F66</f>
        <v>News</v>
      </c>
      <c r="F88" s="404" t="str">
        <f>'Digital Plan - UPI'!G66</f>
        <v xml:space="preserve">Mobile </v>
      </c>
      <c r="G88" s="310" t="str">
        <f>'Digital Plan - UPI'!H66</f>
        <v>ROS</v>
      </c>
      <c r="H88" s="263" t="str">
        <f>'Digital Plan - UPI'!I66</f>
        <v>Page Insert - Innovation</v>
      </c>
      <c r="I88" s="309" t="str">
        <f>'Digital Plan - UPI'!J66</f>
        <v>Reff : Targeting Sheet</v>
      </c>
      <c r="J88" s="263" t="str">
        <f>'Digital Plan - UPI'!K66</f>
        <v>CPM</v>
      </c>
      <c r="K88" s="266">
        <f>'Digital Plan - UPI'!L66</f>
        <v>21</v>
      </c>
      <c r="L88" s="267">
        <f>'Digital Plan - UPI'!M66</f>
        <v>45460</v>
      </c>
      <c r="M88" s="267">
        <f>'Digital Plan - UPI'!N66</f>
        <v>45480</v>
      </c>
      <c r="N88" s="266">
        <f>'Digital Plan - UPI'!O66</f>
        <v>650280.26739825611</v>
      </c>
      <c r="O88" s="268" t="str">
        <f>'Digital Plan - UPI'!P66</f>
        <v>-</v>
      </c>
      <c r="P88" s="312">
        <f>'Digital Plan - UPI'!Q66</f>
        <v>0.01</v>
      </c>
      <c r="Q88" s="266">
        <f>'Digital Plan - UPI'!R66</f>
        <v>6502.8026739825609</v>
      </c>
      <c r="R88" s="268" t="str">
        <f>'Digital Plan - UPI'!S66</f>
        <v>-</v>
      </c>
      <c r="S88" s="271" t="str">
        <f>'Digital Plan - UPI'!T66</f>
        <v>-</v>
      </c>
      <c r="T88" s="266">
        <f>'Digital Plan - UPI'!U66</f>
        <v>325140.13369912806</v>
      </c>
      <c r="U88" s="266">
        <f>'Digital Plan - UPI'!V66</f>
        <v>2</v>
      </c>
      <c r="V88" s="272">
        <f>'Digital Plan - UPI'!X66</f>
        <v>200</v>
      </c>
      <c r="W88" s="273">
        <f>'Digital Plan - UPI'!Y66</f>
        <v>130056.05347965122</v>
      </c>
      <c r="X88" s="273">
        <f>'Digital Plan - UPI'!Z66</f>
        <v>200</v>
      </c>
      <c r="Y88" s="273">
        <f>'Digital Plan - UPI'!AA66</f>
        <v>20</v>
      </c>
      <c r="Z88" s="274">
        <f>'Digital Plan - UPI'!AB66</f>
        <v>1376553</v>
      </c>
      <c r="AA88" s="275">
        <f>'Digital Plan - UPI'!AC66</f>
        <v>0.23619877600000003</v>
      </c>
      <c r="AB88" s="259"/>
      <c r="AC88" s="266">
        <f t="shared" si="27"/>
        <v>130056.05347965122</v>
      </c>
      <c r="AD88" s="266">
        <f t="shared" si="27"/>
        <v>130056.05347965122</v>
      </c>
      <c r="AE88" s="266">
        <f t="shared" si="28"/>
        <v>97542.040109738417</v>
      </c>
      <c r="AF88" s="266">
        <f t="shared" si="28"/>
        <v>97542.040109738417</v>
      </c>
      <c r="AG88" s="266">
        <f t="shared" si="29"/>
        <v>65028.026739825611</v>
      </c>
      <c r="AH88" s="266">
        <f t="shared" si="29"/>
        <v>65028.026739825611</v>
      </c>
      <c r="AI88" s="266">
        <f t="shared" si="30"/>
        <v>32514.013369912806</v>
      </c>
      <c r="AJ88" s="266">
        <f t="shared" si="30"/>
        <v>32514.013369912806</v>
      </c>
    </row>
    <row r="89" spans="1:36" x14ac:dyDescent="0.35">
      <c r="A89" s="321" t="str">
        <f>'Digital Plan - UPI'!B67</f>
        <v>Chennai</v>
      </c>
      <c r="B89" s="293" t="str">
        <f>'Digital Plan - UPI'!C67</f>
        <v>Core</v>
      </c>
      <c r="C89" s="310" t="str">
        <f>'Digital Plan - UPI'!D67</f>
        <v>UBER</v>
      </c>
      <c r="D89" s="263" t="str">
        <f>'Digital Plan - UPI'!E67</f>
        <v>Static</v>
      </c>
      <c r="E89" s="408" t="str">
        <f>'Digital Plan - UPI'!F67</f>
        <v>Utility</v>
      </c>
      <c r="F89" s="404" t="str">
        <f>'Digital Plan - UPI'!G67</f>
        <v xml:space="preserve">Mobile </v>
      </c>
      <c r="G89" s="265" t="str">
        <f>'Digital Plan - UPI'!H67</f>
        <v>ROS</v>
      </c>
      <c r="H89" s="265" t="str">
        <f>'Digital Plan - UPI'!I67</f>
        <v>Journey Ads</v>
      </c>
      <c r="I89" s="309" t="str">
        <f>'Digital Plan - UPI'!J67</f>
        <v>NA</v>
      </c>
      <c r="J89" s="263" t="str">
        <f>'Digital Plan - UPI'!K67</f>
        <v>CPT</v>
      </c>
      <c r="K89" s="266">
        <f>'Digital Plan - UPI'!L67</f>
        <v>21</v>
      </c>
      <c r="L89" s="267">
        <f>'Digital Plan - UPI'!M67</f>
        <v>45460</v>
      </c>
      <c r="M89" s="267">
        <f>'Digital Plan - UPI'!N67</f>
        <v>45480</v>
      </c>
      <c r="N89" s="266">
        <f>'Digital Plan - UPI'!O67</f>
        <v>287794.36000000004</v>
      </c>
      <c r="O89" s="268">
        <f>'Digital Plan - UPI'!P67</f>
        <v>95931.453333333353</v>
      </c>
      <c r="P89" s="269">
        <f>'Digital Plan - UPI'!Q67</f>
        <v>1.4999999999999999E-2</v>
      </c>
      <c r="Q89" s="266">
        <f>'Digital Plan - UPI'!R67</f>
        <v>4316.9154000000008</v>
      </c>
      <c r="R89" s="268" t="str">
        <f>'Digital Plan - UPI'!S67</f>
        <v>-</v>
      </c>
      <c r="S89" s="271" t="str">
        <f>'Digital Plan - UPI'!T67</f>
        <v>-</v>
      </c>
      <c r="T89" s="266">
        <f>'Digital Plan - UPI'!U67</f>
        <v>95931.453333333353</v>
      </c>
      <c r="U89" s="266">
        <f>'Digital Plan - UPI'!V67</f>
        <v>3</v>
      </c>
      <c r="V89" s="272">
        <f>'Digital Plan - UPI'!X67</f>
        <v>1.5</v>
      </c>
      <c r="W89" s="273">
        <f>'Digital Plan - UPI'!Y67</f>
        <v>143897.18000000002</v>
      </c>
      <c r="X89" s="273">
        <f>'Digital Plan - UPI'!Z67</f>
        <v>500</v>
      </c>
      <c r="Y89" s="273">
        <f>'Digital Plan - UPI'!AA67</f>
        <v>33.333333333333336</v>
      </c>
      <c r="Z89" s="274">
        <f>'Digital Plan - UPI'!AB67</f>
        <v>1027837</v>
      </c>
      <c r="AA89" s="275">
        <f>'Digital Plan - UPI'!AC67</f>
        <v>9.3333333333333351E-2</v>
      </c>
      <c r="AB89" s="259"/>
      <c r="AC89" s="266">
        <f t="shared" si="27"/>
        <v>57558.87200000001</v>
      </c>
      <c r="AD89" s="266">
        <f t="shared" si="27"/>
        <v>57558.87200000001</v>
      </c>
      <c r="AE89" s="266">
        <f t="shared" si="28"/>
        <v>43169.154000000002</v>
      </c>
      <c r="AF89" s="266">
        <f t="shared" si="28"/>
        <v>43169.154000000002</v>
      </c>
      <c r="AG89" s="266">
        <f t="shared" si="29"/>
        <v>28779.436000000005</v>
      </c>
      <c r="AH89" s="266">
        <f t="shared" si="29"/>
        <v>28779.436000000005</v>
      </c>
      <c r="AI89" s="266">
        <f t="shared" si="30"/>
        <v>14389.718000000003</v>
      </c>
      <c r="AJ89" s="266">
        <f t="shared" si="30"/>
        <v>14389.718000000003</v>
      </c>
    </row>
    <row r="90" spans="1:36" x14ac:dyDescent="0.35">
      <c r="A90" s="321" t="str">
        <f>'Digital Plan - UPI'!B68</f>
        <v>Chennai</v>
      </c>
      <c r="B90" s="293" t="str">
        <f>'Digital Plan - UPI'!C68</f>
        <v>Core</v>
      </c>
      <c r="C90" s="310" t="str">
        <f>'Digital Plan - UPI'!D68</f>
        <v>Mcanvas</v>
      </c>
      <c r="D90" s="263" t="str">
        <f>'Digital Plan - UPI'!E68</f>
        <v>Static</v>
      </c>
      <c r="E90" s="408" t="str">
        <f>'Digital Plan - UPI'!F68</f>
        <v xml:space="preserve">Network </v>
      </c>
      <c r="F90" s="404" t="str">
        <f>'Digital Plan - UPI'!G68</f>
        <v xml:space="preserve">Mobile </v>
      </c>
      <c r="G90" s="265" t="str">
        <f>'Digital Plan - UPI'!H68</f>
        <v>ROS</v>
      </c>
      <c r="H90" s="265" t="str">
        <f>'Digital Plan - UPI'!I68</f>
        <v xml:space="preserve">Single Screen Interstitial </v>
      </c>
      <c r="I90" s="309" t="str">
        <f>'Digital Plan - UPI'!J68</f>
        <v>Reff : Targeting Sheet</v>
      </c>
      <c r="J90" s="263" t="str">
        <f>'Digital Plan - UPI'!K68</f>
        <v>CPC</v>
      </c>
      <c r="K90" s="266">
        <f>'Digital Plan - UPI'!L68</f>
        <v>21</v>
      </c>
      <c r="L90" s="267">
        <f>'Digital Plan - UPI'!M68</f>
        <v>45460</v>
      </c>
      <c r="M90" s="267">
        <f>'Digital Plan - UPI'!N68</f>
        <v>45480</v>
      </c>
      <c r="N90" s="266">
        <f>'Digital Plan - UPI'!O68</f>
        <v>578407.85719199991</v>
      </c>
      <c r="O90" s="268" t="str">
        <f>'Digital Plan - UPI'!P68</f>
        <v>-</v>
      </c>
      <c r="P90" s="269">
        <f>'Digital Plan - UPI'!Q68</f>
        <v>0.02</v>
      </c>
      <c r="Q90" s="266">
        <f>'Digital Plan - UPI'!R68</f>
        <v>11568.157143839999</v>
      </c>
      <c r="R90" s="268" t="str">
        <f>'Digital Plan - UPI'!S68</f>
        <v>-</v>
      </c>
      <c r="S90" s="271" t="str">
        <f>'Digital Plan - UPI'!T68</f>
        <v>-</v>
      </c>
      <c r="T90" s="266">
        <f>'Digital Plan - UPI'!U68</f>
        <v>578407.85719199991</v>
      </c>
      <c r="U90" s="266">
        <f>'Digital Plan - UPI'!V68</f>
        <v>1</v>
      </c>
      <c r="V90" s="272">
        <f>'Digital Plan - UPI'!X68</f>
        <v>4.5</v>
      </c>
      <c r="W90" s="273">
        <f>'Digital Plan - UPI'!Y68</f>
        <v>52056.707147279994</v>
      </c>
      <c r="X90" s="273">
        <f>'Digital Plan - UPI'!Z68</f>
        <v>90.000000000000014</v>
      </c>
      <c r="Y90" s="273">
        <f>'Digital Plan - UPI'!AA68</f>
        <v>4.5</v>
      </c>
      <c r="Z90" s="274">
        <f>'Digital Plan - UPI'!AB68</f>
        <v>897899.99999999988</v>
      </c>
      <c r="AA90" s="275">
        <f>'Digital Plan - UPI'!AC68</f>
        <v>0.64417848</v>
      </c>
      <c r="AB90" s="259"/>
      <c r="AC90" s="266">
        <f t="shared" si="27"/>
        <v>115681.57143839999</v>
      </c>
      <c r="AD90" s="266">
        <f t="shared" si="27"/>
        <v>115681.57143839999</v>
      </c>
      <c r="AE90" s="266">
        <f t="shared" si="28"/>
        <v>86761.178578799983</v>
      </c>
      <c r="AF90" s="266">
        <f t="shared" si="28"/>
        <v>86761.178578799983</v>
      </c>
      <c r="AG90" s="266">
        <f t="shared" si="29"/>
        <v>57840.785719199994</v>
      </c>
      <c r="AH90" s="266">
        <f t="shared" si="29"/>
        <v>57840.785719199994</v>
      </c>
      <c r="AI90" s="266">
        <f t="shared" si="30"/>
        <v>28920.392859599997</v>
      </c>
      <c r="AJ90" s="266">
        <f t="shared" si="30"/>
        <v>28920.392859599997</v>
      </c>
    </row>
    <row r="91" spans="1:36" x14ac:dyDescent="0.35">
      <c r="A91" s="321" t="str">
        <f>'Digital Plan - UPI'!B69</f>
        <v>Chennai</v>
      </c>
      <c r="B91" s="293" t="str">
        <f>'Digital Plan - UPI'!C69</f>
        <v>Core</v>
      </c>
      <c r="C91" s="310" t="str">
        <f>'Digital Plan - UPI'!D69</f>
        <v>Sports Display (Auction Deal)</v>
      </c>
      <c r="D91" s="314" t="str">
        <f>'Digital Plan - UPI'!E69</f>
        <v>Static</v>
      </c>
      <c r="E91" s="408" t="str">
        <f>'Digital Plan - UPI'!F69</f>
        <v>Sports</v>
      </c>
      <c r="F91" s="404" t="str">
        <f>'Digital Plan - UPI'!G69</f>
        <v>Mobile</v>
      </c>
      <c r="G91" s="265" t="str">
        <f>'Digital Plan - UPI'!H69</f>
        <v>ROS</v>
      </c>
      <c r="H91" s="265" t="str">
        <f>'Digital Plan - UPI'!I69</f>
        <v>Standard Banners</v>
      </c>
      <c r="I91" s="308" t="str">
        <f>'Digital Plan - UPI'!J69</f>
        <v>Geo + Demo (MF 18+)</v>
      </c>
      <c r="J91" s="263" t="str">
        <f>'Digital Plan - UPI'!K69</f>
        <v>CPM</v>
      </c>
      <c r="K91" s="266">
        <f>'Digital Plan - UPI'!L69</f>
        <v>13</v>
      </c>
      <c r="L91" s="267">
        <f>'Digital Plan - UPI'!M69</f>
        <v>45460</v>
      </c>
      <c r="M91" s="267">
        <f>'Digital Plan - UPI'!N69</f>
        <v>45472</v>
      </c>
      <c r="N91" s="266">
        <f>'Digital Plan - UPI'!O69</f>
        <v>478691.04000000004</v>
      </c>
      <c r="O91" s="268" t="str">
        <f>'Digital Plan - UPI'!P69</f>
        <v>-</v>
      </c>
      <c r="P91" s="315">
        <f>'Digital Plan - UPI'!Q69</f>
        <v>5.0000000000000001E-3</v>
      </c>
      <c r="Q91" s="266">
        <f>'Digital Plan - UPI'!R69</f>
        <v>2393.4552000000003</v>
      </c>
      <c r="R91" s="268" t="str">
        <f>'Digital Plan - UPI'!S69</f>
        <v>-</v>
      </c>
      <c r="S91" s="271" t="str">
        <f>'Digital Plan - UPI'!T69</f>
        <v>-</v>
      </c>
      <c r="T91" s="266">
        <f>'Digital Plan - UPI'!U69</f>
        <v>239345.52000000002</v>
      </c>
      <c r="U91" s="266">
        <f>'Digital Plan - UPI'!V69</f>
        <v>2</v>
      </c>
      <c r="V91" s="272">
        <f>'Digital Plan - UPI'!X69</f>
        <v>105</v>
      </c>
      <c r="W91" s="273">
        <f>'Digital Plan - UPI'!Y69</f>
        <v>50262.559200000003</v>
      </c>
      <c r="X91" s="273">
        <f>'Digital Plan - UPI'!Z69</f>
        <v>105</v>
      </c>
      <c r="Y91" s="273">
        <f>'Digital Plan - UPI'!AA69</f>
        <v>21</v>
      </c>
      <c r="Z91" s="274">
        <f>'Digital Plan - UPI'!AB69</f>
        <v>598363.80000000005</v>
      </c>
      <c r="AA91" s="275">
        <f>'Digital Plan - UPI'!AC69</f>
        <v>0.4</v>
      </c>
      <c r="AB91" s="259"/>
      <c r="AC91" s="266"/>
      <c r="AD91" s="266"/>
      <c r="AE91" s="266">
        <f>N91/K91*2</f>
        <v>73644.775384615394</v>
      </c>
      <c r="AF91" s="266">
        <f>N91/K91*2</f>
        <v>73644.775384615394</v>
      </c>
      <c r="AG91" s="266"/>
      <c r="AH91" s="266"/>
      <c r="AI91" s="266">
        <f>N91/K91*2</f>
        <v>73644.775384615394</v>
      </c>
      <c r="AJ91" s="266"/>
    </row>
    <row r="92" spans="1:36" x14ac:dyDescent="0.35">
      <c r="A92" s="321" t="str">
        <f>'Digital Plan - UPI'!B70</f>
        <v>Chennai</v>
      </c>
      <c r="B92" s="293" t="str">
        <f>'Digital Plan - UPI'!C70</f>
        <v>Core</v>
      </c>
      <c r="C92" s="311" t="str">
        <f>'Digital Plan - UPI'!D70</f>
        <v>NobrokerHood</v>
      </c>
      <c r="D92" s="263" t="str">
        <f>'Digital Plan - UPI'!E70</f>
        <v>Static</v>
      </c>
      <c r="E92" s="408" t="str">
        <f>'Digital Plan - UPI'!F70</f>
        <v>Community</v>
      </c>
      <c r="F92" s="404" t="str">
        <f>'Digital Plan - UPI'!G70</f>
        <v xml:space="preserve">Mobile </v>
      </c>
      <c r="G92" s="265" t="str">
        <f>'Digital Plan - UPI'!H70</f>
        <v>ROS</v>
      </c>
      <c r="H92" s="265" t="str">
        <f>'Digital Plan - UPI'!I70</f>
        <v>PAC</v>
      </c>
      <c r="I92" s="308" t="str">
        <f>'Digital Plan - UPI'!J70</f>
        <v>Reff : Targeting Sheet</v>
      </c>
      <c r="J92" s="263" t="str">
        <f>'Digital Plan - UPI'!K70</f>
        <v xml:space="preserve">CPM </v>
      </c>
      <c r="K92" s="266">
        <f>'Digital Plan - UPI'!L70</f>
        <v>6</v>
      </c>
      <c r="L92" s="267">
        <f>'Digital Plan - UPI'!M70</f>
        <v>45471</v>
      </c>
      <c r="M92" s="267">
        <f>'Digital Plan - UPI'!N70</f>
        <v>45476</v>
      </c>
      <c r="N92" s="266">
        <f>'Digital Plan - UPI'!O70</f>
        <v>154974.42857142858</v>
      </c>
      <c r="O92" s="268" t="str">
        <f>'Digital Plan - UPI'!P70</f>
        <v>-</v>
      </c>
      <c r="P92" s="315">
        <f>'Digital Plan - UPI'!Q70</f>
        <v>0.01</v>
      </c>
      <c r="Q92" s="266">
        <f>'Digital Plan - UPI'!R70</f>
        <v>1549.7442857142858</v>
      </c>
      <c r="R92" s="268" t="str">
        <f>'Digital Plan - UPI'!S70</f>
        <v>-</v>
      </c>
      <c r="S92" s="271" t="str">
        <f>'Digital Plan - UPI'!T70</f>
        <v>-</v>
      </c>
      <c r="T92" s="266">
        <f>'Digital Plan - UPI'!U70</f>
        <v>61989.771428571432</v>
      </c>
      <c r="U92" s="266">
        <f>'Digital Plan - UPI'!V70</f>
        <v>2.5</v>
      </c>
      <c r="V92" s="272">
        <f>'Digital Plan - UPI'!X70</f>
        <v>260</v>
      </c>
      <c r="W92" s="273">
        <f>'Digital Plan - UPI'!Y70</f>
        <v>40293.351428571426</v>
      </c>
      <c r="X92" s="273">
        <f>'Digital Plan - UPI'!Z70</f>
        <v>259.99999999999994</v>
      </c>
      <c r="Y92" s="273">
        <f>'Digital Plan - UPI'!AA70</f>
        <v>25.999999999999996</v>
      </c>
      <c r="Z92" s="274">
        <f>'Digital Plan - UPI'!AB70</f>
        <v>168750</v>
      </c>
      <c r="AA92" s="275">
        <f>'Digital Plan - UPI'!AC70</f>
        <v>0.36734679365079365</v>
      </c>
      <c r="AB92" s="259"/>
      <c r="AC92" s="266"/>
      <c r="AD92" s="266">
        <f>N92/K92*2</f>
        <v>51658.142857142862</v>
      </c>
      <c r="AE92" s="266">
        <f>N92/K92*2</f>
        <v>51658.142857142862</v>
      </c>
      <c r="AF92" s="266">
        <f>N92/K92*4</f>
        <v>103316.28571428572</v>
      </c>
      <c r="AG92" s="266"/>
      <c r="AH92" s="266"/>
      <c r="AI92" s="266">
        <f>N92/K92*4</f>
        <v>103316.28571428572</v>
      </c>
      <c r="AJ92" s="266">
        <f>N92/K92*2</f>
        <v>51658.142857142862</v>
      </c>
    </row>
    <row r="93" spans="1:36" x14ac:dyDescent="0.35">
      <c r="A93" s="277" t="str">
        <f>'Digital Plan - UPI'!B71</f>
        <v>Chennai</v>
      </c>
      <c r="B93" s="278">
        <f>'Digital Plan - UPI'!C71</f>
        <v>0</v>
      </c>
      <c r="C93" s="279" t="str">
        <f>'Digital Plan - UPI'!D71</f>
        <v>Total</v>
      </c>
      <c r="D93" s="280">
        <f>'Digital Plan - UPI'!E71</f>
        <v>0</v>
      </c>
      <c r="E93" s="405">
        <f>'Digital Plan - UPI'!F71</f>
        <v>0</v>
      </c>
      <c r="F93" s="405">
        <f>'Digital Plan - UPI'!G71</f>
        <v>0</v>
      </c>
      <c r="G93" s="280">
        <f>'Digital Plan - UPI'!H71</f>
        <v>0</v>
      </c>
      <c r="H93" s="281">
        <f>'Digital Plan - UPI'!I71</f>
        <v>0</v>
      </c>
      <c r="I93" s="282">
        <f>'Digital Plan - UPI'!J71</f>
        <v>0</v>
      </c>
      <c r="J93" s="283">
        <f>'Digital Plan - UPI'!K71</f>
        <v>0</v>
      </c>
      <c r="K93" s="284">
        <f>'Digital Plan - UPI'!L71</f>
        <v>0</v>
      </c>
      <c r="L93" s="284">
        <f>'Digital Plan - UPI'!M71</f>
        <v>0</v>
      </c>
      <c r="M93" s="284">
        <f>'Digital Plan - UPI'!N71</f>
        <v>0</v>
      </c>
      <c r="N93" s="284">
        <f>'Digital Plan - UPI'!O71</f>
        <v>26845884.741159257</v>
      </c>
      <c r="O93" s="284">
        <f>'Digital Plan - UPI'!P71</f>
        <v>0</v>
      </c>
      <c r="P93" s="285">
        <f>'Digital Plan - UPI'!Q71</f>
        <v>3.1778316065991783E-3</v>
      </c>
      <c r="Q93" s="284">
        <f>'Digital Plan - UPI'!R71</f>
        <v>85311.701037574487</v>
      </c>
      <c r="R93" s="286">
        <f>'Digital Plan - UPI'!S71</f>
        <v>0</v>
      </c>
      <c r="S93" s="316">
        <f>'Digital Plan - UPI'!T71</f>
        <v>16869938.25455055</v>
      </c>
      <c r="T93" s="284">
        <f>'Digital Plan - UPI'!U71</f>
        <v>2603259.6592963426</v>
      </c>
      <c r="U93" s="284">
        <f>'Digital Plan - UPI'!V71</f>
        <v>10.312411458953603</v>
      </c>
      <c r="V93" s="287">
        <f>'Digital Plan - UPI'!X71</f>
        <v>0</v>
      </c>
      <c r="W93" s="317">
        <f>'Digital Plan - UPI'!Y71</f>
        <v>2949913.9583360222</v>
      </c>
      <c r="X93" s="288">
        <f>'Digital Plan - UPI'!Z71</f>
        <v>109.88328329568174</v>
      </c>
      <c r="Y93" s="288">
        <f>'Digital Plan - UPI'!AA71</f>
        <v>34.578069859804685</v>
      </c>
      <c r="Z93" s="284">
        <f>'Digital Plan - UPI'!AB71</f>
        <v>3435106.986</v>
      </c>
      <c r="AA93" s="289">
        <f>'Digital Plan - UPI'!AC71</f>
        <v>0.75783947047532874</v>
      </c>
      <c r="AB93" s="259"/>
      <c r="AC93" s="284"/>
      <c r="AD93" s="284"/>
      <c r="AE93" s="284"/>
      <c r="AF93" s="284"/>
      <c r="AG93" s="284"/>
      <c r="AH93" s="284"/>
      <c r="AI93" s="284"/>
      <c r="AJ93" s="284"/>
    </row>
    <row r="94" spans="1:36" x14ac:dyDescent="0.35">
      <c r="A94" s="321" t="e">
        <f>'Digital Plan - UPI'!#REF!</f>
        <v>#REF!</v>
      </c>
      <c r="B94" s="293" t="e">
        <f>'Digital Plan - UPI'!#REF!</f>
        <v>#REF!</v>
      </c>
      <c r="C94" s="294" t="e">
        <f>'Digital Plan - UPI'!#REF!</f>
        <v>#REF!</v>
      </c>
      <c r="D94" s="294" t="e">
        <f>'Digital Plan - UPI'!#REF!</f>
        <v>#REF!</v>
      </c>
      <c r="E94" s="406" t="e">
        <f>'Digital Plan - UPI'!#REF!</f>
        <v>#REF!</v>
      </c>
      <c r="F94" s="406" t="e">
        <f>'Digital Plan - UPI'!#REF!</f>
        <v>#REF!</v>
      </c>
      <c r="G94" s="296" t="e">
        <f>'Digital Plan - UPI'!#REF!</f>
        <v>#REF!</v>
      </c>
      <c r="H94" s="296" t="e">
        <f>'Digital Plan - UPI'!#REF!</f>
        <v>#REF!</v>
      </c>
      <c r="I94" s="297" t="e">
        <f>'Digital Plan - UPI'!#REF!</f>
        <v>#REF!</v>
      </c>
      <c r="J94" s="295" t="e">
        <f>'Digital Plan - UPI'!#REF!</f>
        <v>#REF!</v>
      </c>
      <c r="K94" s="298" t="e">
        <f>'Digital Plan - UPI'!#REF!</f>
        <v>#REF!</v>
      </c>
      <c r="L94" s="299" t="e">
        <f>'Digital Plan - UPI'!#REF!</f>
        <v>#REF!</v>
      </c>
      <c r="M94" s="299" t="e">
        <f>'Digital Plan - UPI'!#REF!</f>
        <v>#REF!</v>
      </c>
      <c r="N94" s="298" t="e">
        <f>'Digital Plan - UPI'!#REF!</f>
        <v>#REF!</v>
      </c>
      <c r="O94" s="300" t="e">
        <f>'Digital Plan - UPI'!#REF!</f>
        <v>#REF!</v>
      </c>
      <c r="P94" s="301" t="e">
        <f>'Digital Plan - UPI'!#REF!</f>
        <v>#REF!</v>
      </c>
      <c r="Q94" s="298" t="e">
        <f>'Digital Plan - UPI'!#REF!</f>
        <v>#REF!</v>
      </c>
      <c r="R94" s="302" t="e">
        <f>'Digital Plan - UPI'!#REF!</f>
        <v>#REF!</v>
      </c>
      <c r="S94" s="303" t="e">
        <f>'Digital Plan - UPI'!#REF!</f>
        <v>#REF!</v>
      </c>
      <c r="T94" s="298" t="e">
        <f>'Digital Plan - UPI'!#REF!</f>
        <v>#REF!</v>
      </c>
      <c r="U94" s="298" t="e">
        <f>'Digital Plan - UPI'!#REF!</f>
        <v>#REF!</v>
      </c>
      <c r="V94" s="304" t="e">
        <f>'Digital Plan - UPI'!#REF!</f>
        <v>#REF!</v>
      </c>
      <c r="W94" s="305" t="e">
        <f>'Digital Plan - UPI'!#REF!</f>
        <v>#REF!</v>
      </c>
      <c r="X94" s="305" t="e">
        <f>'Digital Plan - UPI'!#REF!</f>
        <v>#REF!</v>
      </c>
      <c r="Y94" s="305" t="e">
        <f>'Digital Plan - UPI'!#REF!</f>
        <v>#REF!</v>
      </c>
      <c r="Z94" s="306" t="e">
        <f>'Digital Plan - UPI'!#REF!</f>
        <v>#REF!</v>
      </c>
      <c r="AA94" s="307" t="e">
        <f>'Digital Plan - UPI'!#REF!</f>
        <v>#REF!</v>
      </c>
      <c r="AB94" s="259"/>
      <c r="AC94" s="298" t="e">
        <f>N94/2</f>
        <v>#REF!</v>
      </c>
      <c r="AD94" s="298" t="e">
        <f>N94/2</f>
        <v>#REF!</v>
      </c>
      <c r="AE94" s="298"/>
      <c r="AF94" s="298"/>
      <c r="AG94" s="298"/>
      <c r="AH94" s="298"/>
      <c r="AI94" s="298"/>
      <c r="AJ94" s="298"/>
    </row>
    <row r="95" spans="1:36" x14ac:dyDescent="0.35">
      <c r="A95" s="321" t="e">
        <f>'Digital Plan - UPI'!#REF!</f>
        <v>#REF!</v>
      </c>
      <c r="B95" s="293" t="e">
        <f>'Digital Plan - UPI'!#REF!</f>
        <v>#REF!</v>
      </c>
      <c r="C95" s="295" t="e">
        <f>'Digital Plan - UPI'!#REF!</f>
        <v>#REF!</v>
      </c>
      <c r="D95" s="295" t="e">
        <f>'Digital Plan - UPI'!#REF!</f>
        <v>#REF!</v>
      </c>
      <c r="E95" s="406" t="e">
        <f>'Digital Plan - UPI'!#REF!</f>
        <v>#REF!</v>
      </c>
      <c r="F95" s="407" t="e">
        <f>'Digital Plan - UPI'!#REF!</f>
        <v>#REF!</v>
      </c>
      <c r="G95" s="296" t="e">
        <f>'Digital Plan - UPI'!#REF!</f>
        <v>#REF!</v>
      </c>
      <c r="H95" s="296" t="e">
        <f>'Digital Plan - UPI'!#REF!</f>
        <v>#REF!</v>
      </c>
      <c r="I95" s="297" t="e">
        <f>'Digital Plan - UPI'!#REF!</f>
        <v>#REF!</v>
      </c>
      <c r="J95" s="295" t="e">
        <f>'Digital Plan - UPI'!#REF!</f>
        <v>#REF!</v>
      </c>
      <c r="K95" s="298" t="e">
        <f>'Digital Plan - UPI'!#REF!</f>
        <v>#REF!</v>
      </c>
      <c r="L95" s="299" t="e">
        <f>'Digital Plan - UPI'!#REF!</f>
        <v>#REF!</v>
      </c>
      <c r="M95" s="299" t="e">
        <f>'Digital Plan - UPI'!#REF!</f>
        <v>#REF!</v>
      </c>
      <c r="N95" s="298" t="e">
        <f>'Digital Plan - UPI'!#REF!</f>
        <v>#REF!</v>
      </c>
      <c r="O95" s="300" t="e">
        <f>'Digital Plan - UPI'!#REF!</f>
        <v>#REF!</v>
      </c>
      <c r="P95" s="301" t="e">
        <f>'Digital Plan - UPI'!#REF!</f>
        <v>#REF!</v>
      </c>
      <c r="Q95" s="298" t="e">
        <f>'Digital Plan - UPI'!#REF!</f>
        <v>#REF!</v>
      </c>
      <c r="R95" s="302" t="e">
        <f>'Digital Plan - UPI'!#REF!</f>
        <v>#REF!</v>
      </c>
      <c r="S95" s="303" t="e">
        <f>'Digital Plan - UPI'!#REF!</f>
        <v>#REF!</v>
      </c>
      <c r="T95" s="298" t="e">
        <f>'Digital Plan - UPI'!#REF!</f>
        <v>#REF!</v>
      </c>
      <c r="U95" s="298" t="e">
        <f>'Digital Plan - UPI'!#REF!</f>
        <v>#REF!</v>
      </c>
      <c r="V95" s="304" t="e">
        <f>'Digital Plan - UPI'!#REF!</f>
        <v>#REF!</v>
      </c>
      <c r="W95" s="305" t="e">
        <f>'Digital Plan - UPI'!#REF!</f>
        <v>#REF!</v>
      </c>
      <c r="X95" s="305" t="e">
        <f>'Digital Plan - UPI'!#REF!</f>
        <v>#REF!</v>
      </c>
      <c r="Y95" s="305" t="e">
        <f>'Digital Plan - UPI'!#REF!</f>
        <v>#REF!</v>
      </c>
      <c r="Z95" s="306" t="e">
        <f>'Digital Plan - UPI'!#REF!</f>
        <v>#REF!</v>
      </c>
      <c r="AA95" s="307" t="e">
        <f>'Digital Plan - UPI'!#REF!</f>
        <v>#REF!</v>
      </c>
      <c r="AB95" s="259"/>
      <c r="AC95" s="298" t="e">
        <f>N95/2</f>
        <v>#REF!</v>
      </c>
      <c r="AD95" s="298" t="e">
        <f>N95/2</f>
        <v>#REF!</v>
      </c>
      <c r="AE95" s="298"/>
      <c r="AF95" s="298"/>
      <c r="AG95" s="298"/>
      <c r="AH95" s="298"/>
      <c r="AI95" s="298"/>
      <c r="AJ95" s="298"/>
    </row>
    <row r="96" spans="1:36" x14ac:dyDescent="0.35">
      <c r="A96" s="321" t="str">
        <f>'Digital Plan - UPI'!B72</f>
        <v>Delhi + NCR</v>
      </c>
      <c r="B96" s="293" t="str">
        <f>'Digital Plan - UPI'!C72</f>
        <v>Core - CTV</v>
      </c>
      <c r="C96" s="294" t="str">
        <f>'Digital Plan - UPI'!D72</f>
        <v>Connected TV PMP</v>
      </c>
      <c r="D96" s="294" t="str">
        <f>'Digital Plan - UPI'!E72</f>
        <v>Video</v>
      </c>
      <c r="E96" s="406" t="str">
        <f>'Digital Plan - UPI'!F72</f>
        <v xml:space="preserve">Entertainment </v>
      </c>
      <c r="F96" s="406" t="str">
        <f>'Digital Plan - UPI'!G72</f>
        <v>CTV</v>
      </c>
      <c r="G96" s="296" t="str">
        <f>'Digital Plan - UPI'!H72</f>
        <v>Instream</v>
      </c>
      <c r="H96" s="296" t="str">
        <f>'Digital Plan - UPI'!I72</f>
        <v xml:space="preserve">Video-6 Sec </v>
      </c>
      <c r="I96" s="297" t="str">
        <f>'Digital Plan - UPI'!J72</f>
        <v>Reff : Targeting Sheet</v>
      </c>
      <c r="J96" s="295" t="str">
        <f>'Digital Plan - UPI'!K72</f>
        <v>CPM</v>
      </c>
      <c r="K96" s="298">
        <f>'Digital Plan - UPI'!L72</f>
        <v>21</v>
      </c>
      <c r="L96" s="299">
        <f>'Digital Plan - UPI'!M72</f>
        <v>45460</v>
      </c>
      <c r="M96" s="299">
        <f>'Digital Plan - UPI'!N72</f>
        <v>45480</v>
      </c>
      <c r="N96" s="298">
        <f>'Digital Plan - UPI'!O72</f>
        <v>5607863.9781683208</v>
      </c>
      <c r="O96" s="300" t="str">
        <f>'Digital Plan - UPI'!P72</f>
        <v>-</v>
      </c>
      <c r="P96" s="301">
        <f>'Digital Plan - UPI'!Q72</f>
        <v>0</v>
      </c>
      <c r="Q96" s="298">
        <f>'Digital Plan - UPI'!R72</f>
        <v>0</v>
      </c>
      <c r="R96" s="302">
        <f>'Digital Plan - UPI'!S72</f>
        <v>0.85</v>
      </c>
      <c r="S96" s="303">
        <f>'Digital Plan - UPI'!T72</f>
        <v>4766684.381443073</v>
      </c>
      <c r="T96" s="298">
        <f>'Digital Plan - UPI'!U72</f>
        <v>824685.87914239999</v>
      </c>
      <c r="U96" s="298">
        <f>'Digital Plan - UPI'!V72</f>
        <v>6.8000000000000007</v>
      </c>
      <c r="V96" s="304">
        <f>'Digital Plan - UPI'!X72</f>
        <v>125</v>
      </c>
      <c r="W96" s="305">
        <f>'Digital Plan - UPI'!Y72</f>
        <v>700982.99727104011</v>
      </c>
      <c r="X96" s="305">
        <f>'Digital Plan - UPI'!Z72</f>
        <v>125</v>
      </c>
      <c r="Y96" s="305">
        <f>'Digital Plan - UPI'!AA72</f>
        <v>0</v>
      </c>
      <c r="Z96" s="306">
        <f>'Digital Plan - UPI'!AB72</f>
        <v>960160</v>
      </c>
      <c r="AA96" s="307">
        <f>'Digital Plan - UPI'!AC72</f>
        <v>0.85890464</v>
      </c>
      <c r="AB96" s="259"/>
      <c r="AC96" s="298"/>
      <c r="AD96" s="298"/>
      <c r="AE96" s="298">
        <f>$N96/3</f>
        <v>1869287.9927227737</v>
      </c>
      <c r="AF96" s="298">
        <f t="shared" ref="AF96:AJ101" si="31">$N96/3</f>
        <v>1869287.9927227737</v>
      </c>
      <c r="AG96" s="298">
        <f t="shared" si="31"/>
        <v>1869287.9927227737</v>
      </c>
      <c r="AH96" s="298"/>
      <c r="AI96" s="298"/>
      <c r="AJ96" s="298"/>
    </row>
    <row r="97" spans="1:36" x14ac:dyDescent="0.35">
      <c r="A97" s="321" t="e">
        <f>'Digital Plan - UPI'!#REF!</f>
        <v>#REF!</v>
      </c>
      <c r="B97" s="293" t="e">
        <f>'Digital Plan - UPI'!#REF!</f>
        <v>#REF!</v>
      </c>
      <c r="C97" s="294" t="e">
        <f>'Digital Plan - UPI'!#REF!</f>
        <v>#REF!</v>
      </c>
      <c r="D97" s="294" t="e">
        <f>'Digital Plan - UPI'!#REF!</f>
        <v>#REF!</v>
      </c>
      <c r="E97" s="406" t="e">
        <f>'Digital Plan - UPI'!#REF!</f>
        <v>#REF!</v>
      </c>
      <c r="F97" s="406" t="e">
        <f>'Digital Plan - UPI'!#REF!</f>
        <v>#REF!</v>
      </c>
      <c r="G97" s="296" t="e">
        <f>'Digital Plan - UPI'!#REF!</f>
        <v>#REF!</v>
      </c>
      <c r="H97" s="296" t="e">
        <f>'Digital Plan - UPI'!#REF!</f>
        <v>#REF!</v>
      </c>
      <c r="I97" s="297" t="e">
        <f>'Digital Plan - UPI'!#REF!</f>
        <v>#REF!</v>
      </c>
      <c r="J97" s="295" t="e">
        <f>'Digital Plan - UPI'!#REF!</f>
        <v>#REF!</v>
      </c>
      <c r="K97" s="298" t="e">
        <f>'Digital Plan - UPI'!#REF!</f>
        <v>#REF!</v>
      </c>
      <c r="L97" s="299" t="e">
        <f>'Digital Plan - UPI'!#REF!</f>
        <v>#REF!</v>
      </c>
      <c r="M97" s="299" t="e">
        <f>'Digital Plan - UPI'!#REF!</f>
        <v>#REF!</v>
      </c>
      <c r="N97" s="298" t="e">
        <f>'Digital Plan - UPI'!#REF!</f>
        <v>#REF!</v>
      </c>
      <c r="O97" s="300" t="e">
        <f>'Digital Plan - UPI'!#REF!</f>
        <v>#REF!</v>
      </c>
      <c r="P97" s="301" t="e">
        <f>'Digital Plan - UPI'!#REF!</f>
        <v>#REF!</v>
      </c>
      <c r="Q97" s="298" t="e">
        <f>'Digital Plan - UPI'!#REF!</f>
        <v>#REF!</v>
      </c>
      <c r="R97" s="302" t="e">
        <f>'Digital Plan - UPI'!#REF!</f>
        <v>#REF!</v>
      </c>
      <c r="S97" s="303" t="e">
        <f>'Digital Plan - UPI'!#REF!</f>
        <v>#REF!</v>
      </c>
      <c r="T97" s="298" t="e">
        <f>'Digital Plan - UPI'!#REF!</f>
        <v>#REF!</v>
      </c>
      <c r="U97" s="298" t="e">
        <f>'Digital Plan - UPI'!#REF!</f>
        <v>#REF!</v>
      </c>
      <c r="V97" s="304" t="e">
        <f>'Digital Plan - UPI'!#REF!</f>
        <v>#REF!</v>
      </c>
      <c r="W97" s="305" t="e">
        <f>'Digital Plan - UPI'!#REF!</f>
        <v>#REF!</v>
      </c>
      <c r="X97" s="305" t="e">
        <f>'Digital Plan - UPI'!#REF!</f>
        <v>#REF!</v>
      </c>
      <c r="Y97" s="305" t="e">
        <f>'Digital Plan - UPI'!#REF!</f>
        <v>#REF!</v>
      </c>
      <c r="Z97" s="306" t="e">
        <f>'Digital Plan - UPI'!#REF!</f>
        <v>#REF!</v>
      </c>
      <c r="AA97" s="307" t="e">
        <f>'Digital Plan - UPI'!#REF!</f>
        <v>#REF!</v>
      </c>
      <c r="AB97" s="259"/>
      <c r="AC97" s="298"/>
      <c r="AD97" s="298"/>
      <c r="AE97" s="298"/>
      <c r="AF97" s="298"/>
      <c r="AG97" s="298"/>
      <c r="AH97" s="298" t="e">
        <f>$N97/3</f>
        <v>#REF!</v>
      </c>
      <c r="AI97" s="298" t="e">
        <f t="shared" si="31"/>
        <v>#REF!</v>
      </c>
      <c r="AJ97" s="298" t="e">
        <f t="shared" si="31"/>
        <v>#REF!</v>
      </c>
    </row>
    <row r="98" spans="1:36" x14ac:dyDescent="0.35">
      <c r="A98" s="321" t="str">
        <f>'Digital Plan - UPI'!B73</f>
        <v>Delhi + NCR</v>
      </c>
      <c r="B98" s="293" t="str">
        <f>'Digital Plan - UPI'!C73</f>
        <v>Core - CTV</v>
      </c>
      <c r="C98" s="295" t="str">
        <f>'Digital Plan - UPI'!D73</f>
        <v xml:space="preserve">YouTube </v>
      </c>
      <c r="D98" s="295" t="str">
        <f>'Digital Plan - UPI'!E73</f>
        <v>Video</v>
      </c>
      <c r="E98" s="406" t="str">
        <f>'Digital Plan - UPI'!F73</f>
        <v xml:space="preserve">Entertainment </v>
      </c>
      <c r="F98" s="407" t="str">
        <f>'Digital Plan - UPI'!G73</f>
        <v>CTV</v>
      </c>
      <c r="G98" s="296" t="str">
        <f>'Digital Plan - UPI'!H73</f>
        <v>Instream</v>
      </c>
      <c r="H98" s="296" t="str">
        <f>'Digital Plan - UPI'!I73</f>
        <v xml:space="preserve">Bumper 6 secs  </v>
      </c>
      <c r="I98" s="297" t="str">
        <f>'Digital Plan - UPI'!J73</f>
        <v>Reff : Targeting Sheet</v>
      </c>
      <c r="J98" s="295" t="str">
        <f>'Digital Plan - UPI'!K73</f>
        <v>CPM</v>
      </c>
      <c r="K98" s="298">
        <f>'Digital Plan - UPI'!L73</f>
        <v>21</v>
      </c>
      <c r="L98" s="299">
        <f>'Digital Plan - UPI'!M73</f>
        <v>45460</v>
      </c>
      <c r="M98" s="299">
        <f>'Digital Plan - UPI'!N73</f>
        <v>45480</v>
      </c>
      <c r="N98" s="298">
        <f>'Digital Plan - UPI'!O73</f>
        <v>87064992.475322455</v>
      </c>
      <c r="O98" s="300" t="str">
        <f>'Digital Plan - UPI'!P73</f>
        <v>-</v>
      </c>
      <c r="P98" s="301">
        <f>'Digital Plan - UPI'!Q73</f>
        <v>0</v>
      </c>
      <c r="Q98" s="298">
        <f>'Digital Plan - UPI'!R73</f>
        <v>0</v>
      </c>
      <c r="R98" s="302">
        <f>'Digital Plan - UPI'!S73</f>
        <v>0.8</v>
      </c>
      <c r="S98" s="303">
        <f>'Digital Plan - UPI'!T73</f>
        <v>69651993.980257973</v>
      </c>
      <c r="T98" s="298">
        <f>'Digital Plan - UPI'!U73</f>
        <v>10489758.129556922</v>
      </c>
      <c r="U98" s="298">
        <f>'Digital Plan - UPI'!V73</f>
        <v>8.3000000000000007</v>
      </c>
      <c r="V98" s="304">
        <f>'Digital Plan - UPI'!X73</f>
        <v>110</v>
      </c>
      <c r="W98" s="305">
        <f>'Digital Plan - UPI'!Y73</f>
        <v>9577149.1722854692</v>
      </c>
      <c r="X98" s="305">
        <f>'Digital Plan - UPI'!Z73</f>
        <v>109.99999999999999</v>
      </c>
      <c r="Y98" s="305">
        <f>'Digital Plan - UPI'!AA73</f>
        <v>0</v>
      </c>
      <c r="Z98" s="306">
        <f>'Digital Plan - UPI'!AB73</f>
        <v>11660572</v>
      </c>
      <c r="AA98" s="307">
        <f>'Digital Plan - UPI'!AC73</f>
        <v>0.89959207228915716</v>
      </c>
      <c r="AB98" s="259"/>
      <c r="AC98" s="298"/>
      <c r="AD98" s="298"/>
      <c r="AE98" s="298">
        <f>$N98/3</f>
        <v>29021664.158440817</v>
      </c>
      <c r="AF98" s="298">
        <f t="shared" si="31"/>
        <v>29021664.158440817</v>
      </c>
      <c r="AG98" s="298">
        <f t="shared" si="31"/>
        <v>29021664.158440817</v>
      </c>
      <c r="AH98" s="298"/>
      <c r="AI98" s="298"/>
      <c r="AJ98" s="298"/>
    </row>
    <row r="99" spans="1:36" x14ac:dyDescent="0.35">
      <c r="A99" s="321" t="e">
        <f>'Digital Plan - UPI'!#REF!</f>
        <v>#REF!</v>
      </c>
      <c r="B99" s="293" t="e">
        <f>'Digital Plan - UPI'!#REF!</f>
        <v>#REF!</v>
      </c>
      <c r="C99" s="295" t="e">
        <f>'Digital Plan - UPI'!#REF!</f>
        <v>#REF!</v>
      </c>
      <c r="D99" s="295" t="e">
        <f>'Digital Plan - UPI'!#REF!</f>
        <v>#REF!</v>
      </c>
      <c r="E99" s="406" t="e">
        <f>'Digital Plan - UPI'!#REF!</f>
        <v>#REF!</v>
      </c>
      <c r="F99" s="407" t="e">
        <f>'Digital Plan - UPI'!#REF!</f>
        <v>#REF!</v>
      </c>
      <c r="G99" s="296" t="e">
        <f>'Digital Plan - UPI'!#REF!</f>
        <v>#REF!</v>
      </c>
      <c r="H99" s="296" t="e">
        <f>'Digital Plan - UPI'!#REF!</f>
        <v>#REF!</v>
      </c>
      <c r="I99" s="297" t="e">
        <f>'Digital Plan - UPI'!#REF!</f>
        <v>#REF!</v>
      </c>
      <c r="J99" s="295" t="e">
        <f>'Digital Plan - UPI'!#REF!</f>
        <v>#REF!</v>
      </c>
      <c r="K99" s="298" t="e">
        <f>'Digital Plan - UPI'!#REF!</f>
        <v>#REF!</v>
      </c>
      <c r="L99" s="299" t="e">
        <f>'Digital Plan - UPI'!#REF!</f>
        <v>#REF!</v>
      </c>
      <c r="M99" s="299" t="e">
        <f>'Digital Plan - UPI'!#REF!</f>
        <v>#REF!</v>
      </c>
      <c r="N99" s="298" t="e">
        <f>'Digital Plan - UPI'!#REF!</f>
        <v>#REF!</v>
      </c>
      <c r="O99" s="300" t="e">
        <f>'Digital Plan - UPI'!#REF!</f>
        <v>#REF!</v>
      </c>
      <c r="P99" s="301" t="e">
        <f>'Digital Plan - UPI'!#REF!</f>
        <v>#REF!</v>
      </c>
      <c r="Q99" s="298" t="e">
        <f>'Digital Plan - UPI'!#REF!</f>
        <v>#REF!</v>
      </c>
      <c r="R99" s="302" t="e">
        <f>'Digital Plan - UPI'!#REF!</f>
        <v>#REF!</v>
      </c>
      <c r="S99" s="303" t="e">
        <f>'Digital Plan - UPI'!#REF!</f>
        <v>#REF!</v>
      </c>
      <c r="T99" s="298" t="e">
        <f>'Digital Plan - UPI'!#REF!</f>
        <v>#REF!</v>
      </c>
      <c r="U99" s="298" t="e">
        <f>'Digital Plan - UPI'!#REF!</f>
        <v>#REF!</v>
      </c>
      <c r="V99" s="304" t="e">
        <f>'Digital Plan - UPI'!#REF!</f>
        <v>#REF!</v>
      </c>
      <c r="W99" s="305" t="e">
        <f>'Digital Plan - UPI'!#REF!</f>
        <v>#REF!</v>
      </c>
      <c r="X99" s="305" t="e">
        <f>'Digital Plan - UPI'!#REF!</f>
        <v>#REF!</v>
      </c>
      <c r="Y99" s="305" t="e">
        <f>'Digital Plan - UPI'!#REF!</f>
        <v>#REF!</v>
      </c>
      <c r="Z99" s="306" t="e">
        <f>'Digital Plan - UPI'!#REF!</f>
        <v>#REF!</v>
      </c>
      <c r="AA99" s="307" t="e">
        <f>'Digital Plan - UPI'!#REF!</f>
        <v>#REF!</v>
      </c>
      <c r="AB99" s="259"/>
      <c r="AC99" s="298"/>
      <c r="AD99" s="298"/>
      <c r="AE99" s="298"/>
      <c r="AF99" s="298"/>
      <c r="AG99" s="298"/>
      <c r="AH99" s="298" t="e">
        <f>$N99/3</f>
        <v>#REF!</v>
      </c>
      <c r="AI99" s="298" t="e">
        <f t="shared" si="31"/>
        <v>#REF!</v>
      </c>
      <c r="AJ99" s="298" t="e">
        <f t="shared" si="31"/>
        <v>#REF!</v>
      </c>
    </row>
    <row r="100" spans="1:36" x14ac:dyDescent="0.35">
      <c r="A100" s="321" t="str">
        <f>'Digital Plan - UPI'!B74</f>
        <v>Delhi + NCR</v>
      </c>
      <c r="B100" s="293" t="str">
        <f>'Digital Plan - UPI'!C74</f>
        <v>Core</v>
      </c>
      <c r="C100" s="264" t="str">
        <f>'Digital Plan - UPI'!D74</f>
        <v>Meta</v>
      </c>
      <c r="D100" s="264" t="str">
        <f>'Digital Plan - UPI'!E74</f>
        <v>Video</v>
      </c>
      <c r="E100" s="404" t="str">
        <f>'Digital Plan - UPI'!F74</f>
        <v xml:space="preserve">Entertainment </v>
      </c>
      <c r="F100" s="404" t="str">
        <f>'Digital Plan - UPI'!G74</f>
        <v xml:space="preserve">Mobile </v>
      </c>
      <c r="G100" s="265" t="str">
        <f>'Digital Plan - UPI'!H74</f>
        <v xml:space="preserve">Instream </v>
      </c>
      <c r="H100" s="265" t="str">
        <f>'Digital Plan - UPI'!I74</f>
        <v>Instream - 6 Sec</v>
      </c>
      <c r="I100" s="308" t="str">
        <f>'Digital Plan - UPI'!J74</f>
        <v>Reff : Targeting Sheet</v>
      </c>
      <c r="J100" s="263" t="str">
        <f>'Digital Plan - UPI'!K74</f>
        <v>CPM</v>
      </c>
      <c r="K100" s="266">
        <f>'Digital Plan - UPI'!L74</f>
        <v>21</v>
      </c>
      <c r="L100" s="267">
        <f>'Digital Plan - UPI'!M74</f>
        <v>45460</v>
      </c>
      <c r="M100" s="267">
        <f>'Digital Plan - UPI'!N74</f>
        <v>45480</v>
      </c>
      <c r="N100" s="266">
        <f>'Digital Plan - UPI'!O74</f>
        <v>17193824.015167404</v>
      </c>
      <c r="O100" s="268" t="str">
        <f>'Digital Plan - UPI'!P74</f>
        <v>-</v>
      </c>
      <c r="P100" s="269">
        <f>'Digital Plan - UPI'!Q74</f>
        <v>1E-3</v>
      </c>
      <c r="Q100" s="266">
        <f>'Digital Plan - UPI'!R74</f>
        <v>17193.824015167404</v>
      </c>
      <c r="R100" s="270">
        <f>'Digital Plan - UPI'!S74</f>
        <v>0.7</v>
      </c>
      <c r="S100" s="271">
        <f>'Digital Plan - UPI'!T74</f>
        <v>12035676.810617182</v>
      </c>
      <c r="T100" s="266">
        <f>'Digital Plan - UPI'!U74</f>
        <v>9825042.2943813745</v>
      </c>
      <c r="U100" s="266">
        <f>'Digital Plan - UPI'!V74</f>
        <v>1.75</v>
      </c>
      <c r="V100" s="272">
        <f>'Digital Plan - UPI'!X74</f>
        <v>70</v>
      </c>
      <c r="W100" s="273">
        <f>'Digital Plan - UPI'!Y74</f>
        <v>1203567.6810617181</v>
      </c>
      <c r="X100" s="273">
        <f>'Digital Plan - UPI'!Z74</f>
        <v>69.999999999999986</v>
      </c>
      <c r="Y100" s="273">
        <f>'Digital Plan - UPI'!AA74</f>
        <v>70</v>
      </c>
      <c r="Z100" s="274">
        <f>'Digital Plan - UPI'!AB74</f>
        <v>16106164.65</v>
      </c>
      <c r="AA100" s="275">
        <f>'Digital Plan - UPI'!AC74</f>
        <v>0.61001749999999999</v>
      </c>
      <c r="AB100" s="259"/>
      <c r="AC100" s="266"/>
      <c r="AD100" s="266"/>
      <c r="AE100" s="266">
        <f>$N100/3</f>
        <v>5731274.671722468</v>
      </c>
      <c r="AF100" s="266">
        <f t="shared" si="31"/>
        <v>5731274.671722468</v>
      </c>
      <c r="AG100" s="266">
        <f t="shared" si="31"/>
        <v>5731274.671722468</v>
      </c>
      <c r="AH100" s="266"/>
      <c r="AI100" s="266"/>
      <c r="AJ100" s="266"/>
    </row>
    <row r="101" spans="1:36" x14ac:dyDescent="0.35">
      <c r="A101" s="321" t="str">
        <f>'Digital Plan - UPI'!B75</f>
        <v>Delhi + NCR</v>
      </c>
      <c r="B101" s="293" t="str">
        <f>'Digital Plan - UPI'!C75</f>
        <v>Core</v>
      </c>
      <c r="C101" s="264" t="str">
        <f>'Digital Plan - UPI'!D75</f>
        <v xml:space="preserve">YouTube </v>
      </c>
      <c r="D101" s="264" t="str">
        <f>'Digital Plan - UPI'!E75</f>
        <v>Video</v>
      </c>
      <c r="E101" s="404" t="str">
        <f>'Digital Plan - UPI'!F75</f>
        <v xml:space="preserve">Entertainment </v>
      </c>
      <c r="F101" s="404" t="str">
        <f>'Digital Plan - UPI'!G75</f>
        <v xml:space="preserve">Mobile </v>
      </c>
      <c r="G101" s="265" t="str">
        <f>'Digital Plan - UPI'!H75</f>
        <v xml:space="preserve">Instream </v>
      </c>
      <c r="H101" s="265" t="str">
        <f>'Digital Plan - UPI'!I75</f>
        <v xml:space="preserve">Bumper 6 secs  </v>
      </c>
      <c r="I101" s="308" t="str">
        <f>'Digital Plan - UPI'!J75</f>
        <v>Reff : Targeting Sheet</v>
      </c>
      <c r="J101" s="263" t="str">
        <f>'Digital Plan - UPI'!K75</f>
        <v>CPM</v>
      </c>
      <c r="K101" s="266">
        <f>'Digital Plan - UPI'!L75</f>
        <v>21</v>
      </c>
      <c r="L101" s="267">
        <f>'Digital Plan - UPI'!M75</f>
        <v>45460</v>
      </c>
      <c r="M101" s="267">
        <f>'Digital Plan - UPI'!N75</f>
        <v>45480</v>
      </c>
      <c r="N101" s="266">
        <f>'Digital Plan - UPI'!O75</f>
        <v>25402737.628124997</v>
      </c>
      <c r="O101" s="268" t="str">
        <f>'Digital Plan - UPI'!P75</f>
        <v>-</v>
      </c>
      <c r="P101" s="269">
        <f>'Digital Plan - UPI'!Q75</f>
        <v>1E-3</v>
      </c>
      <c r="Q101" s="266">
        <f>'Digital Plan - UPI'!R75</f>
        <v>25402.737628124996</v>
      </c>
      <c r="R101" s="270">
        <f>'Digital Plan - UPI'!S75</f>
        <v>0.8</v>
      </c>
      <c r="S101" s="271">
        <f>'Digital Plan - UPI'!T75</f>
        <v>20322190.102499999</v>
      </c>
      <c r="T101" s="266">
        <f>'Digital Plan - UPI'!U75</f>
        <v>12452322.366727939</v>
      </c>
      <c r="U101" s="266">
        <f>'Digital Plan - UPI'!V75</f>
        <v>2.04</v>
      </c>
      <c r="V101" s="272">
        <f>'Digital Plan - UPI'!X75</f>
        <v>80</v>
      </c>
      <c r="W101" s="273">
        <f>'Digital Plan - UPI'!Y75</f>
        <v>2032219.0102499998</v>
      </c>
      <c r="X101" s="273">
        <f>'Digital Plan - UPI'!Z75</f>
        <v>80</v>
      </c>
      <c r="Y101" s="273">
        <f>'Digital Plan - UPI'!AA75</f>
        <v>80</v>
      </c>
      <c r="Z101" s="274">
        <f>'Digital Plan - UPI'!AB75</f>
        <v>18948429</v>
      </c>
      <c r="AA101" s="275">
        <f>'Digital Plan - UPI'!AC75</f>
        <v>0.65716911764705865</v>
      </c>
      <c r="AB101" s="259"/>
      <c r="AC101" s="266"/>
      <c r="AD101" s="266"/>
      <c r="AE101" s="266"/>
      <c r="AF101" s="266"/>
      <c r="AG101" s="266"/>
      <c r="AH101" s="266">
        <f>$N101/3</f>
        <v>8467579.2093749996</v>
      </c>
      <c r="AI101" s="266">
        <f t="shared" si="31"/>
        <v>8467579.2093749996</v>
      </c>
      <c r="AJ101" s="266">
        <f t="shared" si="31"/>
        <v>8467579.2093749996</v>
      </c>
    </row>
    <row r="102" spans="1:36" x14ac:dyDescent="0.35">
      <c r="A102" s="321" t="str">
        <f>'Digital Plan - UPI'!B76</f>
        <v>Delhi + NCR</v>
      </c>
      <c r="B102" s="293" t="str">
        <f>'Digital Plan - UPI'!C76</f>
        <v>Core</v>
      </c>
      <c r="C102" s="263" t="str">
        <f>'Digital Plan - UPI'!D76</f>
        <v xml:space="preserve">DSP </v>
      </c>
      <c r="D102" s="263" t="str">
        <f>'Digital Plan - UPI'!E76</f>
        <v>Static</v>
      </c>
      <c r="E102" s="404" t="str">
        <f>'Digital Plan - UPI'!F76</f>
        <v xml:space="preserve">Network </v>
      </c>
      <c r="F102" s="404" t="str">
        <f>'Digital Plan - UPI'!G76</f>
        <v>Mobile</v>
      </c>
      <c r="G102" s="265" t="str">
        <f>'Digital Plan - UPI'!H76</f>
        <v>ROS</v>
      </c>
      <c r="H102" s="265" t="str">
        <f>'Digital Plan - UPI'!I76</f>
        <v>Large Formats</v>
      </c>
      <c r="I102" s="309" t="str">
        <f>'Digital Plan - UPI'!J76</f>
        <v>Reff : Targeting Sheet</v>
      </c>
      <c r="J102" s="263" t="str">
        <f>'Digital Plan - UPI'!K76</f>
        <v>CPM</v>
      </c>
      <c r="K102" s="266">
        <f>'Digital Plan - UPI'!L76</f>
        <v>21</v>
      </c>
      <c r="L102" s="267">
        <f>'Digital Plan - UPI'!M76</f>
        <v>45460</v>
      </c>
      <c r="M102" s="267">
        <f>'Digital Plan - UPI'!N76</f>
        <v>45480</v>
      </c>
      <c r="N102" s="266">
        <f>'Digital Plan - UPI'!O76</f>
        <v>9856482.429723395</v>
      </c>
      <c r="O102" s="268" t="str">
        <f>'Digital Plan - UPI'!P76</f>
        <v>-</v>
      </c>
      <c r="P102" s="269">
        <f>'Digital Plan - UPI'!Q76</f>
        <v>1.4999999999999999E-2</v>
      </c>
      <c r="Q102" s="266">
        <f>'Digital Plan - UPI'!R76</f>
        <v>147847.23644585093</v>
      </c>
      <c r="R102" s="268" t="str">
        <f>'Digital Plan - UPI'!S76</f>
        <v>-</v>
      </c>
      <c r="S102" s="271" t="str">
        <f>'Digital Plan - UPI'!T76</f>
        <v>-</v>
      </c>
      <c r="T102" s="266">
        <f>'Digital Plan - UPI'!U76</f>
        <v>4928241.2148616975</v>
      </c>
      <c r="U102" s="266">
        <f>'Digital Plan - UPI'!V76</f>
        <v>2</v>
      </c>
      <c r="V102" s="272">
        <f>'Digital Plan - UPI'!X76</f>
        <v>105</v>
      </c>
      <c r="W102" s="273">
        <f>'Digital Plan - UPI'!Y76</f>
        <v>1034930.6551209565</v>
      </c>
      <c r="X102" s="273">
        <f>'Digital Plan - UPI'!Z76</f>
        <v>105</v>
      </c>
      <c r="Y102" s="273">
        <f>'Digital Plan - UPI'!AA76</f>
        <v>7</v>
      </c>
      <c r="Z102" s="274">
        <f>'Digital Plan - UPI'!AB76</f>
        <v>15300856.4175</v>
      </c>
      <c r="AA102" s="275">
        <f>'Digital Plan - UPI'!AC76</f>
        <v>0.32208924</v>
      </c>
      <c r="AB102" s="259"/>
      <c r="AC102" s="266">
        <f t="shared" ref="AC102:AD106" si="32">$N102*20%</f>
        <v>1971296.485944679</v>
      </c>
      <c r="AD102" s="266">
        <f t="shared" si="32"/>
        <v>1971296.485944679</v>
      </c>
      <c r="AE102" s="266">
        <f t="shared" ref="AE102:AF106" si="33">$N102*15%</f>
        <v>1478472.3644585093</v>
      </c>
      <c r="AF102" s="266">
        <f t="shared" si="33"/>
        <v>1478472.3644585093</v>
      </c>
      <c r="AG102" s="266">
        <f t="shared" ref="AG102:AH106" si="34">$N102*10%</f>
        <v>985648.2429723395</v>
      </c>
      <c r="AH102" s="266">
        <f t="shared" si="34"/>
        <v>985648.2429723395</v>
      </c>
      <c r="AI102" s="266">
        <f t="shared" ref="AI102:AJ106" si="35">$N102*5%</f>
        <v>492824.12148616975</v>
      </c>
      <c r="AJ102" s="266">
        <f t="shared" si="35"/>
        <v>492824.12148616975</v>
      </c>
    </row>
    <row r="103" spans="1:36" x14ac:dyDescent="0.35">
      <c r="A103" s="321" t="str">
        <f>'Digital Plan - UPI'!B77</f>
        <v>Delhi + NCR</v>
      </c>
      <c r="B103" s="293" t="str">
        <f>'Digital Plan - UPI'!C77</f>
        <v>Core</v>
      </c>
      <c r="C103" s="310" t="str">
        <f>'Digital Plan - UPI'!D77</f>
        <v>Mediakart</v>
      </c>
      <c r="D103" s="263" t="str">
        <f>'Digital Plan - UPI'!E77</f>
        <v>Static</v>
      </c>
      <c r="E103" s="408" t="str">
        <f>'Digital Plan - UPI'!F77</f>
        <v xml:space="preserve">Network </v>
      </c>
      <c r="F103" s="404" t="str">
        <f>'Digital Plan - UPI'!G77</f>
        <v xml:space="preserve">Mobile </v>
      </c>
      <c r="G103" s="265" t="str">
        <f>'Digital Plan - UPI'!H77</f>
        <v>ROS</v>
      </c>
      <c r="H103" s="265" t="str">
        <f>'Digital Plan - UPI'!I77</f>
        <v>Interstitial Static banner</v>
      </c>
      <c r="I103" s="309" t="str">
        <f>'Digital Plan - UPI'!J77</f>
        <v>Reff : Targeting Sheet</v>
      </c>
      <c r="J103" s="263" t="str">
        <f>'Digital Plan - UPI'!K77</f>
        <v xml:space="preserve">CPM </v>
      </c>
      <c r="K103" s="266">
        <f>'Digital Plan - UPI'!L77</f>
        <v>21</v>
      </c>
      <c r="L103" s="267">
        <f>'Digital Plan - UPI'!M77</f>
        <v>45460</v>
      </c>
      <c r="M103" s="267">
        <f>'Digital Plan - UPI'!N77</f>
        <v>45480</v>
      </c>
      <c r="N103" s="266">
        <f>'Digital Plan - UPI'!O77</f>
        <v>3187356.4683311996</v>
      </c>
      <c r="O103" s="268" t="str">
        <f>'Digital Plan - UPI'!P77</f>
        <v>-</v>
      </c>
      <c r="P103" s="269">
        <f>'Digital Plan - UPI'!Q77</f>
        <v>1.4999999999999999E-2</v>
      </c>
      <c r="Q103" s="266">
        <f>'Digital Plan - UPI'!R77</f>
        <v>47810.347024967996</v>
      </c>
      <c r="R103" s="268" t="str">
        <f>'Digital Plan - UPI'!S77</f>
        <v>-</v>
      </c>
      <c r="S103" s="271" t="str">
        <f>'Digital Plan - UPI'!T77</f>
        <v>-</v>
      </c>
      <c r="T103" s="266">
        <f>'Digital Plan - UPI'!U77</f>
        <v>1593678.2341655998</v>
      </c>
      <c r="U103" s="266">
        <f>'Digital Plan - UPI'!V77</f>
        <v>2</v>
      </c>
      <c r="V103" s="272">
        <f>'Digital Plan - UPI'!X77</f>
        <v>120</v>
      </c>
      <c r="W103" s="273">
        <f>'Digital Plan - UPI'!Y77</f>
        <v>382482.77619974397</v>
      </c>
      <c r="X103" s="273">
        <f>'Digital Plan - UPI'!Z77</f>
        <v>120.00000000000001</v>
      </c>
      <c r="Y103" s="273">
        <f>'Digital Plan - UPI'!AA77</f>
        <v>8</v>
      </c>
      <c r="Z103" s="274">
        <f>'Digital Plan - UPI'!AB77</f>
        <v>2968764</v>
      </c>
      <c r="AA103" s="275">
        <f>'Digital Plan - UPI'!AC77</f>
        <v>0.53681539999999994</v>
      </c>
      <c r="AB103" s="259"/>
      <c r="AC103" s="266">
        <f t="shared" si="32"/>
        <v>637471.29366623994</v>
      </c>
      <c r="AD103" s="266">
        <f t="shared" si="32"/>
        <v>637471.29366623994</v>
      </c>
      <c r="AE103" s="266">
        <f t="shared" si="33"/>
        <v>478103.47024967993</v>
      </c>
      <c r="AF103" s="266">
        <f t="shared" si="33"/>
        <v>478103.47024967993</v>
      </c>
      <c r="AG103" s="266">
        <f t="shared" si="34"/>
        <v>318735.64683311997</v>
      </c>
      <c r="AH103" s="266">
        <f t="shared" si="34"/>
        <v>318735.64683311997</v>
      </c>
      <c r="AI103" s="266">
        <f t="shared" si="35"/>
        <v>159367.82341655999</v>
      </c>
      <c r="AJ103" s="266">
        <f t="shared" si="35"/>
        <v>159367.82341655999</v>
      </c>
    </row>
    <row r="104" spans="1:36" x14ac:dyDescent="0.35">
      <c r="A104" s="321" t="str">
        <f>'Digital Plan - UPI'!B78</f>
        <v>Delhi + NCR</v>
      </c>
      <c r="B104" s="293" t="str">
        <f>'Digital Plan - UPI'!C78</f>
        <v>Core</v>
      </c>
      <c r="C104" s="310" t="str">
        <f>'Digital Plan - UPI'!D78</f>
        <v>Dailyhunt</v>
      </c>
      <c r="D104" s="311" t="str">
        <f>'Digital Plan - UPI'!E78</f>
        <v>Static</v>
      </c>
      <c r="E104" s="408" t="str">
        <f>'Digital Plan - UPI'!F78</f>
        <v>News</v>
      </c>
      <c r="F104" s="404" t="str">
        <f>'Digital Plan - UPI'!G78</f>
        <v xml:space="preserve">Mobile </v>
      </c>
      <c r="G104" s="310" t="str">
        <f>'Digital Plan - UPI'!H78</f>
        <v>ROS</v>
      </c>
      <c r="H104" s="263" t="str">
        <f>'Digital Plan - UPI'!I78</f>
        <v>Page Insert - Innovation</v>
      </c>
      <c r="I104" s="309" t="str">
        <f>'Digital Plan - UPI'!J78</f>
        <v>Reff : Targeting Sheet</v>
      </c>
      <c r="J104" s="263" t="str">
        <f>'Digital Plan - UPI'!K78</f>
        <v>CPM</v>
      </c>
      <c r="K104" s="266">
        <f>'Digital Plan - UPI'!L78</f>
        <v>21</v>
      </c>
      <c r="L104" s="267">
        <f>'Digital Plan - UPI'!M78</f>
        <v>45460</v>
      </c>
      <c r="M104" s="267">
        <f>'Digital Plan - UPI'!N78</f>
        <v>45480</v>
      </c>
      <c r="N104" s="266">
        <f>'Digital Plan - UPI'!O78</f>
        <v>4844861.581159248</v>
      </c>
      <c r="O104" s="268" t="str">
        <f>'Digital Plan - UPI'!P78</f>
        <v>-</v>
      </c>
      <c r="P104" s="312">
        <f>'Digital Plan - UPI'!Q78</f>
        <v>0.01</v>
      </c>
      <c r="Q104" s="266">
        <f>'Digital Plan - UPI'!R78</f>
        <v>48448.615811592485</v>
      </c>
      <c r="R104" s="268" t="str">
        <f>'Digital Plan - UPI'!S78</f>
        <v>-</v>
      </c>
      <c r="S104" s="271" t="str">
        <f>'Digital Plan - UPI'!T78</f>
        <v>-</v>
      </c>
      <c r="T104" s="266">
        <f>'Digital Plan - UPI'!U78</f>
        <v>2422430.790579624</v>
      </c>
      <c r="U104" s="266">
        <f>'Digital Plan - UPI'!V78</f>
        <v>2</v>
      </c>
      <c r="V104" s="272">
        <f>'Digital Plan - UPI'!X78</f>
        <v>200</v>
      </c>
      <c r="W104" s="273">
        <f>'Digital Plan - UPI'!Y78</f>
        <v>968972.3162318496</v>
      </c>
      <c r="X104" s="273">
        <f>'Digital Plan - UPI'!Z78</f>
        <v>200</v>
      </c>
      <c r="Y104" s="273">
        <f>'Digital Plan - UPI'!AA78</f>
        <v>19.999999999999996</v>
      </c>
      <c r="Z104" s="274">
        <f>'Digital Plan - UPI'!AB78</f>
        <v>6837266</v>
      </c>
      <c r="AA104" s="275">
        <f>'Digital Plan - UPI'!AC78</f>
        <v>0.35429816400000003</v>
      </c>
      <c r="AB104" s="259"/>
      <c r="AC104" s="266">
        <f t="shared" si="32"/>
        <v>968972.3162318496</v>
      </c>
      <c r="AD104" s="266">
        <f t="shared" si="32"/>
        <v>968972.3162318496</v>
      </c>
      <c r="AE104" s="266">
        <f t="shared" si="33"/>
        <v>726729.2371738872</v>
      </c>
      <c r="AF104" s="266">
        <f t="shared" si="33"/>
        <v>726729.2371738872</v>
      </c>
      <c r="AG104" s="266">
        <f t="shared" si="34"/>
        <v>484486.1581159248</v>
      </c>
      <c r="AH104" s="266">
        <f t="shared" si="34"/>
        <v>484486.1581159248</v>
      </c>
      <c r="AI104" s="266">
        <f t="shared" si="35"/>
        <v>242243.0790579624</v>
      </c>
      <c r="AJ104" s="266">
        <f t="shared" si="35"/>
        <v>242243.0790579624</v>
      </c>
    </row>
    <row r="105" spans="1:36" x14ac:dyDescent="0.35">
      <c r="A105" s="321" t="str">
        <f>'Digital Plan - UPI'!B79</f>
        <v>Delhi + NCR</v>
      </c>
      <c r="B105" s="293" t="str">
        <f>'Digital Plan - UPI'!C79</f>
        <v>Core</v>
      </c>
      <c r="C105" s="310" t="str">
        <f>'Digital Plan - UPI'!D79</f>
        <v>UBER</v>
      </c>
      <c r="D105" s="263" t="str">
        <f>'Digital Plan - UPI'!E79</f>
        <v>Static</v>
      </c>
      <c r="E105" s="408" t="str">
        <f>'Digital Plan - UPI'!F79</f>
        <v>Utility</v>
      </c>
      <c r="F105" s="404" t="str">
        <f>'Digital Plan - UPI'!G79</f>
        <v xml:space="preserve">Mobile </v>
      </c>
      <c r="G105" s="265" t="str">
        <f>'Digital Plan - UPI'!H79</f>
        <v>ROS</v>
      </c>
      <c r="H105" s="265" t="str">
        <f>'Digital Plan - UPI'!I79</f>
        <v>Journey Ads</v>
      </c>
      <c r="I105" s="309" t="str">
        <f>'Digital Plan - UPI'!J79</f>
        <v>NA</v>
      </c>
      <c r="J105" s="263" t="str">
        <f>'Digital Plan - UPI'!K79</f>
        <v>CPT</v>
      </c>
      <c r="K105" s="266">
        <f>'Digital Plan - UPI'!L79</f>
        <v>21</v>
      </c>
      <c r="L105" s="267">
        <f>'Digital Plan - UPI'!M79</f>
        <v>45460</v>
      </c>
      <c r="M105" s="267">
        <f>'Digital Plan - UPI'!N79</f>
        <v>45480</v>
      </c>
      <c r="N105" s="266">
        <f>'Digital Plan - UPI'!O79</f>
        <v>1079229.2000000002</v>
      </c>
      <c r="O105" s="268">
        <f>'Digital Plan - UPI'!P79</f>
        <v>359743.06666666671</v>
      </c>
      <c r="P105" s="269">
        <f>'Digital Plan - UPI'!Q79</f>
        <v>1.4999999999999999E-2</v>
      </c>
      <c r="Q105" s="266">
        <f>'Digital Plan - UPI'!R79</f>
        <v>16188.438000000002</v>
      </c>
      <c r="R105" s="268" t="str">
        <f>'Digital Plan - UPI'!S79</f>
        <v>-</v>
      </c>
      <c r="S105" s="271" t="str">
        <f>'Digital Plan - UPI'!T79</f>
        <v>-</v>
      </c>
      <c r="T105" s="266">
        <f>'Digital Plan - UPI'!U79</f>
        <v>359743.06666666671</v>
      </c>
      <c r="U105" s="266">
        <f>'Digital Plan - UPI'!V79</f>
        <v>3</v>
      </c>
      <c r="V105" s="272">
        <f>'Digital Plan - UPI'!X79</f>
        <v>1.5</v>
      </c>
      <c r="W105" s="273">
        <f>'Digital Plan - UPI'!Y79</f>
        <v>539614.60000000009</v>
      </c>
      <c r="X105" s="273">
        <f>'Digital Plan - UPI'!Z79</f>
        <v>500</v>
      </c>
      <c r="Y105" s="273">
        <f>'Digital Plan - UPI'!AA79</f>
        <v>33.333333333333336</v>
      </c>
      <c r="Z105" s="274">
        <f>'Digital Plan - UPI'!AB79</f>
        <v>3854390</v>
      </c>
      <c r="AA105" s="275">
        <f>'Digital Plan - UPI'!AC79</f>
        <v>9.3333333333333338E-2</v>
      </c>
      <c r="AB105" s="259"/>
      <c r="AC105" s="266">
        <f t="shared" si="32"/>
        <v>215845.84000000005</v>
      </c>
      <c r="AD105" s="266">
        <f t="shared" si="32"/>
        <v>215845.84000000005</v>
      </c>
      <c r="AE105" s="266">
        <f t="shared" si="33"/>
        <v>161884.38000000003</v>
      </c>
      <c r="AF105" s="266">
        <f t="shared" si="33"/>
        <v>161884.38000000003</v>
      </c>
      <c r="AG105" s="266">
        <f t="shared" si="34"/>
        <v>107922.92000000003</v>
      </c>
      <c r="AH105" s="266">
        <f t="shared" si="34"/>
        <v>107922.92000000003</v>
      </c>
      <c r="AI105" s="266">
        <f t="shared" si="35"/>
        <v>53961.460000000014</v>
      </c>
      <c r="AJ105" s="266">
        <f t="shared" si="35"/>
        <v>53961.460000000014</v>
      </c>
    </row>
    <row r="106" spans="1:36" x14ac:dyDescent="0.35">
      <c r="A106" s="321" t="str">
        <f>'Digital Plan - UPI'!B80</f>
        <v>Delhi + NCR</v>
      </c>
      <c r="B106" s="293" t="str">
        <f>'Digital Plan - UPI'!C80</f>
        <v>Core</v>
      </c>
      <c r="C106" s="310" t="str">
        <f>'Digital Plan - UPI'!D80</f>
        <v>Mcanvas</v>
      </c>
      <c r="D106" s="263" t="str">
        <f>'Digital Plan - UPI'!E80</f>
        <v>Static</v>
      </c>
      <c r="E106" s="408" t="str">
        <f>'Digital Plan - UPI'!F80</f>
        <v xml:space="preserve">Network </v>
      </c>
      <c r="F106" s="404" t="str">
        <f>'Digital Plan - UPI'!G80</f>
        <v xml:space="preserve">Mobile </v>
      </c>
      <c r="G106" s="265" t="str">
        <f>'Digital Plan - UPI'!H80</f>
        <v>ROS</v>
      </c>
      <c r="H106" s="265" t="str">
        <f>'Digital Plan - UPI'!I80</f>
        <v xml:space="preserve">Single Screen Interstitial </v>
      </c>
      <c r="I106" s="309" t="str">
        <f>'Digital Plan - UPI'!J80</f>
        <v>Reff : Targeting Sheet</v>
      </c>
      <c r="J106" s="263" t="str">
        <f>'Digital Plan - UPI'!K80</f>
        <v>CPC</v>
      </c>
      <c r="K106" s="266">
        <f>'Digital Plan - UPI'!L80</f>
        <v>21</v>
      </c>
      <c r="L106" s="267">
        <f>'Digital Plan - UPI'!M80</f>
        <v>45460</v>
      </c>
      <c r="M106" s="267">
        <f>'Digital Plan - UPI'!N80</f>
        <v>45480</v>
      </c>
      <c r="N106" s="266">
        <f>'Digital Plan - UPI'!O80</f>
        <v>5266803.2524800003</v>
      </c>
      <c r="O106" s="268" t="str">
        <f>'Digital Plan - UPI'!P80</f>
        <v>-</v>
      </c>
      <c r="P106" s="269">
        <f>'Digital Plan - UPI'!Q80</f>
        <v>0.02</v>
      </c>
      <c r="Q106" s="266">
        <f>'Digital Plan - UPI'!R80</f>
        <v>105336.0650496</v>
      </c>
      <c r="R106" s="268" t="str">
        <f>'Digital Plan - UPI'!S80</f>
        <v>-</v>
      </c>
      <c r="S106" s="271" t="str">
        <f>'Digital Plan - UPI'!T80</f>
        <v>-</v>
      </c>
      <c r="T106" s="266">
        <f>'Digital Plan - UPI'!U80</f>
        <v>5266803.2524800003</v>
      </c>
      <c r="U106" s="266">
        <f>'Digital Plan - UPI'!V80</f>
        <v>1</v>
      </c>
      <c r="V106" s="272">
        <f>'Digital Plan - UPI'!X80</f>
        <v>4.5</v>
      </c>
      <c r="W106" s="273">
        <f>'Digital Plan - UPI'!Y80</f>
        <v>474012.29272319999</v>
      </c>
      <c r="X106" s="273">
        <f>'Digital Plan - UPI'!Z80</f>
        <v>90</v>
      </c>
      <c r="Y106" s="273">
        <f>'Digital Plan - UPI'!AA80</f>
        <v>4.5</v>
      </c>
      <c r="Z106" s="274">
        <f>'Digital Plan - UPI'!AB80</f>
        <v>8176000</v>
      </c>
      <c r="AA106" s="275">
        <f>'Digital Plan - UPI'!AC80</f>
        <v>0.64417848</v>
      </c>
      <c r="AB106" s="259"/>
      <c r="AC106" s="266">
        <f t="shared" si="32"/>
        <v>1053360.6504960002</v>
      </c>
      <c r="AD106" s="266">
        <f t="shared" si="32"/>
        <v>1053360.6504960002</v>
      </c>
      <c r="AE106" s="266">
        <f t="shared" si="33"/>
        <v>790020.48787199997</v>
      </c>
      <c r="AF106" s="266">
        <f t="shared" si="33"/>
        <v>790020.48787199997</v>
      </c>
      <c r="AG106" s="266">
        <f t="shared" si="34"/>
        <v>526680.3252480001</v>
      </c>
      <c r="AH106" s="266">
        <f t="shared" si="34"/>
        <v>526680.3252480001</v>
      </c>
      <c r="AI106" s="266">
        <f t="shared" si="35"/>
        <v>263340.16262400005</v>
      </c>
      <c r="AJ106" s="266">
        <f t="shared" si="35"/>
        <v>263340.16262400005</v>
      </c>
    </row>
    <row r="107" spans="1:36" x14ac:dyDescent="0.35">
      <c r="A107" s="321" t="str">
        <f>'Digital Plan - UPI'!B81</f>
        <v>Delhi NCR</v>
      </c>
      <c r="B107" s="293" t="str">
        <f>'Digital Plan - UPI'!C81</f>
        <v>Core</v>
      </c>
      <c r="C107" s="310" t="str">
        <f>'Digital Plan - UPI'!D81</f>
        <v>Sports Display (Auction Deal)</v>
      </c>
      <c r="D107" s="314" t="str">
        <f>'Digital Plan - UPI'!E81</f>
        <v>Static</v>
      </c>
      <c r="E107" s="408" t="str">
        <f>'Digital Plan - UPI'!F81</f>
        <v>Sports</v>
      </c>
      <c r="F107" s="404" t="str">
        <f>'Digital Plan - UPI'!G81</f>
        <v>Mobile</v>
      </c>
      <c r="G107" s="265" t="str">
        <f>'Digital Plan - UPI'!H81</f>
        <v>ROS</v>
      </c>
      <c r="H107" s="265" t="str">
        <f>'Digital Plan - UPI'!I81</f>
        <v>Standard Banners</v>
      </c>
      <c r="I107" s="308" t="str">
        <f>'Digital Plan - UPI'!J81</f>
        <v>Geo + Demo (MF 18+)</v>
      </c>
      <c r="J107" s="263" t="str">
        <f>'Digital Plan - UPI'!K81</f>
        <v>CPM</v>
      </c>
      <c r="K107" s="266">
        <f>'Digital Plan - UPI'!L81</f>
        <v>13</v>
      </c>
      <c r="L107" s="267">
        <f>'Digital Plan - UPI'!M81</f>
        <v>45460</v>
      </c>
      <c r="M107" s="267">
        <f>'Digital Plan - UPI'!N81</f>
        <v>45472</v>
      </c>
      <c r="N107" s="266">
        <f>'Digital Plan - UPI'!O81</f>
        <v>1195356.06</v>
      </c>
      <c r="O107" s="268" t="str">
        <f>'Digital Plan - UPI'!P81</f>
        <v>-</v>
      </c>
      <c r="P107" s="315">
        <f>'Digital Plan - UPI'!Q81</f>
        <v>5.0000000000000001E-3</v>
      </c>
      <c r="Q107" s="266">
        <f>'Digital Plan - UPI'!R81</f>
        <v>5976.7803000000004</v>
      </c>
      <c r="R107" s="268" t="str">
        <f>'Digital Plan - UPI'!S81</f>
        <v>-</v>
      </c>
      <c r="S107" s="271" t="str">
        <f>'Digital Plan - UPI'!T81</f>
        <v>-</v>
      </c>
      <c r="T107" s="266">
        <f>'Digital Plan - UPI'!U81</f>
        <v>597678.03</v>
      </c>
      <c r="U107" s="266">
        <f>'Digital Plan - UPI'!V81</f>
        <v>2</v>
      </c>
      <c r="V107" s="272">
        <f>'Digital Plan - UPI'!X81</f>
        <v>105</v>
      </c>
      <c r="W107" s="273">
        <f>'Digital Plan - UPI'!Y81</f>
        <v>125512.38630000001</v>
      </c>
      <c r="X107" s="273">
        <f>'Digital Plan - UPI'!Z81</f>
        <v>105.00000000000001</v>
      </c>
      <c r="Y107" s="273">
        <f>'Digital Plan - UPI'!AA81</f>
        <v>21</v>
      </c>
      <c r="Z107" s="274">
        <f>'Digital Plan - UPI'!AB81</f>
        <v>1328173.4000000001</v>
      </c>
      <c r="AA107" s="275">
        <f>'Digital Plan - UPI'!AC81</f>
        <v>0.45</v>
      </c>
      <c r="AB107" s="259"/>
      <c r="AC107" s="266"/>
      <c r="AD107" s="266"/>
      <c r="AE107" s="266">
        <f>N107/K107*2</f>
        <v>183900.9323076923</v>
      </c>
      <c r="AF107" s="266">
        <f>N107/K107*2</f>
        <v>183900.9323076923</v>
      </c>
      <c r="AG107" s="266"/>
      <c r="AH107" s="266"/>
      <c r="AI107" s="266">
        <f>N107/K107*2</f>
        <v>183900.9323076923</v>
      </c>
      <c r="AJ107" s="266"/>
    </row>
    <row r="108" spans="1:36" x14ac:dyDescent="0.35">
      <c r="A108" s="321" t="str">
        <f>'Digital Plan - UPI'!B82</f>
        <v>Delhi + NCR</v>
      </c>
      <c r="B108" s="293" t="str">
        <f>'Digital Plan - UPI'!C82</f>
        <v>Core</v>
      </c>
      <c r="C108" s="311" t="str">
        <f>'Digital Plan - UPI'!D82</f>
        <v>NobrokerHood</v>
      </c>
      <c r="D108" s="263" t="str">
        <f>'Digital Plan - UPI'!E82</f>
        <v>Static</v>
      </c>
      <c r="E108" s="408" t="str">
        <f>'Digital Plan - UPI'!F82</f>
        <v>Community</v>
      </c>
      <c r="F108" s="404" t="str">
        <f>'Digital Plan - UPI'!G82</f>
        <v xml:space="preserve">Mobile </v>
      </c>
      <c r="G108" s="265" t="str">
        <f>'Digital Plan - UPI'!H82</f>
        <v>ROS</v>
      </c>
      <c r="H108" s="265" t="str">
        <f>'Digital Plan - UPI'!I82</f>
        <v>PAC</v>
      </c>
      <c r="I108" s="308" t="str">
        <f>'Digital Plan - UPI'!J82</f>
        <v>Reff : Targeting Sheet</v>
      </c>
      <c r="J108" s="263" t="str">
        <f>'Digital Plan - UPI'!K82</f>
        <v xml:space="preserve">CPM </v>
      </c>
      <c r="K108" s="266">
        <f>'Digital Plan - UPI'!L82</f>
        <v>6</v>
      </c>
      <c r="L108" s="267">
        <f>'Digital Plan - UPI'!M82</f>
        <v>45471</v>
      </c>
      <c r="M108" s="267">
        <f>'Digital Plan - UPI'!N82</f>
        <v>45476</v>
      </c>
      <c r="N108" s="266">
        <f>'Digital Plan - UPI'!O82</f>
        <v>734693.57142857136</v>
      </c>
      <c r="O108" s="268" t="str">
        <f>'Digital Plan - UPI'!P82</f>
        <v>-</v>
      </c>
      <c r="P108" s="315">
        <f>'Digital Plan - UPI'!Q82</f>
        <v>0.01</v>
      </c>
      <c r="Q108" s="266">
        <f>'Digital Plan - UPI'!R82</f>
        <v>7346.9357142857134</v>
      </c>
      <c r="R108" s="268" t="str">
        <f>'Digital Plan - UPI'!S82</f>
        <v>-</v>
      </c>
      <c r="S108" s="271" t="str">
        <f>'Digital Plan - UPI'!T82</f>
        <v>-</v>
      </c>
      <c r="T108" s="266">
        <f>'Digital Plan - UPI'!U82</f>
        <v>146938.71428571426</v>
      </c>
      <c r="U108" s="266">
        <f>'Digital Plan - UPI'!V82</f>
        <v>5</v>
      </c>
      <c r="V108" s="272">
        <f>'Digital Plan - UPI'!X82</f>
        <v>260</v>
      </c>
      <c r="W108" s="273">
        <f>'Digital Plan - UPI'!Y82</f>
        <v>191020.32857142854</v>
      </c>
      <c r="X108" s="273">
        <f>'Digital Plan - UPI'!Z82</f>
        <v>260</v>
      </c>
      <c r="Y108" s="273">
        <f>'Digital Plan - UPI'!AA82</f>
        <v>26</v>
      </c>
      <c r="Z108" s="274">
        <f>'Digital Plan - UPI'!AB82</f>
        <v>400000</v>
      </c>
      <c r="AA108" s="275">
        <f>'Digital Plan - UPI'!AC82</f>
        <v>0.36734678571428564</v>
      </c>
      <c r="AB108" s="259"/>
      <c r="AC108" s="266"/>
      <c r="AD108" s="266">
        <f>N108/K108*2</f>
        <v>244897.85714285713</v>
      </c>
      <c r="AE108" s="266">
        <f>N108/K108*2</f>
        <v>244897.85714285713</v>
      </c>
      <c r="AF108" s="266">
        <f>N108/K108*4</f>
        <v>489795.71428571426</v>
      </c>
      <c r="AG108" s="266"/>
      <c r="AH108" s="266"/>
      <c r="AI108" s="266">
        <f>N108/K108*4</f>
        <v>489795.71428571426</v>
      </c>
      <c r="AJ108" s="266">
        <f>N108/K108*2</f>
        <v>244897.85714285713</v>
      </c>
    </row>
    <row r="109" spans="1:36" x14ac:dyDescent="0.35">
      <c r="A109" s="277" t="str">
        <f>'Digital Plan - UPI'!B83</f>
        <v>Delhi + NCR</v>
      </c>
      <c r="B109" s="278">
        <f>'Digital Plan - UPI'!C83</f>
        <v>0</v>
      </c>
      <c r="C109" s="279" t="str">
        <f>'Digital Plan - UPI'!D83</f>
        <v>Total</v>
      </c>
      <c r="D109" s="280">
        <f>'Digital Plan - UPI'!E83</f>
        <v>0</v>
      </c>
      <c r="E109" s="405">
        <f>'Digital Plan - UPI'!F83</f>
        <v>0</v>
      </c>
      <c r="F109" s="405">
        <f>'Digital Plan - UPI'!G83</f>
        <v>0</v>
      </c>
      <c r="G109" s="280">
        <f>'Digital Plan - UPI'!H83</f>
        <v>0</v>
      </c>
      <c r="H109" s="281">
        <f>'Digital Plan - UPI'!I83</f>
        <v>0</v>
      </c>
      <c r="I109" s="282">
        <f>'Digital Plan - UPI'!J83</f>
        <v>0</v>
      </c>
      <c r="J109" s="283">
        <f>'Digital Plan - UPI'!K83</f>
        <v>0</v>
      </c>
      <c r="K109" s="284">
        <f>'Digital Plan - UPI'!L83</f>
        <v>0</v>
      </c>
      <c r="L109" s="284">
        <f>'Digital Plan - UPI'!M83</f>
        <v>0</v>
      </c>
      <c r="M109" s="284">
        <f>'Digital Plan - UPI'!N83</f>
        <v>0</v>
      </c>
      <c r="N109" s="284">
        <f>'Digital Plan - UPI'!O83</f>
        <v>161434200.65990552</v>
      </c>
      <c r="O109" s="284">
        <f>'Digital Plan - UPI'!P83</f>
        <v>0</v>
      </c>
      <c r="P109" s="285">
        <f>'Digital Plan - UPI'!Q83</f>
        <v>2.6112866930699135E-3</v>
      </c>
      <c r="Q109" s="284">
        <f>'Digital Plan - UPI'!R83</f>
        <v>421550.97998958954</v>
      </c>
      <c r="R109" s="286">
        <f>'Digital Plan - UPI'!S83</f>
        <v>0</v>
      </c>
      <c r="S109" s="316">
        <f>'Digital Plan - UPI'!T83</f>
        <v>106776545.27481821</v>
      </c>
      <c r="T109" s="284">
        <f>'Digital Plan - UPI'!U83</f>
        <v>15368722.335217539</v>
      </c>
      <c r="U109" s="284">
        <f>'Digital Plan - UPI'!V83</f>
        <v>10.504074258012839</v>
      </c>
      <c r="V109" s="287">
        <f>'Digital Plan - UPI'!X83</f>
        <v>0</v>
      </c>
      <c r="W109" s="317">
        <f>'Digital Plan - UPI'!Y83</f>
        <v>17230464.216015406</v>
      </c>
      <c r="X109" s="288">
        <f>'Digital Plan - UPI'!Z83</f>
        <v>106.73366700229114</v>
      </c>
      <c r="Y109" s="288">
        <f>'Digital Plan - UPI'!AA83</f>
        <v>40.873974996905289</v>
      </c>
      <c r="Z109" s="284">
        <f>'Digital Plan - UPI'!AB83</f>
        <v>20300275.92935</v>
      </c>
      <c r="AA109" s="289">
        <f>'Digital Plan - UPI'!AC83</f>
        <v>0.75706962746243001</v>
      </c>
      <c r="AB109" s="259"/>
      <c r="AC109" s="284"/>
      <c r="AD109" s="284"/>
      <c r="AE109" s="284"/>
      <c r="AF109" s="284"/>
      <c r="AG109" s="284"/>
      <c r="AH109" s="284"/>
      <c r="AI109" s="284"/>
      <c r="AJ109" s="284"/>
    </row>
    <row r="110" spans="1:36" x14ac:dyDescent="0.35">
      <c r="A110" s="321" t="e">
        <f>'Digital Plan - UPI'!#REF!</f>
        <v>#REF!</v>
      </c>
      <c r="B110" s="293" t="e">
        <f>'Digital Plan - UPI'!#REF!</f>
        <v>#REF!</v>
      </c>
      <c r="C110" s="294" t="e">
        <f>'Digital Plan - UPI'!#REF!</f>
        <v>#REF!</v>
      </c>
      <c r="D110" s="294" t="e">
        <f>'Digital Plan - UPI'!#REF!</f>
        <v>#REF!</v>
      </c>
      <c r="E110" s="406" t="e">
        <f>'Digital Plan - UPI'!#REF!</f>
        <v>#REF!</v>
      </c>
      <c r="F110" s="406" t="e">
        <f>'Digital Plan - UPI'!#REF!</f>
        <v>#REF!</v>
      </c>
      <c r="G110" s="296" t="e">
        <f>'Digital Plan - UPI'!#REF!</f>
        <v>#REF!</v>
      </c>
      <c r="H110" s="296" t="e">
        <f>'Digital Plan - UPI'!#REF!</f>
        <v>#REF!</v>
      </c>
      <c r="I110" s="297" t="e">
        <f>'Digital Plan - UPI'!#REF!</f>
        <v>#REF!</v>
      </c>
      <c r="J110" s="295" t="e">
        <f>'Digital Plan - UPI'!#REF!</f>
        <v>#REF!</v>
      </c>
      <c r="K110" s="298" t="e">
        <f>'Digital Plan - UPI'!#REF!</f>
        <v>#REF!</v>
      </c>
      <c r="L110" s="299" t="e">
        <f>'Digital Plan - UPI'!#REF!</f>
        <v>#REF!</v>
      </c>
      <c r="M110" s="299" t="e">
        <f>'Digital Plan - UPI'!#REF!</f>
        <v>#REF!</v>
      </c>
      <c r="N110" s="298" t="e">
        <f>'Digital Plan - UPI'!#REF!</f>
        <v>#REF!</v>
      </c>
      <c r="O110" s="300" t="e">
        <f>'Digital Plan - UPI'!#REF!</f>
        <v>#REF!</v>
      </c>
      <c r="P110" s="301" t="e">
        <f>'Digital Plan - UPI'!#REF!</f>
        <v>#REF!</v>
      </c>
      <c r="Q110" s="298" t="e">
        <f>'Digital Plan - UPI'!#REF!</f>
        <v>#REF!</v>
      </c>
      <c r="R110" s="302" t="e">
        <f>'Digital Plan - UPI'!#REF!</f>
        <v>#REF!</v>
      </c>
      <c r="S110" s="303" t="e">
        <f>'Digital Plan - UPI'!#REF!</f>
        <v>#REF!</v>
      </c>
      <c r="T110" s="298" t="e">
        <f>'Digital Plan - UPI'!#REF!</f>
        <v>#REF!</v>
      </c>
      <c r="U110" s="298" t="e">
        <f>'Digital Plan - UPI'!#REF!</f>
        <v>#REF!</v>
      </c>
      <c r="V110" s="304" t="e">
        <f>'Digital Plan - UPI'!#REF!</f>
        <v>#REF!</v>
      </c>
      <c r="W110" s="305" t="e">
        <f>'Digital Plan - UPI'!#REF!</f>
        <v>#REF!</v>
      </c>
      <c r="X110" s="305" t="e">
        <f>'Digital Plan - UPI'!#REF!</f>
        <v>#REF!</v>
      </c>
      <c r="Y110" s="305" t="e">
        <f>'Digital Plan - UPI'!#REF!</f>
        <v>#REF!</v>
      </c>
      <c r="Z110" s="306" t="e">
        <f>'Digital Plan - UPI'!#REF!</f>
        <v>#REF!</v>
      </c>
      <c r="AA110" s="307" t="e">
        <f>'Digital Plan - UPI'!#REF!</f>
        <v>#REF!</v>
      </c>
      <c r="AB110" s="259"/>
      <c r="AC110" s="298" t="e">
        <f>N110/2</f>
        <v>#REF!</v>
      </c>
      <c r="AD110" s="298" t="e">
        <f>N110/2</f>
        <v>#REF!</v>
      </c>
      <c r="AE110" s="298"/>
      <c r="AF110" s="298"/>
      <c r="AG110" s="298"/>
      <c r="AH110" s="298"/>
      <c r="AI110" s="298"/>
      <c r="AJ110" s="298"/>
    </row>
    <row r="111" spans="1:36" x14ac:dyDescent="0.35">
      <c r="A111" s="321" t="e">
        <f>'Digital Plan - UPI'!#REF!</f>
        <v>#REF!</v>
      </c>
      <c r="B111" s="293" t="e">
        <f>'Digital Plan - UPI'!#REF!</f>
        <v>#REF!</v>
      </c>
      <c r="C111" s="295" t="e">
        <f>'Digital Plan - UPI'!#REF!</f>
        <v>#REF!</v>
      </c>
      <c r="D111" s="295" t="e">
        <f>'Digital Plan - UPI'!#REF!</f>
        <v>#REF!</v>
      </c>
      <c r="E111" s="406" t="e">
        <f>'Digital Plan - UPI'!#REF!</f>
        <v>#REF!</v>
      </c>
      <c r="F111" s="407" t="e">
        <f>'Digital Plan - UPI'!#REF!</f>
        <v>#REF!</v>
      </c>
      <c r="G111" s="296" t="e">
        <f>'Digital Plan - UPI'!#REF!</f>
        <v>#REF!</v>
      </c>
      <c r="H111" s="296" t="e">
        <f>'Digital Plan - UPI'!#REF!</f>
        <v>#REF!</v>
      </c>
      <c r="I111" s="297" t="e">
        <f>'Digital Plan - UPI'!#REF!</f>
        <v>#REF!</v>
      </c>
      <c r="J111" s="295" t="e">
        <f>'Digital Plan - UPI'!#REF!</f>
        <v>#REF!</v>
      </c>
      <c r="K111" s="298" t="e">
        <f>'Digital Plan - UPI'!#REF!</f>
        <v>#REF!</v>
      </c>
      <c r="L111" s="299" t="e">
        <f>'Digital Plan - UPI'!#REF!</f>
        <v>#REF!</v>
      </c>
      <c r="M111" s="299" t="e">
        <f>'Digital Plan - UPI'!#REF!</f>
        <v>#REF!</v>
      </c>
      <c r="N111" s="298" t="e">
        <f>'Digital Plan - UPI'!#REF!</f>
        <v>#REF!</v>
      </c>
      <c r="O111" s="300" t="e">
        <f>'Digital Plan - UPI'!#REF!</f>
        <v>#REF!</v>
      </c>
      <c r="P111" s="301" t="e">
        <f>'Digital Plan - UPI'!#REF!</f>
        <v>#REF!</v>
      </c>
      <c r="Q111" s="298" t="e">
        <f>'Digital Plan - UPI'!#REF!</f>
        <v>#REF!</v>
      </c>
      <c r="R111" s="302" t="e">
        <f>'Digital Plan - UPI'!#REF!</f>
        <v>#REF!</v>
      </c>
      <c r="S111" s="303" t="e">
        <f>'Digital Plan - UPI'!#REF!</f>
        <v>#REF!</v>
      </c>
      <c r="T111" s="298" t="e">
        <f>'Digital Plan - UPI'!#REF!</f>
        <v>#REF!</v>
      </c>
      <c r="U111" s="298" t="e">
        <f>'Digital Plan - UPI'!#REF!</f>
        <v>#REF!</v>
      </c>
      <c r="V111" s="304" t="e">
        <f>'Digital Plan - UPI'!#REF!</f>
        <v>#REF!</v>
      </c>
      <c r="W111" s="305" t="e">
        <f>'Digital Plan - UPI'!#REF!</f>
        <v>#REF!</v>
      </c>
      <c r="X111" s="305" t="e">
        <f>'Digital Plan - UPI'!#REF!</f>
        <v>#REF!</v>
      </c>
      <c r="Y111" s="305" t="e">
        <f>'Digital Plan - UPI'!#REF!</f>
        <v>#REF!</v>
      </c>
      <c r="Z111" s="306" t="e">
        <f>'Digital Plan - UPI'!#REF!</f>
        <v>#REF!</v>
      </c>
      <c r="AA111" s="307" t="e">
        <f>'Digital Plan - UPI'!#REF!</f>
        <v>#REF!</v>
      </c>
      <c r="AB111" s="259"/>
      <c r="AC111" s="298" t="e">
        <f>N111/2</f>
        <v>#REF!</v>
      </c>
      <c r="AD111" s="298" t="e">
        <f>N111/2</f>
        <v>#REF!</v>
      </c>
      <c r="AE111" s="298"/>
      <c r="AF111" s="298"/>
      <c r="AG111" s="298"/>
      <c r="AH111" s="298"/>
      <c r="AI111" s="298"/>
      <c r="AJ111" s="298"/>
    </row>
    <row r="112" spans="1:36" x14ac:dyDescent="0.35">
      <c r="A112" s="321" t="str">
        <f>'Digital Plan - UPI'!B84</f>
        <v>Kolkata + Howrah</v>
      </c>
      <c r="B112" s="293" t="str">
        <f>'Digital Plan - UPI'!C84</f>
        <v>Core - CTV</v>
      </c>
      <c r="C112" s="294" t="str">
        <f>'Digital Plan - UPI'!D84</f>
        <v>Connected TV PMP</v>
      </c>
      <c r="D112" s="294" t="str">
        <f>'Digital Plan - UPI'!E84</f>
        <v>Video</v>
      </c>
      <c r="E112" s="406" t="str">
        <f>'Digital Plan - UPI'!F84</f>
        <v xml:space="preserve">Entertainment </v>
      </c>
      <c r="F112" s="406" t="str">
        <f>'Digital Plan - UPI'!G84</f>
        <v>CTV</v>
      </c>
      <c r="G112" s="296" t="str">
        <f>'Digital Plan - UPI'!H84</f>
        <v>Instream</v>
      </c>
      <c r="H112" s="296" t="str">
        <f>'Digital Plan - UPI'!I84</f>
        <v xml:space="preserve">Video-6 Sec </v>
      </c>
      <c r="I112" s="297" t="str">
        <f>'Digital Plan - UPI'!J84</f>
        <v>Reff : Targeting Sheet</v>
      </c>
      <c r="J112" s="295" t="str">
        <f>'Digital Plan - UPI'!K84</f>
        <v>CPM</v>
      </c>
      <c r="K112" s="298">
        <f>'Digital Plan - UPI'!L84</f>
        <v>21</v>
      </c>
      <c r="L112" s="299">
        <f>'Digital Plan - UPI'!M84</f>
        <v>45460</v>
      </c>
      <c r="M112" s="299">
        <f>'Digital Plan - UPI'!N84</f>
        <v>45480</v>
      </c>
      <c r="N112" s="298">
        <f>'Digital Plan - UPI'!O84</f>
        <v>1632901.4029081601</v>
      </c>
      <c r="O112" s="300" t="str">
        <f>'Digital Plan - UPI'!P84</f>
        <v>-</v>
      </c>
      <c r="P112" s="301">
        <f>'Digital Plan - UPI'!Q84</f>
        <v>0</v>
      </c>
      <c r="Q112" s="298">
        <f>'Digital Plan - UPI'!R84</f>
        <v>0</v>
      </c>
      <c r="R112" s="302">
        <f>'Digital Plan - UPI'!S84</f>
        <v>0.85</v>
      </c>
      <c r="S112" s="303">
        <f>'Digital Plan - UPI'!T84</f>
        <v>1387966.1924719361</v>
      </c>
      <c r="T112" s="298">
        <f>'Digital Plan - UPI'!U84</f>
        <v>240132.5592512</v>
      </c>
      <c r="U112" s="298">
        <f>'Digital Plan - UPI'!V84</f>
        <v>6.8000000000000007</v>
      </c>
      <c r="V112" s="304">
        <f>'Digital Plan - UPI'!X84</f>
        <v>125</v>
      </c>
      <c r="W112" s="305">
        <f>'Digital Plan - UPI'!Y84</f>
        <v>204112.67536352001</v>
      </c>
      <c r="X112" s="305">
        <f>'Digital Plan - UPI'!Z84</f>
        <v>125</v>
      </c>
      <c r="Y112" s="305">
        <f>'Digital Plan - UPI'!AA84</f>
        <v>0</v>
      </c>
      <c r="Z112" s="306">
        <f>'Digital Plan - UPI'!AB84</f>
        <v>279580</v>
      </c>
      <c r="AA112" s="307">
        <f>'Digital Plan - UPI'!AC84</f>
        <v>0.85890464</v>
      </c>
      <c r="AB112" s="259"/>
      <c r="AC112" s="298"/>
      <c r="AD112" s="298"/>
      <c r="AE112" s="298">
        <f>$N112/3</f>
        <v>544300.46763605333</v>
      </c>
      <c r="AF112" s="298">
        <f t="shared" ref="AF112:AJ117" si="36">$N112/3</f>
        <v>544300.46763605333</v>
      </c>
      <c r="AG112" s="298">
        <f t="shared" si="36"/>
        <v>544300.46763605333</v>
      </c>
      <c r="AH112" s="298"/>
      <c r="AI112" s="298"/>
      <c r="AJ112" s="298"/>
    </row>
    <row r="113" spans="1:36" x14ac:dyDescent="0.35">
      <c r="A113" s="321" t="e">
        <f>'Digital Plan - UPI'!#REF!</f>
        <v>#REF!</v>
      </c>
      <c r="B113" s="293" t="e">
        <f>'Digital Plan - UPI'!#REF!</f>
        <v>#REF!</v>
      </c>
      <c r="C113" s="294" t="e">
        <f>'Digital Plan - UPI'!#REF!</f>
        <v>#REF!</v>
      </c>
      <c r="D113" s="294" t="e">
        <f>'Digital Plan - UPI'!#REF!</f>
        <v>#REF!</v>
      </c>
      <c r="E113" s="406" t="e">
        <f>'Digital Plan - UPI'!#REF!</f>
        <v>#REF!</v>
      </c>
      <c r="F113" s="406" t="e">
        <f>'Digital Plan - UPI'!#REF!</f>
        <v>#REF!</v>
      </c>
      <c r="G113" s="296" t="e">
        <f>'Digital Plan - UPI'!#REF!</f>
        <v>#REF!</v>
      </c>
      <c r="H113" s="296" t="e">
        <f>'Digital Plan - UPI'!#REF!</f>
        <v>#REF!</v>
      </c>
      <c r="I113" s="297" t="e">
        <f>'Digital Plan - UPI'!#REF!</f>
        <v>#REF!</v>
      </c>
      <c r="J113" s="295" t="e">
        <f>'Digital Plan - UPI'!#REF!</f>
        <v>#REF!</v>
      </c>
      <c r="K113" s="298" t="e">
        <f>'Digital Plan - UPI'!#REF!</f>
        <v>#REF!</v>
      </c>
      <c r="L113" s="299" t="e">
        <f>'Digital Plan - UPI'!#REF!</f>
        <v>#REF!</v>
      </c>
      <c r="M113" s="299" t="e">
        <f>'Digital Plan - UPI'!#REF!</f>
        <v>#REF!</v>
      </c>
      <c r="N113" s="298" t="e">
        <f>'Digital Plan - UPI'!#REF!</f>
        <v>#REF!</v>
      </c>
      <c r="O113" s="300" t="e">
        <f>'Digital Plan - UPI'!#REF!</f>
        <v>#REF!</v>
      </c>
      <c r="P113" s="301" t="e">
        <f>'Digital Plan - UPI'!#REF!</f>
        <v>#REF!</v>
      </c>
      <c r="Q113" s="298" t="e">
        <f>'Digital Plan - UPI'!#REF!</f>
        <v>#REF!</v>
      </c>
      <c r="R113" s="302" t="e">
        <f>'Digital Plan - UPI'!#REF!</f>
        <v>#REF!</v>
      </c>
      <c r="S113" s="303" t="e">
        <f>'Digital Plan - UPI'!#REF!</f>
        <v>#REF!</v>
      </c>
      <c r="T113" s="298" t="e">
        <f>'Digital Plan - UPI'!#REF!</f>
        <v>#REF!</v>
      </c>
      <c r="U113" s="298" t="e">
        <f>'Digital Plan - UPI'!#REF!</f>
        <v>#REF!</v>
      </c>
      <c r="V113" s="304" t="e">
        <f>'Digital Plan - UPI'!#REF!</f>
        <v>#REF!</v>
      </c>
      <c r="W113" s="305" t="e">
        <f>'Digital Plan - UPI'!#REF!</f>
        <v>#REF!</v>
      </c>
      <c r="X113" s="305" t="e">
        <f>'Digital Plan - UPI'!#REF!</f>
        <v>#REF!</v>
      </c>
      <c r="Y113" s="305" t="e">
        <f>'Digital Plan - UPI'!#REF!</f>
        <v>#REF!</v>
      </c>
      <c r="Z113" s="306" t="e">
        <f>'Digital Plan - UPI'!#REF!</f>
        <v>#REF!</v>
      </c>
      <c r="AA113" s="307" t="e">
        <f>'Digital Plan - UPI'!#REF!</f>
        <v>#REF!</v>
      </c>
      <c r="AB113" s="259"/>
      <c r="AC113" s="298"/>
      <c r="AD113" s="298"/>
      <c r="AE113" s="298"/>
      <c r="AF113" s="298"/>
      <c r="AG113" s="298"/>
      <c r="AH113" s="298" t="e">
        <f>$N113/3</f>
        <v>#REF!</v>
      </c>
      <c r="AI113" s="298" t="e">
        <f t="shared" si="36"/>
        <v>#REF!</v>
      </c>
      <c r="AJ113" s="298" t="e">
        <f t="shared" si="36"/>
        <v>#REF!</v>
      </c>
    </row>
    <row r="114" spans="1:36" x14ac:dyDescent="0.35">
      <c r="A114" s="321" t="str">
        <f>'Digital Plan - UPI'!B85</f>
        <v>Kolkata + Howrah</v>
      </c>
      <c r="B114" s="293" t="str">
        <f>'Digital Plan - UPI'!C85</f>
        <v>Core - CTV</v>
      </c>
      <c r="C114" s="295" t="str">
        <f>'Digital Plan - UPI'!D85</f>
        <v xml:space="preserve">YouTube </v>
      </c>
      <c r="D114" s="295" t="str">
        <f>'Digital Plan - UPI'!E85</f>
        <v>Video</v>
      </c>
      <c r="E114" s="406" t="str">
        <f>'Digital Plan - UPI'!F85</f>
        <v xml:space="preserve">Entertainment </v>
      </c>
      <c r="F114" s="407" t="str">
        <f>'Digital Plan - UPI'!G85</f>
        <v>CTV</v>
      </c>
      <c r="G114" s="296" t="str">
        <f>'Digital Plan - UPI'!H85</f>
        <v>Instream</v>
      </c>
      <c r="H114" s="296" t="str">
        <f>'Digital Plan - UPI'!I85</f>
        <v xml:space="preserve">Bumper 6 secs  </v>
      </c>
      <c r="I114" s="297" t="str">
        <f>'Digital Plan - UPI'!J85</f>
        <v>Reff : Targeting Sheet</v>
      </c>
      <c r="J114" s="295" t="str">
        <f>'Digital Plan - UPI'!K85</f>
        <v>CPM</v>
      </c>
      <c r="K114" s="298">
        <f>'Digital Plan - UPI'!L85</f>
        <v>21</v>
      </c>
      <c r="L114" s="299">
        <f>'Digital Plan - UPI'!M85</f>
        <v>45460</v>
      </c>
      <c r="M114" s="299">
        <f>'Digital Plan - UPI'!N85</f>
        <v>45480</v>
      </c>
      <c r="N114" s="298">
        <f>'Digital Plan - UPI'!O85</f>
        <v>21667890.409973998</v>
      </c>
      <c r="O114" s="300" t="str">
        <f>'Digital Plan - UPI'!P85</f>
        <v>-</v>
      </c>
      <c r="P114" s="301">
        <f>'Digital Plan - UPI'!Q85</f>
        <v>0</v>
      </c>
      <c r="Q114" s="298">
        <f>'Digital Plan - UPI'!R85</f>
        <v>0</v>
      </c>
      <c r="R114" s="302">
        <f>'Digital Plan - UPI'!S85</f>
        <v>0.8</v>
      </c>
      <c r="S114" s="303">
        <f>'Digital Plan - UPI'!T85</f>
        <v>17334312.3279792</v>
      </c>
      <c r="T114" s="298">
        <f>'Digital Plan - UPI'!U85</f>
        <v>2610589.2060209634</v>
      </c>
      <c r="U114" s="298">
        <f>'Digital Plan - UPI'!V85</f>
        <v>8.3000000000000007</v>
      </c>
      <c r="V114" s="304">
        <f>'Digital Plan - UPI'!X85</f>
        <v>110</v>
      </c>
      <c r="W114" s="305">
        <f>'Digital Plan - UPI'!Y85</f>
        <v>2383467.94509714</v>
      </c>
      <c r="X114" s="305">
        <f>'Digital Plan - UPI'!Z85</f>
        <v>110.00000000000001</v>
      </c>
      <c r="Y114" s="305">
        <f>'Digital Plan - UPI'!AA85</f>
        <v>0</v>
      </c>
      <c r="Z114" s="306">
        <f>'Digital Plan - UPI'!AB85</f>
        <v>2901970</v>
      </c>
      <c r="AA114" s="307">
        <f>'Digital Plan - UPI'!AC85</f>
        <v>0.8995920722891565</v>
      </c>
      <c r="AB114" s="259"/>
      <c r="AC114" s="298"/>
      <c r="AD114" s="298"/>
      <c r="AE114" s="298">
        <f>$N114/3</f>
        <v>7222630.1366579989</v>
      </c>
      <c r="AF114" s="298">
        <f t="shared" si="36"/>
        <v>7222630.1366579989</v>
      </c>
      <c r="AG114" s="298">
        <f t="shared" si="36"/>
        <v>7222630.1366579989</v>
      </c>
      <c r="AH114" s="298"/>
      <c r="AI114" s="298"/>
      <c r="AJ114" s="298"/>
    </row>
    <row r="115" spans="1:36" x14ac:dyDescent="0.35">
      <c r="A115" s="321" t="e">
        <f>'Digital Plan - UPI'!#REF!</f>
        <v>#REF!</v>
      </c>
      <c r="B115" s="293" t="e">
        <f>'Digital Plan - UPI'!#REF!</f>
        <v>#REF!</v>
      </c>
      <c r="C115" s="295" t="e">
        <f>'Digital Plan - UPI'!#REF!</f>
        <v>#REF!</v>
      </c>
      <c r="D115" s="295" t="e">
        <f>'Digital Plan - UPI'!#REF!</f>
        <v>#REF!</v>
      </c>
      <c r="E115" s="406" t="e">
        <f>'Digital Plan - UPI'!#REF!</f>
        <v>#REF!</v>
      </c>
      <c r="F115" s="407" t="e">
        <f>'Digital Plan - UPI'!#REF!</f>
        <v>#REF!</v>
      </c>
      <c r="G115" s="296" t="e">
        <f>'Digital Plan - UPI'!#REF!</f>
        <v>#REF!</v>
      </c>
      <c r="H115" s="296" t="e">
        <f>'Digital Plan - UPI'!#REF!</f>
        <v>#REF!</v>
      </c>
      <c r="I115" s="297" t="e">
        <f>'Digital Plan - UPI'!#REF!</f>
        <v>#REF!</v>
      </c>
      <c r="J115" s="295" t="e">
        <f>'Digital Plan - UPI'!#REF!</f>
        <v>#REF!</v>
      </c>
      <c r="K115" s="298" t="e">
        <f>'Digital Plan - UPI'!#REF!</f>
        <v>#REF!</v>
      </c>
      <c r="L115" s="299" t="e">
        <f>'Digital Plan - UPI'!#REF!</f>
        <v>#REF!</v>
      </c>
      <c r="M115" s="299" t="e">
        <f>'Digital Plan - UPI'!#REF!</f>
        <v>#REF!</v>
      </c>
      <c r="N115" s="298" t="e">
        <f>'Digital Plan - UPI'!#REF!</f>
        <v>#REF!</v>
      </c>
      <c r="O115" s="300" t="e">
        <f>'Digital Plan - UPI'!#REF!</f>
        <v>#REF!</v>
      </c>
      <c r="P115" s="301" t="e">
        <f>'Digital Plan - UPI'!#REF!</f>
        <v>#REF!</v>
      </c>
      <c r="Q115" s="298" t="e">
        <f>'Digital Plan - UPI'!#REF!</f>
        <v>#REF!</v>
      </c>
      <c r="R115" s="302" t="e">
        <f>'Digital Plan - UPI'!#REF!</f>
        <v>#REF!</v>
      </c>
      <c r="S115" s="303" t="e">
        <f>'Digital Plan - UPI'!#REF!</f>
        <v>#REF!</v>
      </c>
      <c r="T115" s="298" t="e">
        <f>'Digital Plan - UPI'!#REF!</f>
        <v>#REF!</v>
      </c>
      <c r="U115" s="298" t="e">
        <f>'Digital Plan - UPI'!#REF!</f>
        <v>#REF!</v>
      </c>
      <c r="V115" s="304" t="e">
        <f>'Digital Plan - UPI'!#REF!</f>
        <v>#REF!</v>
      </c>
      <c r="W115" s="305" t="e">
        <f>'Digital Plan - UPI'!#REF!</f>
        <v>#REF!</v>
      </c>
      <c r="X115" s="305" t="e">
        <f>'Digital Plan - UPI'!#REF!</f>
        <v>#REF!</v>
      </c>
      <c r="Y115" s="305" t="e">
        <f>'Digital Plan - UPI'!#REF!</f>
        <v>#REF!</v>
      </c>
      <c r="Z115" s="306" t="e">
        <f>'Digital Plan - UPI'!#REF!</f>
        <v>#REF!</v>
      </c>
      <c r="AA115" s="307" t="e">
        <f>'Digital Plan - UPI'!#REF!</f>
        <v>#REF!</v>
      </c>
      <c r="AB115" s="259"/>
      <c r="AC115" s="298"/>
      <c r="AD115" s="298"/>
      <c r="AE115" s="298"/>
      <c r="AF115" s="298"/>
      <c r="AG115" s="298"/>
      <c r="AH115" s="298" t="e">
        <f>$N115/3</f>
        <v>#REF!</v>
      </c>
      <c r="AI115" s="298" t="e">
        <f t="shared" si="36"/>
        <v>#REF!</v>
      </c>
      <c r="AJ115" s="298" t="e">
        <f t="shared" si="36"/>
        <v>#REF!</v>
      </c>
    </row>
    <row r="116" spans="1:36" x14ac:dyDescent="0.35">
      <c r="A116" s="321" t="str">
        <f>'Digital Plan - UPI'!B86</f>
        <v>Kolkata + Howrah</v>
      </c>
      <c r="B116" s="293" t="str">
        <f>'Digital Plan - UPI'!C86</f>
        <v>Core</v>
      </c>
      <c r="C116" s="264" t="str">
        <f>'Digital Plan - UPI'!D86</f>
        <v>Meta</v>
      </c>
      <c r="D116" s="264" t="str">
        <f>'Digital Plan - UPI'!E86</f>
        <v>Video</v>
      </c>
      <c r="E116" s="404" t="str">
        <f>'Digital Plan - UPI'!F86</f>
        <v xml:space="preserve">Entertainment </v>
      </c>
      <c r="F116" s="404" t="str">
        <f>'Digital Plan - UPI'!G86</f>
        <v xml:space="preserve">Mobile </v>
      </c>
      <c r="G116" s="265" t="str">
        <f>'Digital Plan - UPI'!H86</f>
        <v xml:space="preserve">Instream </v>
      </c>
      <c r="H116" s="265" t="str">
        <f>'Digital Plan - UPI'!I86</f>
        <v>Instream - 6 Sec</v>
      </c>
      <c r="I116" s="308" t="str">
        <f>'Digital Plan - UPI'!J86</f>
        <v>Reff : Targeting Sheet</v>
      </c>
      <c r="J116" s="263" t="str">
        <f>'Digital Plan - UPI'!K86</f>
        <v>CPM</v>
      </c>
      <c r="K116" s="266">
        <f>'Digital Plan - UPI'!L86</f>
        <v>21</v>
      </c>
      <c r="L116" s="267">
        <f>'Digital Plan - UPI'!M86</f>
        <v>45460</v>
      </c>
      <c r="M116" s="267">
        <f>'Digital Plan - UPI'!N86</f>
        <v>45480</v>
      </c>
      <c r="N116" s="266">
        <f>'Digital Plan - UPI'!O86</f>
        <v>4388751.2535612807</v>
      </c>
      <c r="O116" s="268" t="str">
        <f>'Digital Plan - UPI'!P86</f>
        <v>-</v>
      </c>
      <c r="P116" s="269">
        <f>'Digital Plan - UPI'!Q86</f>
        <v>1E-3</v>
      </c>
      <c r="Q116" s="266">
        <f>'Digital Plan - UPI'!R86</f>
        <v>4388.7512535612805</v>
      </c>
      <c r="R116" s="270">
        <f>'Digital Plan - UPI'!S86</f>
        <v>0.7</v>
      </c>
      <c r="S116" s="271">
        <f>'Digital Plan - UPI'!T86</f>
        <v>3072125.8774928963</v>
      </c>
      <c r="T116" s="266">
        <f>'Digital Plan - UPI'!U86</f>
        <v>2507857.8591778749</v>
      </c>
      <c r="U116" s="266">
        <f>'Digital Plan - UPI'!V86</f>
        <v>1.75</v>
      </c>
      <c r="V116" s="272">
        <f>'Digital Plan - UPI'!X86</f>
        <v>70</v>
      </c>
      <c r="W116" s="273">
        <f>'Digital Plan - UPI'!Y86</f>
        <v>307212.58774928964</v>
      </c>
      <c r="X116" s="273">
        <f>'Digital Plan - UPI'!Z86</f>
        <v>69.999999999999986</v>
      </c>
      <c r="Y116" s="273">
        <f>'Digital Plan - UPI'!AA86</f>
        <v>70</v>
      </c>
      <c r="Z116" s="274">
        <f>'Digital Plan - UPI'!AB86</f>
        <v>4111124.4499999997</v>
      </c>
      <c r="AA116" s="275">
        <f>'Digital Plan - UPI'!AC86</f>
        <v>0.61001749999999999</v>
      </c>
      <c r="AB116" s="259"/>
      <c r="AC116" s="266"/>
      <c r="AD116" s="266"/>
      <c r="AE116" s="266">
        <f>$N116/3</f>
        <v>1462917.0845204268</v>
      </c>
      <c r="AF116" s="266">
        <f t="shared" si="36"/>
        <v>1462917.0845204268</v>
      </c>
      <c r="AG116" s="266">
        <f t="shared" si="36"/>
        <v>1462917.0845204268</v>
      </c>
      <c r="AH116" s="266"/>
      <c r="AI116" s="266"/>
      <c r="AJ116" s="266"/>
    </row>
    <row r="117" spans="1:36" x14ac:dyDescent="0.35">
      <c r="A117" s="321" t="str">
        <f>'Digital Plan - UPI'!B87</f>
        <v>Kolkata + Howrah</v>
      </c>
      <c r="B117" s="293" t="str">
        <f>'Digital Plan - UPI'!C87</f>
        <v>Core</v>
      </c>
      <c r="C117" s="264" t="str">
        <f>'Digital Plan - UPI'!D87</f>
        <v xml:space="preserve">YouTube </v>
      </c>
      <c r="D117" s="264" t="str">
        <f>'Digital Plan - UPI'!E87</f>
        <v>Video</v>
      </c>
      <c r="E117" s="404" t="str">
        <f>'Digital Plan - UPI'!F87</f>
        <v xml:space="preserve">Entertainment </v>
      </c>
      <c r="F117" s="404" t="str">
        <f>'Digital Plan - UPI'!G87</f>
        <v xml:space="preserve">Mobile </v>
      </c>
      <c r="G117" s="265" t="str">
        <f>'Digital Plan - UPI'!H87</f>
        <v xml:space="preserve">Instream </v>
      </c>
      <c r="H117" s="265" t="str">
        <f>'Digital Plan - UPI'!I87</f>
        <v xml:space="preserve">Bumper 6 secs  </v>
      </c>
      <c r="I117" s="308" t="str">
        <f>'Digital Plan - UPI'!J87</f>
        <v>Reff : Targeting Sheet</v>
      </c>
      <c r="J117" s="263" t="str">
        <f>'Digital Plan - UPI'!K87</f>
        <v>CPM</v>
      </c>
      <c r="K117" s="266">
        <f>'Digital Plan - UPI'!L87</f>
        <v>21</v>
      </c>
      <c r="L117" s="267">
        <f>'Digital Plan - UPI'!M87</f>
        <v>45460</v>
      </c>
      <c r="M117" s="267">
        <f>'Digital Plan - UPI'!N87</f>
        <v>45480</v>
      </c>
      <c r="N117" s="266">
        <f>'Digital Plan - UPI'!O87</f>
        <v>6484089.6656249994</v>
      </c>
      <c r="O117" s="268" t="str">
        <f>'Digital Plan - UPI'!P87</f>
        <v>-</v>
      </c>
      <c r="P117" s="269">
        <f>'Digital Plan - UPI'!Q87</f>
        <v>1E-3</v>
      </c>
      <c r="Q117" s="266">
        <f>'Digital Plan - UPI'!R87</f>
        <v>6484.0896656249997</v>
      </c>
      <c r="R117" s="270">
        <f>'Digital Plan - UPI'!S87</f>
        <v>0.8</v>
      </c>
      <c r="S117" s="271">
        <f>'Digital Plan - UPI'!T87</f>
        <v>5187271.7324999999</v>
      </c>
      <c r="T117" s="266">
        <f>'Digital Plan - UPI'!U87</f>
        <v>3178475.3262867643</v>
      </c>
      <c r="U117" s="266">
        <f>'Digital Plan - UPI'!V87</f>
        <v>2.04</v>
      </c>
      <c r="V117" s="272">
        <f>'Digital Plan - UPI'!X87</f>
        <v>80</v>
      </c>
      <c r="W117" s="273">
        <f>'Digital Plan - UPI'!Y87</f>
        <v>518727.17324999999</v>
      </c>
      <c r="X117" s="273">
        <f>'Digital Plan - UPI'!Z87</f>
        <v>80</v>
      </c>
      <c r="Y117" s="273">
        <f>'Digital Plan - UPI'!AA87</f>
        <v>80</v>
      </c>
      <c r="Z117" s="274">
        <f>'Digital Plan - UPI'!AB87</f>
        <v>4836617</v>
      </c>
      <c r="AA117" s="275">
        <f>'Digital Plan - UPI'!AC87</f>
        <v>0.65716911764705876</v>
      </c>
      <c r="AB117" s="259"/>
      <c r="AC117" s="266"/>
      <c r="AD117" s="266"/>
      <c r="AE117" s="266"/>
      <c r="AF117" s="266"/>
      <c r="AG117" s="266"/>
      <c r="AH117" s="266">
        <f>$N117/3</f>
        <v>2161363.2218749998</v>
      </c>
      <c r="AI117" s="266">
        <f t="shared" si="36"/>
        <v>2161363.2218749998</v>
      </c>
      <c r="AJ117" s="266">
        <f t="shared" si="36"/>
        <v>2161363.2218749998</v>
      </c>
    </row>
    <row r="118" spans="1:36" x14ac:dyDescent="0.35">
      <c r="A118" s="321" t="str">
        <f>'Digital Plan - UPI'!B88</f>
        <v>Kolkata + Howrah</v>
      </c>
      <c r="B118" s="293" t="str">
        <f>'Digital Plan - UPI'!C88</f>
        <v>Core</v>
      </c>
      <c r="C118" s="263" t="str">
        <f>'Digital Plan - UPI'!D88</f>
        <v xml:space="preserve">DSP </v>
      </c>
      <c r="D118" s="263" t="str">
        <f>'Digital Plan - UPI'!E88</f>
        <v>Static</v>
      </c>
      <c r="E118" s="404" t="str">
        <f>'Digital Plan - UPI'!F88</f>
        <v xml:space="preserve">Network </v>
      </c>
      <c r="F118" s="404" t="str">
        <f>'Digital Plan - UPI'!G88</f>
        <v>Mobile</v>
      </c>
      <c r="G118" s="265" t="str">
        <f>'Digital Plan - UPI'!H88</f>
        <v>ROS</v>
      </c>
      <c r="H118" s="265" t="str">
        <f>'Digital Plan - UPI'!I88</f>
        <v>Large Formats</v>
      </c>
      <c r="I118" s="309" t="str">
        <f>'Digital Plan - UPI'!J88</f>
        <v>Reff : Targeting Sheet</v>
      </c>
      <c r="J118" s="263" t="str">
        <f>'Digital Plan - UPI'!K88</f>
        <v>CPM</v>
      </c>
      <c r="K118" s="266">
        <f>'Digital Plan - UPI'!L88</f>
        <v>21</v>
      </c>
      <c r="L118" s="267">
        <f>'Digital Plan - UPI'!M88</f>
        <v>45460</v>
      </c>
      <c r="M118" s="267">
        <f>'Digital Plan - UPI'!N88</f>
        <v>45480</v>
      </c>
      <c r="N118" s="266">
        <f>'Digital Plan - UPI'!O88</f>
        <v>2515883.0043272441</v>
      </c>
      <c r="O118" s="268" t="str">
        <f>'Digital Plan - UPI'!P88</f>
        <v>-</v>
      </c>
      <c r="P118" s="269">
        <f>'Digital Plan - UPI'!Q88</f>
        <v>1.4999999999999999E-2</v>
      </c>
      <c r="Q118" s="266">
        <f>'Digital Plan - UPI'!R88</f>
        <v>37738.24506490866</v>
      </c>
      <c r="R118" s="268" t="str">
        <f>'Digital Plan - UPI'!S88</f>
        <v>-</v>
      </c>
      <c r="S118" s="271" t="str">
        <f>'Digital Plan - UPI'!T88</f>
        <v>-</v>
      </c>
      <c r="T118" s="266">
        <f>'Digital Plan - UPI'!U88</f>
        <v>1257941.5021636221</v>
      </c>
      <c r="U118" s="266">
        <f>'Digital Plan - UPI'!V88</f>
        <v>2</v>
      </c>
      <c r="V118" s="272">
        <f>'Digital Plan - UPI'!X88</f>
        <v>105</v>
      </c>
      <c r="W118" s="273">
        <f>'Digital Plan - UPI'!Y88</f>
        <v>264167.71545436064</v>
      </c>
      <c r="X118" s="273">
        <f>'Digital Plan - UPI'!Z88</f>
        <v>105.00000000000001</v>
      </c>
      <c r="Y118" s="273">
        <f>'Digital Plan - UPI'!AA88</f>
        <v>7.0000000000000009</v>
      </c>
      <c r="Z118" s="274">
        <f>'Digital Plan - UPI'!AB88</f>
        <v>3905568.2274999996</v>
      </c>
      <c r="AA118" s="275">
        <f>'Digital Plan - UPI'!AC88</f>
        <v>0.32208924</v>
      </c>
      <c r="AB118" s="259"/>
      <c r="AC118" s="266">
        <f t="shared" ref="AC118:AD122" si="37">$N118*20%</f>
        <v>503176.60086544883</v>
      </c>
      <c r="AD118" s="266">
        <f t="shared" si="37"/>
        <v>503176.60086544883</v>
      </c>
      <c r="AE118" s="266">
        <f t="shared" ref="AE118:AF122" si="38">$N118*15%</f>
        <v>377382.45064908662</v>
      </c>
      <c r="AF118" s="266">
        <f t="shared" si="38"/>
        <v>377382.45064908662</v>
      </c>
      <c r="AG118" s="266">
        <f t="shared" ref="AG118:AH122" si="39">$N118*10%</f>
        <v>251588.30043272441</v>
      </c>
      <c r="AH118" s="266">
        <f t="shared" si="39"/>
        <v>251588.30043272441</v>
      </c>
      <c r="AI118" s="266">
        <f t="shared" ref="AI118:AJ122" si="40">$N118*5%</f>
        <v>125794.15021636221</v>
      </c>
      <c r="AJ118" s="266">
        <f t="shared" si="40"/>
        <v>125794.15021636221</v>
      </c>
    </row>
    <row r="119" spans="1:36" x14ac:dyDescent="0.35">
      <c r="A119" s="321" t="str">
        <f>'Digital Plan - UPI'!B89</f>
        <v>Kolkata + Howrah</v>
      </c>
      <c r="B119" s="293" t="str">
        <f>'Digital Plan - UPI'!C89</f>
        <v>Core</v>
      </c>
      <c r="C119" s="310" t="str">
        <f>'Digital Plan - UPI'!D89</f>
        <v>Mediakart</v>
      </c>
      <c r="D119" s="263" t="str">
        <f>'Digital Plan - UPI'!E89</f>
        <v>Static</v>
      </c>
      <c r="E119" s="408" t="str">
        <f>'Digital Plan - UPI'!F89</f>
        <v xml:space="preserve">Network </v>
      </c>
      <c r="F119" s="404" t="str">
        <f>'Digital Plan - UPI'!G89</f>
        <v xml:space="preserve">Mobile </v>
      </c>
      <c r="G119" s="265" t="str">
        <f>'Digital Plan - UPI'!H89</f>
        <v>ROS</v>
      </c>
      <c r="H119" s="265" t="str">
        <f>'Digital Plan - UPI'!I89</f>
        <v>Interstitial Static banner</v>
      </c>
      <c r="I119" s="309" t="str">
        <f>'Digital Plan - UPI'!J89</f>
        <v>Reff : Targeting Sheet</v>
      </c>
      <c r="J119" s="263" t="str">
        <f>'Digital Plan - UPI'!K89</f>
        <v xml:space="preserve">CPM </v>
      </c>
      <c r="K119" s="266">
        <f>'Digital Plan - UPI'!L89</f>
        <v>21</v>
      </c>
      <c r="L119" s="267">
        <f>'Digital Plan - UPI'!M89</f>
        <v>45460</v>
      </c>
      <c r="M119" s="267">
        <f>'Digital Plan - UPI'!N89</f>
        <v>45480</v>
      </c>
      <c r="N119" s="266">
        <f>'Digital Plan - UPI'!O89</f>
        <v>1675103.4676683999</v>
      </c>
      <c r="O119" s="268" t="str">
        <f>'Digital Plan - UPI'!P89</f>
        <v>-</v>
      </c>
      <c r="P119" s="269">
        <f>'Digital Plan - UPI'!Q89</f>
        <v>1.4999999999999999E-2</v>
      </c>
      <c r="Q119" s="266">
        <f>'Digital Plan - UPI'!R89</f>
        <v>25126.552015025998</v>
      </c>
      <c r="R119" s="268" t="str">
        <f>'Digital Plan - UPI'!S89</f>
        <v>-</v>
      </c>
      <c r="S119" s="271" t="str">
        <f>'Digital Plan - UPI'!T89</f>
        <v>-</v>
      </c>
      <c r="T119" s="266">
        <f>'Digital Plan - UPI'!U89</f>
        <v>837551.73383419996</v>
      </c>
      <c r="U119" s="266">
        <f>'Digital Plan - UPI'!V89</f>
        <v>2</v>
      </c>
      <c r="V119" s="272">
        <f>'Digital Plan - UPI'!X89</f>
        <v>120</v>
      </c>
      <c r="W119" s="273">
        <f>'Digital Plan - UPI'!Y89</f>
        <v>201012.41612020798</v>
      </c>
      <c r="X119" s="273">
        <f>'Digital Plan - UPI'!Z89</f>
        <v>120</v>
      </c>
      <c r="Y119" s="273">
        <f>'Digital Plan - UPI'!AA89</f>
        <v>8</v>
      </c>
      <c r="Z119" s="274">
        <f>'Digital Plan - UPI'!AB89</f>
        <v>1560223</v>
      </c>
      <c r="AA119" s="275">
        <f>'Digital Plan - UPI'!AC89</f>
        <v>0.53681539999999994</v>
      </c>
      <c r="AB119" s="259"/>
      <c r="AC119" s="266">
        <f t="shared" si="37"/>
        <v>335020.69353367999</v>
      </c>
      <c r="AD119" s="266">
        <f t="shared" si="37"/>
        <v>335020.69353367999</v>
      </c>
      <c r="AE119" s="266">
        <f t="shared" si="38"/>
        <v>251265.52015025998</v>
      </c>
      <c r="AF119" s="266">
        <f t="shared" si="38"/>
        <v>251265.52015025998</v>
      </c>
      <c r="AG119" s="266">
        <f t="shared" si="39"/>
        <v>167510.34676684</v>
      </c>
      <c r="AH119" s="266">
        <f t="shared" si="39"/>
        <v>167510.34676684</v>
      </c>
      <c r="AI119" s="266">
        <f t="shared" si="40"/>
        <v>83755.173383419999</v>
      </c>
      <c r="AJ119" s="266">
        <f t="shared" si="40"/>
        <v>83755.173383419999</v>
      </c>
    </row>
    <row r="120" spans="1:36" x14ac:dyDescent="0.35">
      <c r="A120" s="321" t="str">
        <f>'Digital Plan - UPI'!B90</f>
        <v>Kolkata + Howrah</v>
      </c>
      <c r="B120" s="293" t="str">
        <f>'Digital Plan - UPI'!C90</f>
        <v>Core</v>
      </c>
      <c r="C120" s="310" t="str">
        <f>'Digital Plan - UPI'!D90</f>
        <v>Dailyhunt</v>
      </c>
      <c r="D120" s="311" t="str">
        <f>'Digital Plan - UPI'!E90</f>
        <v>Static</v>
      </c>
      <c r="E120" s="408" t="str">
        <f>'Digital Plan - UPI'!F90</f>
        <v>News</v>
      </c>
      <c r="F120" s="404" t="str">
        <f>'Digital Plan - UPI'!G90</f>
        <v xml:space="preserve">Mobile </v>
      </c>
      <c r="G120" s="310" t="str">
        <f>'Digital Plan - UPI'!H90</f>
        <v>ROS</v>
      </c>
      <c r="H120" s="263" t="str">
        <f>'Digital Plan - UPI'!I90</f>
        <v>Page Insert - Innovation</v>
      </c>
      <c r="I120" s="309" t="str">
        <f>'Digital Plan - UPI'!J90</f>
        <v>Reff : Targeting Sheet</v>
      </c>
      <c r="J120" s="263" t="str">
        <f>'Digital Plan - UPI'!K90</f>
        <v>CPM</v>
      </c>
      <c r="K120" s="266">
        <f>'Digital Plan - UPI'!L90</f>
        <v>21</v>
      </c>
      <c r="L120" s="267">
        <f>'Digital Plan - UPI'!M90</f>
        <v>45460</v>
      </c>
      <c r="M120" s="267">
        <f>'Digital Plan - UPI'!N90</f>
        <v>45480</v>
      </c>
      <c r="N120" s="266">
        <f>'Digital Plan - UPI'!O90</f>
        <v>1321712.8437836401</v>
      </c>
      <c r="O120" s="268" t="str">
        <f>'Digital Plan - UPI'!P90</f>
        <v>-</v>
      </c>
      <c r="P120" s="312">
        <f>'Digital Plan - UPI'!Q90</f>
        <v>0.01</v>
      </c>
      <c r="Q120" s="266">
        <f>'Digital Plan - UPI'!R90</f>
        <v>13217.128437836402</v>
      </c>
      <c r="R120" s="268" t="str">
        <f>'Digital Plan - UPI'!S90</f>
        <v>-</v>
      </c>
      <c r="S120" s="271" t="str">
        <f>'Digital Plan - UPI'!T90</f>
        <v>-</v>
      </c>
      <c r="T120" s="266">
        <f>'Digital Plan - UPI'!U90</f>
        <v>660856.42189182003</v>
      </c>
      <c r="U120" s="266">
        <f>'Digital Plan - UPI'!V90</f>
        <v>2</v>
      </c>
      <c r="V120" s="272">
        <f>'Digital Plan - UPI'!X90</f>
        <v>200</v>
      </c>
      <c r="W120" s="273">
        <f>'Digital Plan - UPI'!Y90</f>
        <v>264342.56875672803</v>
      </c>
      <c r="X120" s="273">
        <f>'Digital Plan - UPI'!Z90</f>
        <v>200</v>
      </c>
      <c r="Y120" s="273">
        <f>'Digital Plan - UPI'!AA90</f>
        <v>20</v>
      </c>
      <c r="Z120" s="274">
        <f>'Digital Plan - UPI'!AB90</f>
        <v>1865255</v>
      </c>
      <c r="AA120" s="275">
        <f>'Digital Plan - UPI'!AC90</f>
        <v>0.35429816400000003</v>
      </c>
      <c r="AB120" s="259"/>
      <c r="AC120" s="266">
        <f t="shared" si="37"/>
        <v>264342.56875672803</v>
      </c>
      <c r="AD120" s="266">
        <f t="shared" si="37"/>
        <v>264342.56875672803</v>
      </c>
      <c r="AE120" s="266">
        <f t="shared" si="38"/>
        <v>198256.926567546</v>
      </c>
      <c r="AF120" s="266">
        <f t="shared" si="38"/>
        <v>198256.926567546</v>
      </c>
      <c r="AG120" s="266">
        <f t="shared" si="39"/>
        <v>132171.28437836401</v>
      </c>
      <c r="AH120" s="266">
        <f t="shared" si="39"/>
        <v>132171.28437836401</v>
      </c>
      <c r="AI120" s="266">
        <f t="shared" si="40"/>
        <v>66085.642189182006</v>
      </c>
      <c r="AJ120" s="266">
        <f t="shared" si="40"/>
        <v>66085.642189182006</v>
      </c>
    </row>
    <row r="121" spans="1:36" x14ac:dyDescent="0.35">
      <c r="A121" s="321" t="str">
        <f>'Digital Plan - UPI'!B91</f>
        <v>Kolkata + Howrah</v>
      </c>
      <c r="B121" s="293" t="str">
        <f>'Digital Plan - UPI'!C91</f>
        <v>Core</v>
      </c>
      <c r="C121" s="310" t="str">
        <f>'Digital Plan - UPI'!D91</f>
        <v>UBER</v>
      </c>
      <c r="D121" s="263" t="str">
        <f>'Digital Plan - UPI'!E91</f>
        <v>Static</v>
      </c>
      <c r="E121" s="408" t="str">
        <f>'Digital Plan - UPI'!F91</f>
        <v>Utility</v>
      </c>
      <c r="F121" s="404" t="str">
        <f>'Digital Plan - UPI'!G91</f>
        <v xml:space="preserve">Mobile </v>
      </c>
      <c r="G121" s="265" t="str">
        <f>'Digital Plan - UPI'!H91</f>
        <v>ROS</v>
      </c>
      <c r="H121" s="265" t="str">
        <f>'Digital Plan - UPI'!I91</f>
        <v>Journey Ads</v>
      </c>
      <c r="I121" s="309" t="str">
        <f>'Digital Plan - UPI'!J91</f>
        <v>NA</v>
      </c>
      <c r="J121" s="263" t="str">
        <f>'Digital Plan - UPI'!K91</f>
        <v>CPT</v>
      </c>
      <c r="K121" s="266">
        <f>'Digital Plan - UPI'!L91</f>
        <v>21</v>
      </c>
      <c r="L121" s="267">
        <f>'Digital Plan - UPI'!M91</f>
        <v>45460</v>
      </c>
      <c r="M121" s="267">
        <f>'Digital Plan - UPI'!N91</f>
        <v>45480</v>
      </c>
      <c r="N121" s="266">
        <f>'Digital Plan - UPI'!O91</f>
        <v>269807.16000000003</v>
      </c>
      <c r="O121" s="268">
        <f>'Digital Plan - UPI'!P91</f>
        <v>89935.720000000016</v>
      </c>
      <c r="P121" s="269">
        <f>'Digital Plan - UPI'!Q91</f>
        <v>1.4999999999999999E-2</v>
      </c>
      <c r="Q121" s="266">
        <f>'Digital Plan - UPI'!R91</f>
        <v>4047.1074000000003</v>
      </c>
      <c r="R121" s="268" t="str">
        <f>'Digital Plan - UPI'!S91</f>
        <v>-</v>
      </c>
      <c r="S121" s="271" t="str">
        <f>'Digital Plan - UPI'!T91</f>
        <v>-</v>
      </c>
      <c r="T121" s="266">
        <f>'Digital Plan - UPI'!U91</f>
        <v>89935.720000000016</v>
      </c>
      <c r="U121" s="266">
        <f>'Digital Plan - UPI'!V91</f>
        <v>3</v>
      </c>
      <c r="V121" s="272">
        <f>'Digital Plan - UPI'!X91</f>
        <v>1.5</v>
      </c>
      <c r="W121" s="273">
        <f>'Digital Plan - UPI'!Y91</f>
        <v>134903.58000000002</v>
      </c>
      <c r="X121" s="273">
        <f>'Digital Plan - UPI'!Z91</f>
        <v>500</v>
      </c>
      <c r="Y121" s="273">
        <f>'Digital Plan - UPI'!AA91</f>
        <v>33.333333333333336</v>
      </c>
      <c r="Z121" s="274">
        <f>'Digital Plan - UPI'!AB91</f>
        <v>963597</v>
      </c>
      <c r="AA121" s="275">
        <f>'Digital Plan - UPI'!AC91</f>
        <v>9.3333333333333351E-2</v>
      </c>
      <c r="AB121" s="259"/>
      <c r="AC121" s="266">
        <f t="shared" si="37"/>
        <v>53961.432000000008</v>
      </c>
      <c r="AD121" s="266">
        <f t="shared" si="37"/>
        <v>53961.432000000008</v>
      </c>
      <c r="AE121" s="266">
        <f t="shared" si="38"/>
        <v>40471.074000000001</v>
      </c>
      <c r="AF121" s="266">
        <f t="shared" si="38"/>
        <v>40471.074000000001</v>
      </c>
      <c r="AG121" s="266">
        <f t="shared" si="39"/>
        <v>26980.716000000004</v>
      </c>
      <c r="AH121" s="266">
        <f t="shared" si="39"/>
        <v>26980.716000000004</v>
      </c>
      <c r="AI121" s="266">
        <f t="shared" si="40"/>
        <v>13490.358000000002</v>
      </c>
      <c r="AJ121" s="266">
        <f t="shared" si="40"/>
        <v>13490.358000000002</v>
      </c>
    </row>
    <row r="122" spans="1:36" x14ac:dyDescent="0.35">
      <c r="A122" s="321" t="str">
        <f>'Digital Plan - UPI'!B92</f>
        <v>Kolkata + Howrah</v>
      </c>
      <c r="B122" s="293" t="str">
        <f>'Digital Plan - UPI'!C92</f>
        <v>Core</v>
      </c>
      <c r="C122" s="310" t="str">
        <f>'Digital Plan - UPI'!D92</f>
        <v>Mcanvas</v>
      </c>
      <c r="D122" s="263" t="str">
        <f>'Digital Plan - UPI'!E92</f>
        <v>Static</v>
      </c>
      <c r="E122" s="408" t="str">
        <f>'Digital Plan - UPI'!F92</f>
        <v xml:space="preserve">Network </v>
      </c>
      <c r="F122" s="404" t="str">
        <f>'Digital Plan - UPI'!G92</f>
        <v xml:space="preserve">Mobile </v>
      </c>
      <c r="G122" s="265" t="str">
        <f>'Digital Plan - UPI'!H92</f>
        <v>ROS</v>
      </c>
      <c r="H122" s="265" t="str">
        <f>'Digital Plan - UPI'!I92</f>
        <v xml:space="preserve">Single Screen Interstitial </v>
      </c>
      <c r="I122" s="309" t="str">
        <f>'Digital Plan - UPI'!J92</f>
        <v>Reff : Targeting Sheet</v>
      </c>
      <c r="J122" s="263" t="str">
        <f>'Digital Plan - UPI'!K92</f>
        <v>CPC</v>
      </c>
      <c r="K122" s="266">
        <f>'Digital Plan - UPI'!L92</f>
        <v>21</v>
      </c>
      <c r="L122" s="267">
        <f>'Digital Plan - UPI'!M92</f>
        <v>45460</v>
      </c>
      <c r="M122" s="267">
        <f>'Digital Plan - UPI'!N92</f>
        <v>45480</v>
      </c>
      <c r="N122" s="266">
        <f>'Digital Plan - UPI'!O92</f>
        <v>1843381.1383679996</v>
      </c>
      <c r="O122" s="268" t="str">
        <f>'Digital Plan - UPI'!P92</f>
        <v>-</v>
      </c>
      <c r="P122" s="269">
        <f>'Digital Plan - UPI'!Q92</f>
        <v>0.02</v>
      </c>
      <c r="Q122" s="266">
        <f>'Digital Plan - UPI'!R92</f>
        <v>36867.622767359993</v>
      </c>
      <c r="R122" s="268" t="str">
        <f>'Digital Plan - UPI'!S92</f>
        <v>-</v>
      </c>
      <c r="S122" s="271" t="str">
        <f>'Digital Plan - UPI'!T92</f>
        <v>-</v>
      </c>
      <c r="T122" s="266">
        <f>'Digital Plan - UPI'!U92</f>
        <v>1843381.1383679996</v>
      </c>
      <c r="U122" s="266">
        <f>'Digital Plan - UPI'!V92</f>
        <v>1</v>
      </c>
      <c r="V122" s="272">
        <f>'Digital Plan - UPI'!X92</f>
        <v>4.5</v>
      </c>
      <c r="W122" s="273">
        <f>'Digital Plan - UPI'!Y92</f>
        <v>165904.30245311998</v>
      </c>
      <c r="X122" s="273">
        <f>'Digital Plan - UPI'!Z92</f>
        <v>90.000000000000014</v>
      </c>
      <c r="Y122" s="273">
        <f>'Digital Plan - UPI'!AA92</f>
        <v>4.5</v>
      </c>
      <c r="Z122" s="274">
        <f>'Digital Plan - UPI'!AB92</f>
        <v>2861599.9999999995</v>
      </c>
      <c r="AA122" s="275">
        <f>'Digital Plan - UPI'!AC92</f>
        <v>0.64417848</v>
      </c>
      <c r="AB122" s="259"/>
      <c r="AC122" s="266">
        <f t="shared" si="37"/>
        <v>368676.22767359996</v>
      </c>
      <c r="AD122" s="266">
        <f t="shared" si="37"/>
        <v>368676.22767359996</v>
      </c>
      <c r="AE122" s="266">
        <f t="shared" si="38"/>
        <v>276507.17075519991</v>
      </c>
      <c r="AF122" s="266">
        <f t="shared" si="38"/>
        <v>276507.17075519991</v>
      </c>
      <c r="AG122" s="266">
        <f t="shared" si="39"/>
        <v>184338.11383679998</v>
      </c>
      <c r="AH122" s="266">
        <f t="shared" si="39"/>
        <v>184338.11383679998</v>
      </c>
      <c r="AI122" s="266">
        <f t="shared" si="40"/>
        <v>92169.056918399991</v>
      </c>
      <c r="AJ122" s="266">
        <f t="shared" si="40"/>
        <v>92169.056918399991</v>
      </c>
    </row>
    <row r="123" spans="1:36" x14ac:dyDescent="0.35">
      <c r="A123" s="321" t="str">
        <f>'Digital Plan - UPI'!B93</f>
        <v>Kolkata + Howrah</v>
      </c>
      <c r="B123" s="293" t="str">
        <f>'Digital Plan - UPI'!C93</f>
        <v>Core</v>
      </c>
      <c r="C123" s="310" t="str">
        <f>'Digital Plan - UPI'!D93</f>
        <v>Sports Display (Auction Deal)</v>
      </c>
      <c r="D123" s="314" t="str">
        <f>'Digital Plan - UPI'!E93</f>
        <v>Static</v>
      </c>
      <c r="E123" s="408" t="str">
        <f>'Digital Plan - UPI'!F93</f>
        <v>Sports</v>
      </c>
      <c r="F123" s="404" t="str">
        <f>'Digital Plan - UPI'!G93</f>
        <v>Mobile</v>
      </c>
      <c r="G123" s="265" t="str">
        <f>'Digital Plan - UPI'!H93</f>
        <v>ROS</v>
      </c>
      <c r="H123" s="265" t="str">
        <f>'Digital Plan - UPI'!I93</f>
        <v>Standard Banners</v>
      </c>
      <c r="I123" s="308" t="str">
        <f>'Digital Plan - UPI'!J93</f>
        <v>Geo + Demo (MF 18+)</v>
      </c>
      <c r="J123" s="263" t="str">
        <f>'Digital Plan - UPI'!K93</f>
        <v>CPM</v>
      </c>
      <c r="K123" s="266">
        <f>'Digital Plan - UPI'!L93</f>
        <v>13</v>
      </c>
      <c r="L123" s="267">
        <f>'Digital Plan - UPI'!M93</f>
        <v>45460</v>
      </c>
      <c r="M123" s="267">
        <f>'Digital Plan - UPI'!N93</f>
        <v>45472</v>
      </c>
      <c r="N123" s="266">
        <f>'Digital Plan - UPI'!O93</f>
        <v>327081.92000000004</v>
      </c>
      <c r="O123" s="268" t="str">
        <f>'Digital Plan - UPI'!P93</f>
        <v>-</v>
      </c>
      <c r="P123" s="315">
        <f>'Digital Plan - UPI'!Q93</f>
        <v>5.0000000000000001E-3</v>
      </c>
      <c r="Q123" s="266">
        <f>'Digital Plan - UPI'!R93</f>
        <v>1635.4096000000002</v>
      </c>
      <c r="R123" s="268" t="str">
        <f>'Digital Plan - UPI'!S93</f>
        <v>-</v>
      </c>
      <c r="S123" s="271" t="str">
        <f>'Digital Plan - UPI'!T93</f>
        <v>-</v>
      </c>
      <c r="T123" s="266">
        <f>'Digital Plan - UPI'!U93</f>
        <v>163540.96000000002</v>
      </c>
      <c r="U123" s="266">
        <f>'Digital Plan - UPI'!V93</f>
        <v>2</v>
      </c>
      <c r="V123" s="272">
        <f>'Digital Plan - UPI'!X93</f>
        <v>105</v>
      </c>
      <c r="W123" s="273">
        <f>'Digital Plan - UPI'!Y93</f>
        <v>34343.601600000002</v>
      </c>
      <c r="X123" s="273">
        <f>'Digital Plan - UPI'!Z93</f>
        <v>105</v>
      </c>
      <c r="Y123" s="273">
        <f>'Digital Plan - UPI'!AA93</f>
        <v>21</v>
      </c>
      <c r="Z123" s="274">
        <f>'Digital Plan - UPI'!AB93</f>
        <v>408852.4</v>
      </c>
      <c r="AA123" s="275">
        <f>'Digital Plan - UPI'!AC93</f>
        <v>0.4</v>
      </c>
      <c r="AB123" s="259"/>
      <c r="AC123" s="266"/>
      <c r="AD123" s="266"/>
      <c r="AE123" s="266">
        <f>N123/K123*2</f>
        <v>50320.295384615391</v>
      </c>
      <c r="AF123" s="266">
        <f>N123/K123*2</f>
        <v>50320.295384615391</v>
      </c>
      <c r="AG123" s="266"/>
      <c r="AH123" s="266"/>
      <c r="AI123" s="266">
        <f>N123/K123*2</f>
        <v>50320.295384615391</v>
      </c>
      <c r="AJ123" s="266"/>
    </row>
    <row r="124" spans="1:36" x14ac:dyDescent="0.35">
      <c r="A124" s="321" t="str">
        <f>'Digital Plan - UPI'!B94</f>
        <v>Kolkata + Howrah</v>
      </c>
      <c r="B124" s="293" t="str">
        <f>'Digital Plan - UPI'!C94</f>
        <v>Core</v>
      </c>
      <c r="C124" s="311" t="str">
        <f>'Digital Plan - UPI'!D94</f>
        <v>NobrokerHood</v>
      </c>
      <c r="D124" s="263" t="str">
        <f>'Digital Plan - UPI'!E94</f>
        <v>Static</v>
      </c>
      <c r="E124" s="408" t="str">
        <f>'Digital Plan - UPI'!F94</f>
        <v>Community</v>
      </c>
      <c r="F124" s="404" t="str">
        <f>'Digital Plan - UPI'!G94</f>
        <v xml:space="preserve">Mobile </v>
      </c>
      <c r="G124" s="265" t="str">
        <f>'Digital Plan - UPI'!H94</f>
        <v>ROS</v>
      </c>
      <c r="H124" s="265" t="str">
        <f>'Digital Plan - UPI'!I94</f>
        <v>PAC</v>
      </c>
      <c r="I124" s="308" t="str">
        <f>'Digital Plan - UPI'!J94</f>
        <v>Reff : Targeting Sheet</v>
      </c>
      <c r="J124" s="263" t="str">
        <f>'Digital Plan - UPI'!K94</f>
        <v xml:space="preserve">CPM </v>
      </c>
      <c r="K124" s="266">
        <f>'Digital Plan - UPI'!L94</f>
        <v>6</v>
      </c>
      <c r="L124" s="267">
        <f>'Digital Plan - UPI'!M94</f>
        <v>45471</v>
      </c>
      <c r="M124" s="267">
        <f>'Digital Plan - UPI'!N94</f>
        <v>45476</v>
      </c>
      <c r="N124" s="266">
        <f>'Digital Plan - UPI'!O94</f>
        <v>94335</v>
      </c>
      <c r="O124" s="268" t="str">
        <f>'Digital Plan - UPI'!P94</f>
        <v>-</v>
      </c>
      <c r="P124" s="315">
        <f>'Digital Plan - UPI'!Q94</f>
        <v>0.01</v>
      </c>
      <c r="Q124" s="266">
        <f>'Digital Plan - UPI'!R94</f>
        <v>943.35</v>
      </c>
      <c r="R124" s="268" t="str">
        <f>'Digital Plan - UPI'!S94</f>
        <v>-</v>
      </c>
      <c r="S124" s="271" t="str">
        <f>'Digital Plan - UPI'!T94</f>
        <v>-</v>
      </c>
      <c r="T124" s="266">
        <f>'Digital Plan - UPI'!U94</f>
        <v>37734</v>
      </c>
      <c r="U124" s="266">
        <f>'Digital Plan - UPI'!V94</f>
        <v>2.5</v>
      </c>
      <c r="V124" s="272">
        <f>'Digital Plan - UPI'!X94</f>
        <v>260</v>
      </c>
      <c r="W124" s="273">
        <f>'Digital Plan - UPI'!Y94</f>
        <v>24527.1</v>
      </c>
      <c r="X124" s="273">
        <f>'Digital Plan - UPI'!Z94</f>
        <v>260</v>
      </c>
      <c r="Y124" s="273">
        <f>'Digital Plan - UPI'!AA94</f>
        <v>25.999999999999996</v>
      </c>
      <c r="Z124" s="274">
        <f>'Digital Plan - UPI'!AB94</f>
        <v>102720</v>
      </c>
      <c r="AA124" s="275">
        <f>'Digital Plan - UPI'!AC94</f>
        <v>0.3673481308411215</v>
      </c>
      <c r="AB124" s="259"/>
      <c r="AC124" s="266"/>
      <c r="AD124" s="266">
        <f>N124/K124*2</f>
        <v>31445</v>
      </c>
      <c r="AE124" s="266">
        <f>N124/K124*2</f>
        <v>31445</v>
      </c>
      <c r="AF124" s="266">
        <f>N124/K124*4</f>
        <v>62890</v>
      </c>
      <c r="AG124" s="266"/>
      <c r="AH124" s="266"/>
      <c r="AI124" s="266">
        <f>N124/K124*4</f>
        <v>62890</v>
      </c>
      <c r="AJ124" s="266">
        <f>N124/K124*2</f>
        <v>31445</v>
      </c>
    </row>
    <row r="125" spans="1:36" x14ac:dyDescent="0.35">
      <c r="A125" s="277" t="str">
        <f>'Digital Plan - UPI'!B95</f>
        <v>Kolkata + Howrah</v>
      </c>
      <c r="B125" s="278">
        <f>'Digital Plan - UPI'!C95</f>
        <v>0</v>
      </c>
      <c r="C125" s="279" t="str">
        <f>'Digital Plan - UPI'!D95</f>
        <v>Total</v>
      </c>
      <c r="D125" s="280">
        <f>'Digital Plan - UPI'!E95</f>
        <v>0</v>
      </c>
      <c r="E125" s="405">
        <f>'Digital Plan - UPI'!F95</f>
        <v>0</v>
      </c>
      <c r="F125" s="405">
        <f>'Digital Plan - UPI'!G95</f>
        <v>0</v>
      </c>
      <c r="G125" s="280">
        <f>'Digital Plan - UPI'!H95</f>
        <v>0</v>
      </c>
      <c r="H125" s="281">
        <f>'Digital Plan - UPI'!I95</f>
        <v>0</v>
      </c>
      <c r="I125" s="282">
        <f>'Digital Plan - UPI'!J95</f>
        <v>0</v>
      </c>
      <c r="J125" s="283">
        <f>'Digital Plan - UPI'!K95</f>
        <v>0</v>
      </c>
      <c r="K125" s="284">
        <f>'Digital Plan - UPI'!L95</f>
        <v>0</v>
      </c>
      <c r="L125" s="284">
        <f>'Digital Plan - UPI'!M95</f>
        <v>0</v>
      </c>
      <c r="M125" s="284">
        <f>'Digital Plan - UPI'!N95</f>
        <v>0</v>
      </c>
      <c r="N125" s="284">
        <f>'Digital Plan - UPI'!O95</f>
        <v>42220937.266215727</v>
      </c>
      <c r="O125" s="284">
        <f>'Digital Plan - UPI'!P95</f>
        <v>0</v>
      </c>
      <c r="P125" s="285">
        <f>'Digital Plan - UPI'!Q95</f>
        <v>3.0896579908163049E-3</v>
      </c>
      <c r="Q125" s="284">
        <f>'Digital Plan - UPI'!R95</f>
        <v>130448.25620431734</v>
      </c>
      <c r="R125" s="286">
        <f>'Digital Plan - UPI'!S95</f>
        <v>0</v>
      </c>
      <c r="S125" s="316">
        <f>'Digital Plan - UPI'!T95</f>
        <v>26981676.130444035</v>
      </c>
      <c r="T125" s="284">
        <f>'Digital Plan - UPI'!U95</f>
        <v>5023389.1244141469</v>
      </c>
      <c r="U125" s="284">
        <f>'Digital Plan - UPI'!V95</f>
        <v>8.4048709388285232</v>
      </c>
      <c r="V125" s="287">
        <f>'Digital Plan - UPI'!X95</f>
        <v>0</v>
      </c>
      <c r="W125" s="317">
        <f>'Digital Plan - UPI'!Y95</f>
        <v>4502721.665844366</v>
      </c>
      <c r="X125" s="288">
        <f>'Digital Plan - UPI'!Z95</f>
        <v>106.64665347084433</v>
      </c>
      <c r="Y125" s="288">
        <f>'Digital Plan - UPI'!AA95</f>
        <v>34.517300551659986</v>
      </c>
      <c r="Z125" s="284">
        <f>'Digital Plan - UPI'!AB95</f>
        <v>6543061.1069750004</v>
      </c>
      <c r="AA125" s="289">
        <f>'Digital Plan - UPI'!AC95</f>
        <v>0.76774296346692217</v>
      </c>
      <c r="AB125" s="259"/>
      <c r="AC125" s="284"/>
      <c r="AD125" s="284"/>
      <c r="AE125" s="284"/>
      <c r="AF125" s="284"/>
      <c r="AG125" s="284"/>
      <c r="AH125" s="284"/>
      <c r="AI125" s="284"/>
      <c r="AJ125" s="284"/>
    </row>
    <row r="126" spans="1:36" x14ac:dyDescent="0.35">
      <c r="A126" s="321" t="e">
        <f>'Digital Plan - UPI'!#REF!</f>
        <v>#REF!</v>
      </c>
      <c r="B126" s="293" t="e">
        <f>'Digital Plan - UPI'!#REF!</f>
        <v>#REF!</v>
      </c>
      <c r="C126" s="294" t="e">
        <f>'Digital Plan - UPI'!#REF!</f>
        <v>#REF!</v>
      </c>
      <c r="D126" s="294" t="e">
        <f>'Digital Plan - UPI'!#REF!</f>
        <v>#REF!</v>
      </c>
      <c r="E126" s="406" t="e">
        <f>'Digital Plan - UPI'!#REF!</f>
        <v>#REF!</v>
      </c>
      <c r="F126" s="406" t="e">
        <f>'Digital Plan - UPI'!#REF!</f>
        <v>#REF!</v>
      </c>
      <c r="G126" s="296" t="e">
        <f>'Digital Plan - UPI'!#REF!</f>
        <v>#REF!</v>
      </c>
      <c r="H126" s="296" t="e">
        <f>'Digital Plan - UPI'!#REF!</f>
        <v>#REF!</v>
      </c>
      <c r="I126" s="297" t="e">
        <f>'Digital Plan - UPI'!#REF!</f>
        <v>#REF!</v>
      </c>
      <c r="J126" s="295" t="e">
        <f>'Digital Plan - UPI'!#REF!</f>
        <v>#REF!</v>
      </c>
      <c r="K126" s="298" t="e">
        <f>'Digital Plan - UPI'!#REF!</f>
        <v>#REF!</v>
      </c>
      <c r="L126" s="299" t="e">
        <f>'Digital Plan - UPI'!#REF!</f>
        <v>#REF!</v>
      </c>
      <c r="M126" s="299" t="e">
        <f>'Digital Plan - UPI'!#REF!</f>
        <v>#REF!</v>
      </c>
      <c r="N126" s="298" t="e">
        <f>'Digital Plan - UPI'!#REF!</f>
        <v>#REF!</v>
      </c>
      <c r="O126" s="300" t="e">
        <f>'Digital Plan - UPI'!#REF!</f>
        <v>#REF!</v>
      </c>
      <c r="P126" s="301" t="e">
        <f>'Digital Plan - UPI'!#REF!</f>
        <v>#REF!</v>
      </c>
      <c r="Q126" s="298" t="e">
        <f>'Digital Plan - UPI'!#REF!</f>
        <v>#REF!</v>
      </c>
      <c r="R126" s="302" t="e">
        <f>'Digital Plan - UPI'!#REF!</f>
        <v>#REF!</v>
      </c>
      <c r="S126" s="303" t="e">
        <f>'Digital Plan - UPI'!#REF!</f>
        <v>#REF!</v>
      </c>
      <c r="T126" s="298" t="e">
        <f>'Digital Plan - UPI'!#REF!</f>
        <v>#REF!</v>
      </c>
      <c r="U126" s="298" t="e">
        <f>'Digital Plan - UPI'!#REF!</f>
        <v>#REF!</v>
      </c>
      <c r="V126" s="304" t="e">
        <f>'Digital Plan - UPI'!#REF!</f>
        <v>#REF!</v>
      </c>
      <c r="W126" s="305" t="e">
        <f>'Digital Plan - UPI'!#REF!</f>
        <v>#REF!</v>
      </c>
      <c r="X126" s="305" t="e">
        <f>'Digital Plan - UPI'!#REF!</f>
        <v>#REF!</v>
      </c>
      <c r="Y126" s="305" t="e">
        <f>'Digital Plan - UPI'!#REF!</f>
        <v>#REF!</v>
      </c>
      <c r="Z126" s="306" t="e">
        <f>'Digital Plan - UPI'!#REF!</f>
        <v>#REF!</v>
      </c>
      <c r="AA126" s="307" t="e">
        <f>'Digital Plan - UPI'!#REF!</f>
        <v>#REF!</v>
      </c>
      <c r="AB126" s="259"/>
      <c r="AC126" s="298" t="e">
        <f>N126/2</f>
        <v>#REF!</v>
      </c>
      <c r="AD126" s="298" t="e">
        <f>N126/2</f>
        <v>#REF!</v>
      </c>
      <c r="AE126" s="298"/>
      <c r="AF126" s="298"/>
      <c r="AG126" s="298"/>
      <c r="AH126" s="298"/>
      <c r="AI126" s="298"/>
      <c r="AJ126" s="298"/>
    </row>
    <row r="127" spans="1:36" x14ac:dyDescent="0.35">
      <c r="A127" s="321" t="e">
        <f>'Digital Plan - UPI'!#REF!</f>
        <v>#REF!</v>
      </c>
      <c r="B127" s="293" t="e">
        <f>'Digital Plan - UPI'!#REF!</f>
        <v>#REF!</v>
      </c>
      <c r="C127" s="295" t="e">
        <f>'Digital Plan - UPI'!#REF!</f>
        <v>#REF!</v>
      </c>
      <c r="D127" s="295" t="e">
        <f>'Digital Plan - UPI'!#REF!</f>
        <v>#REF!</v>
      </c>
      <c r="E127" s="406" t="e">
        <f>'Digital Plan - UPI'!#REF!</f>
        <v>#REF!</v>
      </c>
      <c r="F127" s="407" t="e">
        <f>'Digital Plan - UPI'!#REF!</f>
        <v>#REF!</v>
      </c>
      <c r="G127" s="296" t="e">
        <f>'Digital Plan - UPI'!#REF!</f>
        <v>#REF!</v>
      </c>
      <c r="H127" s="296" t="e">
        <f>'Digital Plan - UPI'!#REF!</f>
        <v>#REF!</v>
      </c>
      <c r="I127" s="297" t="e">
        <f>'Digital Plan - UPI'!#REF!</f>
        <v>#REF!</v>
      </c>
      <c r="J127" s="295" t="e">
        <f>'Digital Plan - UPI'!#REF!</f>
        <v>#REF!</v>
      </c>
      <c r="K127" s="298" t="e">
        <f>'Digital Plan - UPI'!#REF!</f>
        <v>#REF!</v>
      </c>
      <c r="L127" s="299" t="e">
        <f>'Digital Plan - UPI'!#REF!</f>
        <v>#REF!</v>
      </c>
      <c r="M127" s="299" t="e">
        <f>'Digital Plan - UPI'!#REF!</f>
        <v>#REF!</v>
      </c>
      <c r="N127" s="298" t="e">
        <f>'Digital Plan - UPI'!#REF!</f>
        <v>#REF!</v>
      </c>
      <c r="O127" s="300" t="e">
        <f>'Digital Plan - UPI'!#REF!</f>
        <v>#REF!</v>
      </c>
      <c r="P127" s="301" t="e">
        <f>'Digital Plan - UPI'!#REF!</f>
        <v>#REF!</v>
      </c>
      <c r="Q127" s="298" t="e">
        <f>'Digital Plan - UPI'!#REF!</f>
        <v>#REF!</v>
      </c>
      <c r="R127" s="302" t="e">
        <f>'Digital Plan - UPI'!#REF!</f>
        <v>#REF!</v>
      </c>
      <c r="S127" s="303" t="e">
        <f>'Digital Plan - UPI'!#REF!</f>
        <v>#REF!</v>
      </c>
      <c r="T127" s="298" t="e">
        <f>'Digital Plan - UPI'!#REF!</f>
        <v>#REF!</v>
      </c>
      <c r="U127" s="298" t="e">
        <f>'Digital Plan - UPI'!#REF!</f>
        <v>#REF!</v>
      </c>
      <c r="V127" s="304" t="e">
        <f>'Digital Plan - UPI'!#REF!</f>
        <v>#REF!</v>
      </c>
      <c r="W127" s="305" t="e">
        <f>'Digital Plan - UPI'!#REF!</f>
        <v>#REF!</v>
      </c>
      <c r="X127" s="305" t="e">
        <f>'Digital Plan - UPI'!#REF!</f>
        <v>#REF!</v>
      </c>
      <c r="Y127" s="305" t="e">
        <f>'Digital Plan - UPI'!#REF!</f>
        <v>#REF!</v>
      </c>
      <c r="Z127" s="306" t="e">
        <f>'Digital Plan - UPI'!#REF!</f>
        <v>#REF!</v>
      </c>
      <c r="AA127" s="307" t="e">
        <f>'Digital Plan - UPI'!#REF!</f>
        <v>#REF!</v>
      </c>
      <c r="AB127" s="259"/>
      <c r="AC127" s="298" t="e">
        <f>N127/2</f>
        <v>#REF!</v>
      </c>
      <c r="AD127" s="298" t="e">
        <f>N127/2</f>
        <v>#REF!</v>
      </c>
      <c r="AE127" s="298"/>
      <c r="AF127" s="298"/>
      <c r="AG127" s="298"/>
      <c r="AH127" s="298"/>
      <c r="AI127" s="298"/>
      <c r="AJ127" s="298"/>
    </row>
    <row r="128" spans="1:36" x14ac:dyDescent="0.35">
      <c r="A128" s="321" t="str">
        <f>'Digital Plan - UPI'!B96</f>
        <v>Mumbai</v>
      </c>
      <c r="B128" s="293" t="str">
        <f>'Digital Plan - UPI'!C96</f>
        <v>Core - CTV</v>
      </c>
      <c r="C128" s="294" t="str">
        <f>'Digital Plan - UPI'!D96</f>
        <v>Connected TV PMP</v>
      </c>
      <c r="D128" s="294" t="str">
        <f>'Digital Plan - UPI'!E96</f>
        <v>Video</v>
      </c>
      <c r="E128" s="406" t="str">
        <f>'Digital Plan - UPI'!F96</f>
        <v xml:space="preserve">Entertainment </v>
      </c>
      <c r="F128" s="406" t="str">
        <f>'Digital Plan - UPI'!G96</f>
        <v>CTV</v>
      </c>
      <c r="G128" s="296" t="str">
        <f>'Digital Plan - UPI'!H96</f>
        <v>Instream</v>
      </c>
      <c r="H128" s="296" t="str">
        <f>'Digital Plan - UPI'!I96</f>
        <v xml:space="preserve">Video-6 Sec </v>
      </c>
      <c r="I128" s="297" t="str">
        <f>'Digital Plan - UPI'!J96</f>
        <v>Reff : Targeting Sheet</v>
      </c>
      <c r="J128" s="295" t="str">
        <f>'Digital Plan - UPI'!K96</f>
        <v>CPM</v>
      </c>
      <c r="K128" s="298">
        <f>'Digital Plan - UPI'!L96</f>
        <v>21</v>
      </c>
      <c r="L128" s="299">
        <f>'Digital Plan - UPI'!M96</f>
        <v>45460</v>
      </c>
      <c r="M128" s="299">
        <f>'Digital Plan - UPI'!N96</f>
        <v>45480</v>
      </c>
      <c r="N128" s="298">
        <f>'Digital Plan - UPI'!O96</f>
        <v>4021132.1352787204</v>
      </c>
      <c r="O128" s="300" t="str">
        <f>'Digital Plan - UPI'!P96</f>
        <v>-</v>
      </c>
      <c r="P128" s="301">
        <f>'Digital Plan - UPI'!Q96</f>
        <v>0</v>
      </c>
      <c r="Q128" s="298">
        <f>'Digital Plan - UPI'!R96</f>
        <v>0</v>
      </c>
      <c r="R128" s="302">
        <f>'Digital Plan - UPI'!S96</f>
        <v>0.85</v>
      </c>
      <c r="S128" s="303">
        <f>'Digital Plan - UPI'!T96</f>
        <v>3417962.3149869121</v>
      </c>
      <c r="T128" s="298">
        <f>'Digital Plan - UPI'!U96</f>
        <v>591342.96107039996</v>
      </c>
      <c r="U128" s="298">
        <f>'Digital Plan - UPI'!V96</f>
        <v>6.8000000000000007</v>
      </c>
      <c r="V128" s="304">
        <f>'Digital Plan - UPI'!X96</f>
        <v>125</v>
      </c>
      <c r="W128" s="305">
        <f>'Digital Plan - UPI'!Y96</f>
        <v>502641.51690984005</v>
      </c>
      <c r="X128" s="305">
        <f>'Digital Plan - UPI'!Z96</f>
        <v>125</v>
      </c>
      <c r="Y128" s="305">
        <f>'Digital Plan - UPI'!AA96</f>
        <v>0</v>
      </c>
      <c r="Z128" s="306">
        <f>'Digital Plan - UPI'!AB96</f>
        <v>688485</v>
      </c>
      <c r="AA128" s="307">
        <f>'Digital Plan - UPI'!AC96</f>
        <v>0.85890464</v>
      </c>
      <c r="AB128" s="259"/>
      <c r="AC128" s="298"/>
      <c r="AD128" s="298"/>
      <c r="AE128" s="298">
        <f>$N128/3</f>
        <v>1340377.3784262401</v>
      </c>
      <c r="AF128" s="298">
        <f t="shared" ref="AF128:AJ133" si="41">$N128/3</f>
        <v>1340377.3784262401</v>
      </c>
      <c r="AG128" s="298">
        <f t="shared" si="41"/>
        <v>1340377.3784262401</v>
      </c>
      <c r="AH128" s="298"/>
      <c r="AI128" s="298"/>
      <c r="AJ128" s="298"/>
    </row>
    <row r="129" spans="1:36" x14ac:dyDescent="0.35">
      <c r="A129" s="321" t="e">
        <f>'Digital Plan - UPI'!#REF!</f>
        <v>#REF!</v>
      </c>
      <c r="B129" s="293" t="e">
        <f>'Digital Plan - UPI'!#REF!</f>
        <v>#REF!</v>
      </c>
      <c r="C129" s="294" t="e">
        <f>'Digital Plan - UPI'!#REF!</f>
        <v>#REF!</v>
      </c>
      <c r="D129" s="294" t="e">
        <f>'Digital Plan - UPI'!#REF!</f>
        <v>#REF!</v>
      </c>
      <c r="E129" s="406" t="e">
        <f>'Digital Plan - UPI'!#REF!</f>
        <v>#REF!</v>
      </c>
      <c r="F129" s="406" t="e">
        <f>'Digital Plan - UPI'!#REF!</f>
        <v>#REF!</v>
      </c>
      <c r="G129" s="296" t="e">
        <f>'Digital Plan - UPI'!#REF!</f>
        <v>#REF!</v>
      </c>
      <c r="H129" s="296" t="e">
        <f>'Digital Plan - UPI'!#REF!</f>
        <v>#REF!</v>
      </c>
      <c r="I129" s="297" t="e">
        <f>'Digital Plan - UPI'!#REF!</f>
        <v>#REF!</v>
      </c>
      <c r="J129" s="295" t="e">
        <f>'Digital Plan - UPI'!#REF!</f>
        <v>#REF!</v>
      </c>
      <c r="K129" s="298" t="e">
        <f>'Digital Plan - UPI'!#REF!</f>
        <v>#REF!</v>
      </c>
      <c r="L129" s="299" t="e">
        <f>'Digital Plan - UPI'!#REF!</f>
        <v>#REF!</v>
      </c>
      <c r="M129" s="299" t="e">
        <f>'Digital Plan - UPI'!#REF!</f>
        <v>#REF!</v>
      </c>
      <c r="N129" s="298" t="e">
        <f>'Digital Plan - UPI'!#REF!</f>
        <v>#REF!</v>
      </c>
      <c r="O129" s="300" t="e">
        <f>'Digital Plan - UPI'!#REF!</f>
        <v>#REF!</v>
      </c>
      <c r="P129" s="301" t="e">
        <f>'Digital Plan - UPI'!#REF!</f>
        <v>#REF!</v>
      </c>
      <c r="Q129" s="298" t="e">
        <f>'Digital Plan - UPI'!#REF!</f>
        <v>#REF!</v>
      </c>
      <c r="R129" s="302" t="e">
        <f>'Digital Plan - UPI'!#REF!</f>
        <v>#REF!</v>
      </c>
      <c r="S129" s="303" t="e">
        <f>'Digital Plan - UPI'!#REF!</f>
        <v>#REF!</v>
      </c>
      <c r="T129" s="298" t="e">
        <f>'Digital Plan - UPI'!#REF!</f>
        <v>#REF!</v>
      </c>
      <c r="U129" s="298" t="e">
        <f>'Digital Plan - UPI'!#REF!</f>
        <v>#REF!</v>
      </c>
      <c r="V129" s="304" t="e">
        <f>'Digital Plan - UPI'!#REF!</f>
        <v>#REF!</v>
      </c>
      <c r="W129" s="305" t="e">
        <f>'Digital Plan - UPI'!#REF!</f>
        <v>#REF!</v>
      </c>
      <c r="X129" s="305" t="e">
        <f>'Digital Plan - UPI'!#REF!</f>
        <v>#REF!</v>
      </c>
      <c r="Y129" s="305" t="e">
        <f>'Digital Plan - UPI'!#REF!</f>
        <v>#REF!</v>
      </c>
      <c r="Z129" s="306" t="e">
        <f>'Digital Plan - UPI'!#REF!</f>
        <v>#REF!</v>
      </c>
      <c r="AA129" s="307" t="e">
        <f>'Digital Plan - UPI'!#REF!</f>
        <v>#REF!</v>
      </c>
      <c r="AB129" s="259"/>
      <c r="AC129" s="298"/>
      <c r="AD129" s="298"/>
      <c r="AE129" s="298"/>
      <c r="AF129" s="298"/>
      <c r="AG129" s="298"/>
      <c r="AH129" s="298" t="e">
        <f>$N129/3</f>
        <v>#REF!</v>
      </c>
      <c r="AI129" s="298" t="e">
        <f t="shared" si="41"/>
        <v>#REF!</v>
      </c>
      <c r="AJ129" s="298" t="e">
        <f t="shared" si="41"/>
        <v>#REF!</v>
      </c>
    </row>
    <row r="130" spans="1:36" x14ac:dyDescent="0.35">
      <c r="A130" s="321" t="str">
        <f>'Digital Plan - UPI'!B97</f>
        <v>Mumbai</v>
      </c>
      <c r="B130" s="293" t="str">
        <f>'Digital Plan - UPI'!C97</f>
        <v>Core - CTV</v>
      </c>
      <c r="C130" s="295" t="str">
        <f>'Digital Plan - UPI'!D97</f>
        <v xml:space="preserve">YouTube </v>
      </c>
      <c r="D130" s="295" t="str">
        <f>'Digital Plan - UPI'!E97</f>
        <v>Video</v>
      </c>
      <c r="E130" s="406" t="str">
        <f>'Digital Plan - UPI'!F97</f>
        <v xml:space="preserve">Entertainment </v>
      </c>
      <c r="F130" s="407" t="str">
        <f>'Digital Plan - UPI'!G97</f>
        <v>CTV</v>
      </c>
      <c r="G130" s="296" t="str">
        <f>'Digital Plan - UPI'!H97</f>
        <v>Instream</v>
      </c>
      <c r="H130" s="296" t="str">
        <f>'Digital Plan - UPI'!I97</f>
        <v xml:space="preserve">Bumper 6 secs  </v>
      </c>
      <c r="I130" s="297" t="str">
        <f>'Digital Plan - UPI'!J97</f>
        <v>Reff : Targeting Sheet</v>
      </c>
      <c r="J130" s="295" t="str">
        <f>'Digital Plan - UPI'!K97</f>
        <v>CPM</v>
      </c>
      <c r="K130" s="298">
        <f>'Digital Plan - UPI'!L97</f>
        <v>21</v>
      </c>
      <c r="L130" s="299">
        <f>'Digital Plan - UPI'!M97</f>
        <v>45460</v>
      </c>
      <c r="M130" s="299">
        <f>'Digital Plan - UPI'!N97</f>
        <v>45480</v>
      </c>
      <c r="N130" s="298">
        <f>'Digital Plan - UPI'!O97</f>
        <v>23246638.783036184</v>
      </c>
      <c r="O130" s="300" t="str">
        <f>'Digital Plan - UPI'!P97</f>
        <v>-</v>
      </c>
      <c r="P130" s="301">
        <f>'Digital Plan - UPI'!Q97</f>
        <v>0</v>
      </c>
      <c r="Q130" s="298">
        <f>'Digital Plan - UPI'!R97</f>
        <v>0</v>
      </c>
      <c r="R130" s="302">
        <f>'Digital Plan - UPI'!S97</f>
        <v>0.8</v>
      </c>
      <c r="S130" s="303">
        <f>'Digital Plan - UPI'!T97</f>
        <v>18597311.026428949</v>
      </c>
      <c r="T130" s="298">
        <f>'Digital Plan - UPI'!U97</f>
        <v>2800799.8533778531</v>
      </c>
      <c r="U130" s="298">
        <f>'Digital Plan - UPI'!V97</f>
        <v>8.3000000000000007</v>
      </c>
      <c r="V130" s="304">
        <f>'Digital Plan - UPI'!X97</f>
        <v>110</v>
      </c>
      <c r="W130" s="305">
        <f>'Digital Plan - UPI'!Y97</f>
        <v>2557130.2661339799</v>
      </c>
      <c r="X130" s="305">
        <f>'Digital Plan - UPI'!Z97</f>
        <v>109.99999999999999</v>
      </c>
      <c r="Y130" s="305">
        <f>'Digital Plan - UPI'!AA97</f>
        <v>0</v>
      </c>
      <c r="Z130" s="306">
        <f>'Digital Plan - UPI'!AB97</f>
        <v>3113411</v>
      </c>
      <c r="AA130" s="307">
        <f>'Digital Plan - UPI'!AC97</f>
        <v>0.89959207228915583</v>
      </c>
      <c r="AB130" s="259"/>
      <c r="AC130" s="298"/>
      <c r="AD130" s="298"/>
      <c r="AE130" s="298">
        <f>$N130/3</f>
        <v>7748879.5943453945</v>
      </c>
      <c r="AF130" s="298">
        <f t="shared" si="41"/>
        <v>7748879.5943453945</v>
      </c>
      <c r="AG130" s="298">
        <f t="shared" si="41"/>
        <v>7748879.5943453945</v>
      </c>
      <c r="AH130" s="298"/>
      <c r="AI130" s="298"/>
      <c r="AJ130" s="298"/>
    </row>
    <row r="131" spans="1:36" x14ac:dyDescent="0.35">
      <c r="A131" s="321" t="e">
        <f>'Digital Plan - UPI'!#REF!</f>
        <v>#REF!</v>
      </c>
      <c r="B131" s="293" t="e">
        <f>'Digital Plan - UPI'!#REF!</f>
        <v>#REF!</v>
      </c>
      <c r="C131" s="295" t="e">
        <f>'Digital Plan - UPI'!#REF!</f>
        <v>#REF!</v>
      </c>
      <c r="D131" s="295" t="e">
        <f>'Digital Plan - UPI'!#REF!</f>
        <v>#REF!</v>
      </c>
      <c r="E131" s="406" t="e">
        <f>'Digital Plan - UPI'!#REF!</f>
        <v>#REF!</v>
      </c>
      <c r="F131" s="407" t="e">
        <f>'Digital Plan - UPI'!#REF!</f>
        <v>#REF!</v>
      </c>
      <c r="G131" s="296" t="e">
        <f>'Digital Plan - UPI'!#REF!</f>
        <v>#REF!</v>
      </c>
      <c r="H131" s="296" t="e">
        <f>'Digital Plan - UPI'!#REF!</f>
        <v>#REF!</v>
      </c>
      <c r="I131" s="297" t="e">
        <f>'Digital Plan - UPI'!#REF!</f>
        <v>#REF!</v>
      </c>
      <c r="J131" s="295" t="e">
        <f>'Digital Plan - UPI'!#REF!</f>
        <v>#REF!</v>
      </c>
      <c r="K131" s="298" t="e">
        <f>'Digital Plan - UPI'!#REF!</f>
        <v>#REF!</v>
      </c>
      <c r="L131" s="299" t="e">
        <f>'Digital Plan - UPI'!#REF!</f>
        <v>#REF!</v>
      </c>
      <c r="M131" s="299" t="e">
        <f>'Digital Plan - UPI'!#REF!</f>
        <v>#REF!</v>
      </c>
      <c r="N131" s="298" t="e">
        <f>'Digital Plan - UPI'!#REF!</f>
        <v>#REF!</v>
      </c>
      <c r="O131" s="300" t="e">
        <f>'Digital Plan - UPI'!#REF!</f>
        <v>#REF!</v>
      </c>
      <c r="P131" s="301" t="e">
        <f>'Digital Plan - UPI'!#REF!</f>
        <v>#REF!</v>
      </c>
      <c r="Q131" s="298" t="e">
        <f>'Digital Plan - UPI'!#REF!</f>
        <v>#REF!</v>
      </c>
      <c r="R131" s="302" t="e">
        <f>'Digital Plan - UPI'!#REF!</f>
        <v>#REF!</v>
      </c>
      <c r="S131" s="303" t="e">
        <f>'Digital Plan - UPI'!#REF!</f>
        <v>#REF!</v>
      </c>
      <c r="T131" s="298" t="e">
        <f>'Digital Plan - UPI'!#REF!</f>
        <v>#REF!</v>
      </c>
      <c r="U131" s="298" t="e">
        <f>'Digital Plan - UPI'!#REF!</f>
        <v>#REF!</v>
      </c>
      <c r="V131" s="304" t="e">
        <f>'Digital Plan - UPI'!#REF!</f>
        <v>#REF!</v>
      </c>
      <c r="W131" s="305" t="e">
        <f>'Digital Plan - UPI'!#REF!</f>
        <v>#REF!</v>
      </c>
      <c r="X131" s="305" t="e">
        <f>'Digital Plan - UPI'!#REF!</f>
        <v>#REF!</v>
      </c>
      <c r="Y131" s="305" t="e">
        <f>'Digital Plan - UPI'!#REF!</f>
        <v>#REF!</v>
      </c>
      <c r="Z131" s="306" t="e">
        <f>'Digital Plan - UPI'!#REF!</f>
        <v>#REF!</v>
      </c>
      <c r="AA131" s="307" t="e">
        <f>'Digital Plan - UPI'!#REF!</f>
        <v>#REF!</v>
      </c>
      <c r="AB131" s="259"/>
      <c r="AC131" s="298"/>
      <c r="AD131" s="298"/>
      <c r="AE131" s="298"/>
      <c r="AF131" s="298"/>
      <c r="AG131" s="298"/>
      <c r="AH131" s="298" t="e">
        <f>$N131/3</f>
        <v>#REF!</v>
      </c>
      <c r="AI131" s="298" t="e">
        <f t="shared" si="41"/>
        <v>#REF!</v>
      </c>
      <c r="AJ131" s="298" t="e">
        <f t="shared" si="41"/>
        <v>#REF!</v>
      </c>
    </row>
    <row r="132" spans="1:36" x14ac:dyDescent="0.35">
      <c r="A132" s="321" t="str">
        <f>'Digital Plan - UPI'!B98</f>
        <v>Mumbai</v>
      </c>
      <c r="B132" s="293" t="str">
        <f>'Digital Plan - UPI'!C98</f>
        <v>Core</v>
      </c>
      <c r="C132" s="264" t="str">
        <f>'Digital Plan - UPI'!D98</f>
        <v>Meta</v>
      </c>
      <c r="D132" s="264" t="str">
        <f>'Digital Plan - UPI'!E98</f>
        <v>Video</v>
      </c>
      <c r="E132" s="404" t="str">
        <f>'Digital Plan - UPI'!F98</f>
        <v xml:space="preserve">Entertainment </v>
      </c>
      <c r="F132" s="404" t="str">
        <f>'Digital Plan - UPI'!G98</f>
        <v xml:space="preserve">Mobile </v>
      </c>
      <c r="G132" s="265" t="str">
        <f>'Digital Plan - UPI'!H98</f>
        <v xml:space="preserve">Instream </v>
      </c>
      <c r="H132" s="265" t="str">
        <f>'Digital Plan - UPI'!I98</f>
        <v>Instream - 6 Sec</v>
      </c>
      <c r="I132" s="308" t="str">
        <f>'Digital Plan - UPI'!J98</f>
        <v>Reff : Targeting Sheet</v>
      </c>
      <c r="J132" s="263" t="str">
        <f>'Digital Plan - UPI'!K98</f>
        <v>CPM</v>
      </c>
      <c r="K132" s="266">
        <f>'Digital Plan - UPI'!L98</f>
        <v>21</v>
      </c>
      <c r="L132" s="267">
        <f>'Digital Plan - UPI'!M98</f>
        <v>45460</v>
      </c>
      <c r="M132" s="267">
        <f>'Digital Plan - UPI'!N98</f>
        <v>45480</v>
      </c>
      <c r="N132" s="266">
        <f>'Digital Plan - UPI'!O98</f>
        <v>5541567.9677231563</v>
      </c>
      <c r="O132" s="268" t="str">
        <f>'Digital Plan - UPI'!P98</f>
        <v>-</v>
      </c>
      <c r="P132" s="269">
        <f>'Digital Plan - UPI'!Q98</f>
        <v>1E-3</v>
      </c>
      <c r="Q132" s="266">
        <f>'Digital Plan - UPI'!R98</f>
        <v>5541.5679677231565</v>
      </c>
      <c r="R132" s="270">
        <f>'Digital Plan - UPI'!S98</f>
        <v>0.7</v>
      </c>
      <c r="S132" s="271">
        <f>'Digital Plan - UPI'!T98</f>
        <v>3879097.577406209</v>
      </c>
      <c r="T132" s="266">
        <f>'Digital Plan - UPI'!U98</f>
        <v>3166610.267270375</v>
      </c>
      <c r="U132" s="266">
        <f>'Digital Plan - UPI'!V98</f>
        <v>1.75</v>
      </c>
      <c r="V132" s="272">
        <f>'Digital Plan - UPI'!X98</f>
        <v>70</v>
      </c>
      <c r="W132" s="273">
        <f>'Digital Plan - UPI'!Y98</f>
        <v>387909.75774062093</v>
      </c>
      <c r="X132" s="273">
        <f>'Digital Plan - UPI'!Z98</f>
        <v>69.999999999999986</v>
      </c>
      <c r="Y132" s="273">
        <f>'Digital Plan - UPI'!AA98</f>
        <v>70</v>
      </c>
      <c r="Z132" s="274">
        <f>'Digital Plan - UPI'!AB98</f>
        <v>5191015.45</v>
      </c>
      <c r="AA132" s="275">
        <f>'Digital Plan - UPI'!AC98</f>
        <v>0.61001749999999999</v>
      </c>
      <c r="AB132" s="259"/>
      <c r="AC132" s="266"/>
      <c r="AD132" s="266"/>
      <c r="AE132" s="266">
        <f>$N132/3</f>
        <v>1847189.3225743854</v>
      </c>
      <c r="AF132" s="266">
        <f t="shared" si="41"/>
        <v>1847189.3225743854</v>
      </c>
      <c r="AG132" s="266">
        <f t="shared" si="41"/>
        <v>1847189.3225743854</v>
      </c>
      <c r="AH132" s="266"/>
      <c r="AI132" s="266"/>
      <c r="AJ132" s="266"/>
    </row>
    <row r="133" spans="1:36" x14ac:dyDescent="0.35">
      <c r="A133" s="321" t="str">
        <f>'Digital Plan - UPI'!B99</f>
        <v>Mumbai</v>
      </c>
      <c r="B133" s="293" t="str">
        <f>'Digital Plan - UPI'!C99</f>
        <v>Core</v>
      </c>
      <c r="C133" s="264" t="str">
        <f>'Digital Plan - UPI'!D99</f>
        <v xml:space="preserve">YouTube </v>
      </c>
      <c r="D133" s="264" t="str">
        <f>'Digital Plan - UPI'!E99</f>
        <v>Video</v>
      </c>
      <c r="E133" s="404" t="str">
        <f>'Digital Plan - UPI'!F99</f>
        <v xml:space="preserve">Entertainment </v>
      </c>
      <c r="F133" s="404" t="str">
        <f>'Digital Plan - UPI'!G99</f>
        <v xml:space="preserve">Mobile </v>
      </c>
      <c r="G133" s="265" t="str">
        <f>'Digital Plan - UPI'!H99</f>
        <v xml:space="preserve">Instream </v>
      </c>
      <c r="H133" s="265" t="str">
        <f>'Digital Plan - UPI'!I99</f>
        <v xml:space="preserve">Bumper 6 secs  </v>
      </c>
      <c r="I133" s="308" t="str">
        <f>'Digital Plan - UPI'!J99</f>
        <v>Reff : Targeting Sheet</v>
      </c>
      <c r="J133" s="263" t="str">
        <f>'Digital Plan - UPI'!K99</f>
        <v>CPM</v>
      </c>
      <c r="K133" s="266">
        <f>'Digital Plan - UPI'!L99</f>
        <v>21</v>
      </c>
      <c r="L133" s="267">
        <f>'Digital Plan - UPI'!M99</f>
        <v>45460</v>
      </c>
      <c r="M133" s="267">
        <f>'Digital Plan - UPI'!N99</f>
        <v>45480</v>
      </c>
      <c r="N133" s="266">
        <f>'Digital Plan - UPI'!O99</f>
        <v>8187300.1031250004</v>
      </c>
      <c r="O133" s="268" t="str">
        <f>'Digital Plan - UPI'!P99</f>
        <v>-</v>
      </c>
      <c r="P133" s="269">
        <f>'Digital Plan - UPI'!Q99</f>
        <v>1E-3</v>
      </c>
      <c r="Q133" s="266">
        <f>'Digital Plan - UPI'!R99</f>
        <v>8187.3001031250005</v>
      </c>
      <c r="R133" s="270">
        <f>'Digital Plan - UPI'!S99</f>
        <v>0.8</v>
      </c>
      <c r="S133" s="271">
        <f>'Digital Plan - UPI'!T99</f>
        <v>6549840.0825000005</v>
      </c>
      <c r="T133" s="266">
        <f>'Digital Plan - UPI'!U99</f>
        <v>4013382.4034926472</v>
      </c>
      <c r="U133" s="266">
        <f>'Digital Plan - UPI'!V99</f>
        <v>2.04</v>
      </c>
      <c r="V133" s="272">
        <f>'Digital Plan - UPI'!X99</f>
        <v>80</v>
      </c>
      <c r="W133" s="273">
        <f>'Digital Plan - UPI'!Y99</f>
        <v>654984.00825000007</v>
      </c>
      <c r="X133" s="273">
        <f>'Digital Plan - UPI'!Z99</f>
        <v>80</v>
      </c>
      <c r="Y133" s="273">
        <f>'Digital Plan - UPI'!AA99</f>
        <v>80</v>
      </c>
      <c r="Z133" s="274">
        <f>'Digital Plan - UPI'!AB99</f>
        <v>6107077</v>
      </c>
      <c r="AA133" s="275">
        <f>'Digital Plan - UPI'!AC99</f>
        <v>0.65716911764705888</v>
      </c>
      <c r="AB133" s="259"/>
      <c r="AC133" s="266"/>
      <c r="AD133" s="266"/>
      <c r="AE133" s="266"/>
      <c r="AF133" s="266"/>
      <c r="AG133" s="266"/>
      <c r="AH133" s="266">
        <f>$N133/3</f>
        <v>2729100.0343750003</v>
      </c>
      <c r="AI133" s="266">
        <f t="shared" si="41"/>
        <v>2729100.0343750003</v>
      </c>
      <c r="AJ133" s="266">
        <f t="shared" si="41"/>
        <v>2729100.0343750003</v>
      </c>
    </row>
    <row r="134" spans="1:36" x14ac:dyDescent="0.35">
      <c r="A134" s="321" t="str">
        <f>'Digital Plan - UPI'!B100</f>
        <v>Mumbai</v>
      </c>
      <c r="B134" s="293" t="str">
        <f>'Digital Plan - UPI'!C100</f>
        <v>Core</v>
      </c>
      <c r="C134" s="263" t="str">
        <f>'Digital Plan - UPI'!D100</f>
        <v xml:space="preserve">DSP </v>
      </c>
      <c r="D134" s="263" t="str">
        <f>'Digital Plan - UPI'!E100</f>
        <v>Static</v>
      </c>
      <c r="E134" s="404" t="str">
        <f>'Digital Plan - UPI'!F100</f>
        <v xml:space="preserve">Network </v>
      </c>
      <c r="F134" s="404" t="str">
        <f>'Digital Plan - UPI'!G100</f>
        <v>Mobile</v>
      </c>
      <c r="G134" s="265" t="str">
        <f>'Digital Plan - UPI'!H100</f>
        <v>ROS</v>
      </c>
      <c r="H134" s="265" t="str">
        <f>'Digital Plan - UPI'!I100</f>
        <v>Large Formats</v>
      </c>
      <c r="I134" s="309" t="str">
        <f>'Digital Plan - UPI'!J100</f>
        <v>Reff : Targeting Sheet</v>
      </c>
      <c r="J134" s="263" t="str">
        <f>'Digital Plan - UPI'!K100</f>
        <v>CPM</v>
      </c>
      <c r="K134" s="266">
        <f>'Digital Plan - UPI'!L100</f>
        <v>21</v>
      </c>
      <c r="L134" s="267">
        <f>'Digital Plan - UPI'!M100</f>
        <v>45460</v>
      </c>
      <c r="M134" s="267">
        <f>'Digital Plan - UPI'!N100</f>
        <v>45480</v>
      </c>
      <c r="N134" s="266">
        <f>'Digital Plan - UPI'!O100</f>
        <v>3176743.4201256405</v>
      </c>
      <c r="O134" s="268" t="str">
        <f>'Digital Plan - UPI'!P100</f>
        <v>-</v>
      </c>
      <c r="P134" s="269">
        <f>'Digital Plan - UPI'!Q100</f>
        <v>1.4999999999999999E-2</v>
      </c>
      <c r="Q134" s="266">
        <f>'Digital Plan - UPI'!R100</f>
        <v>47651.151301884602</v>
      </c>
      <c r="R134" s="268" t="str">
        <f>'Digital Plan - UPI'!S100</f>
        <v>-</v>
      </c>
      <c r="S134" s="271" t="str">
        <f>'Digital Plan - UPI'!T100</f>
        <v>-</v>
      </c>
      <c r="T134" s="266">
        <f>'Digital Plan - UPI'!U100</f>
        <v>1588371.7100628202</v>
      </c>
      <c r="U134" s="266">
        <f>'Digital Plan - UPI'!V100</f>
        <v>2</v>
      </c>
      <c r="V134" s="272">
        <f>'Digital Plan - UPI'!X100</f>
        <v>105</v>
      </c>
      <c r="W134" s="273">
        <f>'Digital Plan - UPI'!Y100</f>
        <v>333558.05911319226</v>
      </c>
      <c r="X134" s="273">
        <f>'Digital Plan - UPI'!Z100</f>
        <v>105</v>
      </c>
      <c r="Y134" s="273">
        <f>'Digital Plan - UPI'!AA100</f>
        <v>7.0000000000000009</v>
      </c>
      <c r="Z134" s="274">
        <f>'Digital Plan - UPI'!AB100</f>
        <v>4931464.6775000002</v>
      </c>
      <c r="AA134" s="275">
        <f>'Digital Plan - UPI'!AC100</f>
        <v>0.32208924</v>
      </c>
      <c r="AB134" s="259"/>
      <c r="AC134" s="266">
        <f t="shared" ref="AC134:AD138" si="42">$N134*20%</f>
        <v>635348.68402512814</v>
      </c>
      <c r="AD134" s="266">
        <f t="shared" si="42"/>
        <v>635348.68402512814</v>
      </c>
      <c r="AE134" s="266">
        <f t="shared" ref="AE134:AF138" si="43">$N134*15%</f>
        <v>476511.51301884605</v>
      </c>
      <c r="AF134" s="266">
        <f t="shared" si="43"/>
        <v>476511.51301884605</v>
      </c>
      <c r="AG134" s="266">
        <f t="shared" ref="AG134:AH138" si="44">$N134*10%</f>
        <v>317674.34201256407</v>
      </c>
      <c r="AH134" s="266">
        <f t="shared" si="44"/>
        <v>317674.34201256407</v>
      </c>
      <c r="AI134" s="266">
        <f t="shared" ref="AI134:AJ138" si="45">$N134*5%</f>
        <v>158837.17100628203</v>
      </c>
      <c r="AJ134" s="266">
        <f t="shared" si="45"/>
        <v>158837.17100628203</v>
      </c>
    </row>
    <row r="135" spans="1:36" x14ac:dyDescent="0.35">
      <c r="A135" s="321" t="str">
        <f>'Digital Plan - UPI'!B101</f>
        <v>Mumbai</v>
      </c>
      <c r="B135" s="293" t="str">
        <f>'Digital Plan - UPI'!C101</f>
        <v>Core</v>
      </c>
      <c r="C135" s="310" t="str">
        <f>'Digital Plan - UPI'!D101</f>
        <v>Mediakart</v>
      </c>
      <c r="D135" s="263" t="str">
        <f>'Digital Plan - UPI'!E101</f>
        <v>Static</v>
      </c>
      <c r="E135" s="408" t="str">
        <f>'Digital Plan - UPI'!F101</f>
        <v xml:space="preserve">Network </v>
      </c>
      <c r="F135" s="404" t="str">
        <f>'Digital Plan - UPI'!G101</f>
        <v xml:space="preserve">Mobile </v>
      </c>
      <c r="G135" s="265" t="str">
        <f>'Digital Plan - UPI'!H101</f>
        <v>ROS</v>
      </c>
      <c r="H135" s="265" t="str">
        <f>'Digital Plan - UPI'!I101</f>
        <v>Interstitial Static banner</v>
      </c>
      <c r="I135" s="309" t="str">
        <f>'Digital Plan - UPI'!J101</f>
        <v>Reff : Targeting Sheet</v>
      </c>
      <c r="J135" s="263" t="str">
        <f>'Digital Plan - UPI'!K101</f>
        <v xml:space="preserve">CPM </v>
      </c>
      <c r="K135" s="266">
        <f>'Digital Plan - UPI'!L101</f>
        <v>21</v>
      </c>
      <c r="L135" s="267">
        <f>'Digital Plan - UPI'!M101</f>
        <v>45460</v>
      </c>
      <c r="M135" s="267">
        <f>'Digital Plan - UPI'!N101</f>
        <v>45480</v>
      </c>
      <c r="N135" s="266">
        <f>'Digital Plan - UPI'!O101</f>
        <v>2142707.2581463996</v>
      </c>
      <c r="O135" s="268" t="str">
        <f>'Digital Plan - UPI'!P101</f>
        <v>-</v>
      </c>
      <c r="P135" s="269">
        <f>'Digital Plan - UPI'!Q101</f>
        <v>1.4999999999999999E-2</v>
      </c>
      <c r="Q135" s="266">
        <f>'Digital Plan - UPI'!R101</f>
        <v>32140.608872195993</v>
      </c>
      <c r="R135" s="268" t="str">
        <f>'Digital Plan - UPI'!S101</f>
        <v>-</v>
      </c>
      <c r="S135" s="271" t="str">
        <f>'Digital Plan - UPI'!T101</f>
        <v>-</v>
      </c>
      <c r="T135" s="266">
        <f>'Digital Plan - UPI'!U101</f>
        <v>1071353.6290731998</v>
      </c>
      <c r="U135" s="266">
        <f>'Digital Plan - UPI'!V101</f>
        <v>2</v>
      </c>
      <c r="V135" s="272">
        <f>'Digital Plan - UPI'!X101</f>
        <v>120</v>
      </c>
      <c r="W135" s="273">
        <f>'Digital Plan - UPI'!Y101</f>
        <v>257124.87097756795</v>
      </c>
      <c r="X135" s="273">
        <f>'Digital Plan - UPI'!Z101</f>
        <v>120</v>
      </c>
      <c r="Y135" s="273">
        <f>'Digital Plan - UPI'!AA101</f>
        <v>8</v>
      </c>
      <c r="Z135" s="274">
        <f>'Digital Plan - UPI'!AB101</f>
        <v>1995758</v>
      </c>
      <c r="AA135" s="275">
        <f>'Digital Plan - UPI'!AC101</f>
        <v>0.53681539999999994</v>
      </c>
      <c r="AB135" s="259"/>
      <c r="AC135" s="266">
        <f t="shared" si="42"/>
        <v>428541.45162927994</v>
      </c>
      <c r="AD135" s="266">
        <f t="shared" si="42"/>
        <v>428541.45162927994</v>
      </c>
      <c r="AE135" s="266">
        <f t="shared" si="43"/>
        <v>321406.08872195991</v>
      </c>
      <c r="AF135" s="266">
        <f t="shared" si="43"/>
        <v>321406.08872195991</v>
      </c>
      <c r="AG135" s="266">
        <f t="shared" si="44"/>
        <v>214270.72581463997</v>
      </c>
      <c r="AH135" s="266">
        <f t="shared" si="44"/>
        <v>214270.72581463997</v>
      </c>
      <c r="AI135" s="266">
        <f t="shared" si="45"/>
        <v>107135.36290731998</v>
      </c>
      <c r="AJ135" s="266">
        <f t="shared" si="45"/>
        <v>107135.36290731998</v>
      </c>
    </row>
    <row r="136" spans="1:36" x14ac:dyDescent="0.35">
      <c r="A136" s="321" t="str">
        <f>'Digital Plan - UPI'!B102</f>
        <v>Mumbai</v>
      </c>
      <c r="B136" s="293" t="str">
        <f>'Digital Plan - UPI'!C102</f>
        <v>Core</v>
      </c>
      <c r="C136" s="310" t="str">
        <f>'Digital Plan - UPI'!D102</f>
        <v>Dailyhunt</v>
      </c>
      <c r="D136" s="311" t="str">
        <f>'Digital Plan - UPI'!E102</f>
        <v>Static</v>
      </c>
      <c r="E136" s="408" t="str">
        <f>'Digital Plan - UPI'!F102</f>
        <v>News</v>
      </c>
      <c r="F136" s="404" t="str">
        <f>'Digital Plan - UPI'!G102</f>
        <v xml:space="preserve">Mobile </v>
      </c>
      <c r="G136" s="310" t="str">
        <f>'Digital Plan - UPI'!H102</f>
        <v>ROS</v>
      </c>
      <c r="H136" s="263" t="str">
        <f>'Digital Plan - UPI'!I102</f>
        <v>Page Insert - Innovation</v>
      </c>
      <c r="I136" s="309" t="str">
        <f>'Digital Plan - UPI'!J102</f>
        <v>Reff : Targeting Sheet</v>
      </c>
      <c r="J136" s="263" t="str">
        <f>'Digital Plan - UPI'!K102</f>
        <v>CPM</v>
      </c>
      <c r="K136" s="266">
        <f>'Digital Plan - UPI'!L102</f>
        <v>21</v>
      </c>
      <c r="L136" s="267">
        <f>'Digital Plan - UPI'!M102</f>
        <v>45460</v>
      </c>
      <c r="M136" s="267">
        <f>'Digital Plan - UPI'!N102</f>
        <v>45480</v>
      </c>
      <c r="N136" s="266">
        <f>'Digital Plan - UPI'!O102</f>
        <v>1311501.2621008321</v>
      </c>
      <c r="O136" s="268" t="str">
        <f>'Digital Plan - UPI'!P102</f>
        <v>-</v>
      </c>
      <c r="P136" s="312">
        <f>'Digital Plan - UPI'!Q102</f>
        <v>0.01</v>
      </c>
      <c r="Q136" s="266">
        <f>'Digital Plan - UPI'!R102</f>
        <v>13115.012621008322</v>
      </c>
      <c r="R136" s="268" t="str">
        <f>'Digital Plan - UPI'!S102</f>
        <v>-</v>
      </c>
      <c r="S136" s="271" t="str">
        <f>'Digital Plan - UPI'!T102</f>
        <v>-</v>
      </c>
      <c r="T136" s="266">
        <f>'Digital Plan - UPI'!U102</f>
        <v>655750.63105041604</v>
      </c>
      <c r="U136" s="266">
        <f>'Digital Plan - UPI'!V102</f>
        <v>2</v>
      </c>
      <c r="V136" s="272">
        <f>'Digital Plan - UPI'!X102</f>
        <v>200</v>
      </c>
      <c r="W136" s="273">
        <f>'Digital Plan - UPI'!Y102</f>
        <v>262300.25242016639</v>
      </c>
      <c r="X136" s="273">
        <f>'Digital Plan - UPI'!Z102</f>
        <v>199.99999999999997</v>
      </c>
      <c r="Y136" s="273">
        <f>'Digital Plan - UPI'!AA102</f>
        <v>19.999999999999996</v>
      </c>
      <c r="Z136" s="274">
        <f>'Digital Plan - UPI'!AB102</f>
        <v>2776266</v>
      </c>
      <c r="AA136" s="275">
        <f>'Digital Plan - UPI'!AC102</f>
        <v>0.23619877600000003</v>
      </c>
      <c r="AB136" s="259"/>
      <c r="AC136" s="266">
        <f t="shared" si="42"/>
        <v>262300.25242016645</v>
      </c>
      <c r="AD136" s="266">
        <f t="shared" si="42"/>
        <v>262300.25242016645</v>
      </c>
      <c r="AE136" s="266">
        <f t="shared" si="43"/>
        <v>196725.18931512479</v>
      </c>
      <c r="AF136" s="266">
        <f t="shared" si="43"/>
        <v>196725.18931512479</v>
      </c>
      <c r="AG136" s="266">
        <f t="shared" si="44"/>
        <v>131150.12621008322</v>
      </c>
      <c r="AH136" s="266">
        <f t="shared" si="44"/>
        <v>131150.12621008322</v>
      </c>
      <c r="AI136" s="266">
        <f t="shared" si="45"/>
        <v>65575.063105041612</v>
      </c>
      <c r="AJ136" s="266">
        <f t="shared" si="45"/>
        <v>65575.063105041612</v>
      </c>
    </row>
    <row r="137" spans="1:36" x14ac:dyDescent="0.35">
      <c r="A137" s="321" t="str">
        <f>'Digital Plan - UPI'!B103</f>
        <v>Mumbai</v>
      </c>
      <c r="B137" s="293" t="str">
        <f>'Digital Plan - UPI'!C103</f>
        <v>Core</v>
      </c>
      <c r="C137" s="310" t="str">
        <f>'Digital Plan - UPI'!D103</f>
        <v>UBER</v>
      </c>
      <c r="D137" s="263" t="str">
        <f>'Digital Plan - UPI'!E103</f>
        <v>Static</v>
      </c>
      <c r="E137" s="408" t="str">
        <f>'Digital Plan - UPI'!F103</f>
        <v>Utility</v>
      </c>
      <c r="F137" s="404" t="str">
        <f>'Digital Plan - UPI'!G103</f>
        <v xml:space="preserve">Mobile </v>
      </c>
      <c r="G137" s="265" t="str">
        <f>'Digital Plan - UPI'!H103</f>
        <v>ROS</v>
      </c>
      <c r="H137" s="265" t="str">
        <f>'Digital Plan - UPI'!I103</f>
        <v>Journey Ads</v>
      </c>
      <c r="I137" s="309" t="str">
        <f>'Digital Plan - UPI'!J103</f>
        <v>NA</v>
      </c>
      <c r="J137" s="263" t="str">
        <f>'Digital Plan - UPI'!K103</f>
        <v>CPT</v>
      </c>
      <c r="K137" s="266">
        <f>'Digital Plan - UPI'!L103</f>
        <v>21</v>
      </c>
      <c r="L137" s="267">
        <f>'Digital Plan - UPI'!M103</f>
        <v>45460</v>
      </c>
      <c r="M137" s="267">
        <f>'Digital Plan - UPI'!N103</f>
        <v>45480</v>
      </c>
      <c r="N137" s="266">
        <f>'Digital Plan - UPI'!O103</f>
        <v>719486.04</v>
      </c>
      <c r="O137" s="268">
        <f>'Digital Plan - UPI'!P103</f>
        <v>239828.68000000002</v>
      </c>
      <c r="P137" s="269">
        <f>'Digital Plan - UPI'!Q103</f>
        <v>1.4999999999999999E-2</v>
      </c>
      <c r="Q137" s="266">
        <f>'Digital Plan - UPI'!R103</f>
        <v>10792.2906</v>
      </c>
      <c r="R137" s="268" t="str">
        <f>'Digital Plan - UPI'!S103</f>
        <v>-</v>
      </c>
      <c r="S137" s="271" t="str">
        <f>'Digital Plan - UPI'!T103</f>
        <v>-</v>
      </c>
      <c r="T137" s="266">
        <f>'Digital Plan - UPI'!U103</f>
        <v>239828.68000000002</v>
      </c>
      <c r="U137" s="266">
        <f>'Digital Plan - UPI'!V103</f>
        <v>3</v>
      </c>
      <c r="V137" s="272">
        <f>'Digital Plan - UPI'!X103</f>
        <v>1.5</v>
      </c>
      <c r="W137" s="273">
        <f>'Digital Plan - UPI'!Y103</f>
        <v>359743.02</v>
      </c>
      <c r="X137" s="273">
        <f>'Digital Plan - UPI'!Z103</f>
        <v>500</v>
      </c>
      <c r="Y137" s="273">
        <f>'Digital Plan - UPI'!AA103</f>
        <v>33.333333333333336</v>
      </c>
      <c r="Z137" s="274">
        <f>'Digital Plan - UPI'!AB103</f>
        <v>2569593</v>
      </c>
      <c r="AA137" s="275">
        <f>'Digital Plan - UPI'!AC103</f>
        <v>9.3333333333333338E-2</v>
      </c>
      <c r="AB137" s="259"/>
      <c r="AC137" s="266">
        <f t="shared" si="42"/>
        <v>143897.20800000001</v>
      </c>
      <c r="AD137" s="266">
        <f t="shared" si="42"/>
        <v>143897.20800000001</v>
      </c>
      <c r="AE137" s="266">
        <f t="shared" si="43"/>
        <v>107922.906</v>
      </c>
      <c r="AF137" s="266">
        <f t="shared" si="43"/>
        <v>107922.906</v>
      </c>
      <c r="AG137" s="266">
        <f t="shared" si="44"/>
        <v>71948.604000000007</v>
      </c>
      <c r="AH137" s="266">
        <f t="shared" si="44"/>
        <v>71948.604000000007</v>
      </c>
      <c r="AI137" s="266">
        <f t="shared" si="45"/>
        <v>35974.302000000003</v>
      </c>
      <c r="AJ137" s="266">
        <f t="shared" si="45"/>
        <v>35974.302000000003</v>
      </c>
    </row>
    <row r="138" spans="1:36" x14ac:dyDescent="0.35">
      <c r="A138" s="321" t="str">
        <f>'Digital Plan - UPI'!B104</f>
        <v>Mumbai</v>
      </c>
      <c r="B138" s="293" t="str">
        <f>'Digital Plan - UPI'!C104</f>
        <v>Core</v>
      </c>
      <c r="C138" s="310" t="str">
        <f>'Digital Plan - UPI'!D104</f>
        <v>Mcanvas</v>
      </c>
      <c r="D138" s="263" t="str">
        <f>'Digital Plan - UPI'!E104</f>
        <v>Static</v>
      </c>
      <c r="E138" s="408" t="str">
        <f>'Digital Plan - UPI'!F104</f>
        <v xml:space="preserve">Network </v>
      </c>
      <c r="F138" s="404" t="str">
        <f>'Digital Plan - UPI'!G104</f>
        <v xml:space="preserve">Mobile </v>
      </c>
      <c r="G138" s="265" t="str">
        <f>'Digital Plan - UPI'!H104</f>
        <v>ROS</v>
      </c>
      <c r="H138" s="265" t="str">
        <f>'Digital Plan - UPI'!I104</f>
        <v xml:space="preserve">Single Screen Interstitial </v>
      </c>
      <c r="I138" s="309" t="str">
        <f>'Digital Plan - UPI'!J104</f>
        <v>Reff : Targeting Sheet</v>
      </c>
      <c r="J138" s="263" t="str">
        <f>'Digital Plan - UPI'!K104</f>
        <v>CPC</v>
      </c>
      <c r="K138" s="266">
        <f>'Digital Plan - UPI'!L104</f>
        <v>21</v>
      </c>
      <c r="L138" s="267">
        <f>'Digital Plan - UPI'!M104</f>
        <v>45460</v>
      </c>
      <c r="M138" s="267">
        <f>'Digital Plan - UPI'!N104</f>
        <v>45480</v>
      </c>
      <c r="N138" s="266">
        <f>'Digital Plan - UPI'!O104</f>
        <v>2873229.274344</v>
      </c>
      <c r="O138" s="268" t="str">
        <f>'Digital Plan - UPI'!P104</f>
        <v>-</v>
      </c>
      <c r="P138" s="269">
        <f>'Digital Plan - UPI'!Q104</f>
        <v>0.02</v>
      </c>
      <c r="Q138" s="266">
        <f>'Digital Plan - UPI'!R104</f>
        <v>57464.585486880002</v>
      </c>
      <c r="R138" s="268" t="str">
        <f>'Digital Plan - UPI'!S104</f>
        <v>-</v>
      </c>
      <c r="S138" s="271" t="str">
        <f>'Digital Plan - UPI'!T104</f>
        <v>-</v>
      </c>
      <c r="T138" s="266">
        <f>'Digital Plan - UPI'!U104</f>
        <v>2873229.274344</v>
      </c>
      <c r="U138" s="266">
        <f>'Digital Plan - UPI'!V104</f>
        <v>1</v>
      </c>
      <c r="V138" s="272">
        <f>'Digital Plan - UPI'!X104</f>
        <v>4.5</v>
      </c>
      <c r="W138" s="273">
        <f>'Digital Plan - UPI'!Y104</f>
        <v>258590.63469096</v>
      </c>
      <c r="X138" s="273">
        <f>'Digital Plan - UPI'!Z104</f>
        <v>90</v>
      </c>
      <c r="Y138" s="273">
        <f>'Digital Plan - UPI'!AA104</f>
        <v>4.5</v>
      </c>
      <c r="Z138" s="274">
        <f>'Digital Plan - UPI'!AB104</f>
        <v>4460300</v>
      </c>
      <c r="AA138" s="275">
        <f>'Digital Plan - UPI'!AC104</f>
        <v>0.64417848</v>
      </c>
      <c r="AB138" s="259"/>
      <c r="AC138" s="266">
        <f t="shared" si="42"/>
        <v>574645.85486880003</v>
      </c>
      <c r="AD138" s="266">
        <f t="shared" si="42"/>
        <v>574645.85486880003</v>
      </c>
      <c r="AE138" s="266">
        <f t="shared" si="43"/>
        <v>430984.39115159999</v>
      </c>
      <c r="AF138" s="266">
        <f t="shared" si="43"/>
        <v>430984.39115159999</v>
      </c>
      <c r="AG138" s="266">
        <f t="shared" si="44"/>
        <v>287322.92743440002</v>
      </c>
      <c r="AH138" s="266">
        <f t="shared" si="44"/>
        <v>287322.92743440002</v>
      </c>
      <c r="AI138" s="266">
        <f t="shared" si="45"/>
        <v>143661.46371720001</v>
      </c>
      <c r="AJ138" s="266">
        <f t="shared" si="45"/>
        <v>143661.46371720001</v>
      </c>
    </row>
    <row r="139" spans="1:36" x14ac:dyDescent="0.35">
      <c r="A139" s="321" t="str">
        <f>'Digital Plan - UPI'!B105</f>
        <v>Mumbai</v>
      </c>
      <c r="B139" s="293" t="str">
        <f>'Digital Plan - UPI'!C105</f>
        <v>Core</v>
      </c>
      <c r="C139" s="310" t="str">
        <f>'Digital Plan - UPI'!D105</f>
        <v>Sports Display (Auction Deal)</v>
      </c>
      <c r="D139" s="314" t="str">
        <f>'Digital Plan - UPI'!E105</f>
        <v>Static</v>
      </c>
      <c r="E139" s="408" t="str">
        <f>'Digital Plan - UPI'!F105</f>
        <v>Sports</v>
      </c>
      <c r="F139" s="404" t="str">
        <f>'Digital Plan - UPI'!G105</f>
        <v>Mobile</v>
      </c>
      <c r="G139" s="265" t="str">
        <f>'Digital Plan - UPI'!H105</f>
        <v>ROS</v>
      </c>
      <c r="H139" s="265" t="str">
        <f>'Digital Plan - UPI'!I105</f>
        <v>Standard Banners</v>
      </c>
      <c r="I139" s="308" t="str">
        <f>'Digital Plan - UPI'!J105</f>
        <v>Geo + Demo (MF 18+)</v>
      </c>
      <c r="J139" s="263" t="str">
        <f>'Digital Plan - UPI'!K105</f>
        <v>CPM</v>
      </c>
      <c r="K139" s="266">
        <f>'Digital Plan - UPI'!L105</f>
        <v>13</v>
      </c>
      <c r="L139" s="267">
        <f>'Digital Plan - UPI'!M105</f>
        <v>45460</v>
      </c>
      <c r="M139" s="267">
        <f>'Digital Plan - UPI'!N105</f>
        <v>45472</v>
      </c>
      <c r="N139" s="266">
        <f>'Digital Plan - UPI'!O105</f>
        <v>718419.96000000008</v>
      </c>
      <c r="O139" s="268" t="str">
        <f>'Digital Plan - UPI'!P105</f>
        <v>-</v>
      </c>
      <c r="P139" s="315">
        <f>'Digital Plan - UPI'!Q105</f>
        <v>5.0000000000000001E-3</v>
      </c>
      <c r="Q139" s="266">
        <f>'Digital Plan - UPI'!R105</f>
        <v>3592.0998000000004</v>
      </c>
      <c r="R139" s="268" t="str">
        <f>'Digital Plan - UPI'!S105</f>
        <v>-</v>
      </c>
      <c r="S139" s="271" t="str">
        <f>'Digital Plan - UPI'!T105</f>
        <v>-</v>
      </c>
      <c r="T139" s="266">
        <f>'Digital Plan - UPI'!U105</f>
        <v>359209.98000000004</v>
      </c>
      <c r="U139" s="266">
        <f>'Digital Plan - UPI'!V105</f>
        <v>2</v>
      </c>
      <c r="V139" s="272">
        <f>'Digital Plan - UPI'!X105</f>
        <v>105</v>
      </c>
      <c r="W139" s="273">
        <f>'Digital Plan - UPI'!Y105</f>
        <v>75434.09580000001</v>
      </c>
      <c r="X139" s="273">
        <f>'Digital Plan - UPI'!Z105</f>
        <v>105</v>
      </c>
      <c r="Y139" s="273">
        <f>'Digital Plan - UPI'!AA105</f>
        <v>21</v>
      </c>
      <c r="Z139" s="274">
        <f>'Digital Plan - UPI'!AB105</f>
        <v>798244.4</v>
      </c>
      <c r="AA139" s="275">
        <f>'Digital Plan - UPI'!AC105</f>
        <v>0.45</v>
      </c>
      <c r="AB139" s="259"/>
      <c r="AC139" s="266"/>
      <c r="AD139" s="266"/>
      <c r="AE139" s="266">
        <f>N139/K139*2</f>
        <v>110526.1476923077</v>
      </c>
      <c r="AF139" s="266">
        <f>N139/K139*2</f>
        <v>110526.1476923077</v>
      </c>
      <c r="AG139" s="266"/>
      <c r="AH139" s="266"/>
      <c r="AI139" s="266">
        <f>N139/K139*2</f>
        <v>110526.1476923077</v>
      </c>
      <c r="AJ139" s="266"/>
    </row>
    <row r="140" spans="1:36" x14ac:dyDescent="0.35">
      <c r="A140" s="321" t="str">
        <f>'Digital Plan - UPI'!B106</f>
        <v>Mumbai</v>
      </c>
      <c r="B140" s="293" t="str">
        <f>'Digital Plan - UPI'!C106</f>
        <v>Core</v>
      </c>
      <c r="C140" s="311" t="str">
        <f>'Digital Plan - UPI'!D106</f>
        <v>NobrokerHood</v>
      </c>
      <c r="D140" s="263" t="str">
        <f>'Digital Plan - UPI'!E106</f>
        <v>Static</v>
      </c>
      <c r="E140" s="408" t="str">
        <f>'Digital Plan - UPI'!F106</f>
        <v>Community</v>
      </c>
      <c r="F140" s="404" t="str">
        <f>'Digital Plan - UPI'!G106</f>
        <v xml:space="preserve">Mobile </v>
      </c>
      <c r="G140" s="265" t="str">
        <f>'Digital Plan - UPI'!H106</f>
        <v>ROS</v>
      </c>
      <c r="H140" s="265" t="str">
        <f>'Digital Plan - UPI'!I106</f>
        <v>PAC</v>
      </c>
      <c r="I140" s="308" t="str">
        <f>'Digital Plan - UPI'!J106</f>
        <v>Reff : Targeting Sheet</v>
      </c>
      <c r="J140" s="263" t="str">
        <f>'Digital Plan - UPI'!K106</f>
        <v xml:space="preserve">CPM </v>
      </c>
      <c r="K140" s="266">
        <f>'Digital Plan - UPI'!L106</f>
        <v>6</v>
      </c>
      <c r="L140" s="267">
        <f>'Digital Plan - UPI'!M106</f>
        <v>45471</v>
      </c>
      <c r="M140" s="267">
        <f>'Digital Plan - UPI'!N106</f>
        <v>45476</v>
      </c>
      <c r="N140" s="266">
        <f>'Digital Plan - UPI'!O106</f>
        <v>848571.42857142852</v>
      </c>
      <c r="O140" s="268" t="str">
        <f>'Digital Plan - UPI'!P106</f>
        <v>-</v>
      </c>
      <c r="P140" s="315">
        <f>'Digital Plan - UPI'!Q106</f>
        <v>0.01</v>
      </c>
      <c r="Q140" s="266">
        <f>'Digital Plan - UPI'!R106</f>
        <v>8485.7142857142862</v>
      </c>
      <c r="R140" s="268" t="str">
        <f>'Digital Plan - UPI'!S106</f>
        <v>-</v>
      </c>
      <c r="S140" s="271" t="str">
        <f>'Digital Plan - UPI'!T106</f>
        <v>-</v>
      </c>
      <c r="T140" s="266">
        <f>'Digital Plan - UPI'!U106</f>
        <v>169714.28571428571</v>
      </c>
      <c r="U140" s="266">
        <f>'Digital Plan - UPI'!V106</f>
        <v>5</v>
      </c>
      <c r="V140" s="272">
        <f>'Digital Plan - UPI'!X106</f>
        <v>260</v>
      </c>
      <c r="W140" s="273">
        <f>'Digital Plan - UPI'!Y106</f>
        <v>220628.57142857142</v>
      </c>
      <c r="X140" s="273">
        <f>'Digital Plan - UPI'!Z106</f>
        <v>260</v>
      </c>
      <c r="Y140" s="273">
        <f>'Digital Plan - UPI'!AA106</f>
        <v>25.999999999999996</v>
      </c>
      <c r="Z140" s="274">
        <f>'Digital Plan - UPI'!AB106</f>
        <v>462000</v>
      </c>
      <c r="AA140" s="275">
        <f>'Digital Plan - UPI'!AC106</f>
        <v>0.36734693877551017</v>
      </c>
      <c r="AB140" s="259"/>
      <c r="AC140" s="266"/>
      <c r="AD140" s="266">
        <f>N140/K140*2</f>
        <v>282857.14285714284</v>
      </c>
      <c r="AE140" s="266">
        <f>N140/K140*2</f>
        <v>282857.14285714284</v>
      </c>
      <c r="AF140" s="266">
        <f>N140/K140*4</f>
        <v>565714.28571428568</v>
      </c>
      <c r="AG140" s="266"/>
      <c r="AH140" s="266"/>
      <c r="AI140" s="266">
        <f>N140/K140*4</f>
        <v>565714.28571428568</v>
      </c>
      <c r="AJ140" s="266">
        <f>N140/K140*2</f>
        <v>282857.14285714284</v>
      </c>
    </row>
    <row r="141" spans="1:36" x14ac:dyDescent="0.35">
      <c r="A141" s="277" t="str">
        <f>'Digital Plan - UPI'!B107</f>
        <v>Mumbai</v>
      </c>
      <c r="B141" s="278">
        <f>'Digital Plan - UPI'!C107</f>
        <v>0</v>
      </c>
      <c r="C141" s="279" t="str">
        <f>'Digital Plan - UPI'!D107</f>
        <v>Total</v>
      </c>
      <c r="D141" s="280">
        <f>'Digital Plan - UPI'!E107</f>
        <v>0</v>
      </c>
      <c r="E141" s="405">
        <f>'Digital Plan - UPI'!F107</f>
        <v>0</v>
      </c>
      <c r="F141" s="405">
        <f>'Digital Plan - UPI'!G107</f>
        <v>0</v>
      </c>
      <c r="G141" s="280">
        <f>'Digital Plan - UPI'!H107</f>
        <v>0</v>
      </c>
      <c r="H141" s="281">
        <f>'Digital Plan - UPI'!I107</f>
        <v>0</v>
      </c>
      <c r="I141" s="282">
        <f>'Digital Plan - UPI'!J107</f>
        <v>0</v>
      </c>
      <c r="J141" s="283">
        <f>'Digital Plan - UPI'!K107</f>
        <v>0</v>
      </c>
      <c r="K141" s="284">
        <f>'Digital Plan - UPI'!L107</f>
        <v>0</v>
      </c>
      <c r="L141" s="284">
        <f>'Digital Plan - UPI'!M107</f>
        <v>0</v>
      </c>
      <c r="M141" s="284">
        <f>'Digital Plan - UPI'!N107</f>
        <v>0</v>
      </c>
      <c r="N141" s="284">
        <f>'Digital Plan - UPI'!O107</f>
        <v>52787297.632451355</v>
      </c>
      <c r="O141" s="284">
        <f>'Digital Plan - UPI'!P107</f>
        <v>0</v>
      </c>
      <c r="P141" s="285">
        <f>'Digital Plan - UPI'!Q107</f>
        <v>3.541956861295928E-3</v>
      </c>
      <c r="Q141" s="284">
        <f>'Digital Plan - UPI'!R107</f>
        <v>186970.33103853138</v>
      </c>
      <c r="R141" s="286">
        <f>'Digital Plan - UPI'!S107</f>
        <v>0</v>
      </c>
      <c r="S141" s="316">
        <f>'Digital Plan - UPI'!T107</f>
        <v>32444211.001322068</v>
      </c>
      <c r="T141" s="284">
        <f>'Digital Plan - UPI'!U107</f>
        <v>4959517.1925300816</v>
      </c>
      <c r="U141" s="284">
        <f>'Digital Plan - UPI'!V107</f>
        <v>10.64363638298471</v>
      </c>
      <c r="V141" s="287">
        <f>'Digital Plan - UPI'!X107</f>
        <v>0</v>
      </c>
      <c r="W141" s="317">
        <f>'Digital Plan - UPI'!Y107</f>
        <v>5870045.0534648998</v>
      </c>
      <c r="X141" s="288">
        <f>'Digital Plan - UPI'!Z107</f>
        <v>111.20184811006973</v>
      </c>
      <c r="Y141" s="288">
        <f>'Digital Plan - UPI'!AA107</f>
        <v>31.395596407513363</v>
      </c>
      <c r="Z141" s="284">
        <f>'Digital Plan - UPI'!AB107</f>
        <v>6646807.75055</v>
      </c>
      <c r="AA141" s="289">
        <f>'Digital Plan - UPI'!AC107</f>
        <v>0.74615023913091194</v>
      </c>
      <c r="AB141" s="259"/>
      <c r="AC141" s="284"/>
      <c r="AD141" s="284"/>
      <c r="AE141" s="284"/>
      <c r="AF141" s="284"/>
      <c r="AG141" s="284"/>
      <c r="AH141" s="284"/>
      <c r="AI141" s="284"/>
      <c r="AJ141" s="284"/>
    </row>
    <row r="142" spans="1:36" x14ac:dyDescent="0.35">
      <c r="A142" s="321" t="e">
        <f>'Digital Plan - UPI'!#REF!</f>
        <v>#REF!</v>
      </c>
      <c r="B142" s="293" t="e">
        <f>'Digital Plan - UPI'!#REF!</f>
        <v>#REF!</v>
      </c>
      <c r="C142" s="294" t="e">
        <f>'Digital Plan - UPI'!#REF!</f>
        <v>#REF!</v>
      </c>
      <c r="D142" s="294" t="e">
        <f>'Digital Plan - UPI'!#REF!</f>
        <v>#REF!</v>
      </c>
      <c r="E142" s="406" t="e">
        <f>'Digital Plan - UPI'!#REF!</f>
        <v>#REF!</v>
      </c>
      <c r="F142" s="406" t="e">
        <f>'Digital Plan - UPI'!#REF!</f>
        <v>#REF!</v>
      </c>
      <c r="G142" s="296" t="e">
        <f>'Digital Plan - UPI'!#REF!</f>
        <v>#REF!</v>
      </c>
      <c r="H142" s="296" t="e">
        <f>'Digital Plan - UPI'!#REF!</f>
        <v>#REF!</v>
      </c>
      <c r="I142" s="297" t="e">
        <f>'Digital Plan - UPI'!#REF!</f>
        <v>#REF!</v>
      </c>
      <c r="J142" s="295" t="e">
        <f>'Digital Plan - UPI'!#REF!</f>
        <v>#REF!</v>
      </c>
      <c r="K142" s="298" t="e">
        <f>'Digital Plan - UPI'!#REF!</f>
        <v>#REF!</v>
      </c>
      <c r="L142" s="299" t="e">
        <f>'Digital Plan - UPI'!#REF!</f>
        <v>#REF!</v>
      </c>
      <c r="M142" s="299" t="e">
        <f>'Digital Plan - UPI'!#REF!</f>
        <v>#REF!</v>
      </c>
      <c r="N142" s="298" t="e">
        <f>'Digital Plan - UPI'!#REF!</f>
        <v>#REF!</v>
      </c>
      <c r="O142" s="300" t="e">
        <f>'Digital Plan - UPI'!#REF!</f>
        <v>#REF!</v>
      </c>
      <c r="P142" s="301" t="e">
        <f>'Digital Plan - UPI'!#REF!</f>
        <v>#REF!</v>
      </c>
      <c r="Q142" s="298" t="e">
        <f>'Digital Plan - UPI'!#REF!</f>
        <v>#REF!</v>
      </c>
      <c r="R142" s="302" t="e">
        <f>'Digital Plan - UPI'!#REF!</f>
        <v>#REF!</v>
      </c>
      <c r="S142" s="303" t="e">
        <f>'Digital Plan - UPI'!#REF!</f>
        <v>#REF!</v>
      </c>
      <c r="T142" s="298" t="e">
        <f>'Digital Plan - UPI'!#REF!</f>
        <v>#REF!</v>
      </c>
      <c r="U142" s="298" t="e">
        <f>'Digital Plan - UPI'!#REF!</f>
        <v>#REF!</v>
      </c>
      <c r="V142" s="304" t="e">
        <f>'Digital Plan - UPI'!#REF!</f>
        <v>#REF!</v>
      </c>
      <c r="W142" s="305" t="e">
        <f>'Digital Plan - UPI'!#REF!</f>
        <v>#REF!</v>
      </c>
      <c r="X142" s="305" t="e">
        <f>'Digital Plan - UPI'!#REF!</f>
        <v>#REF!</v>
      </c>
      <c r="Y142" s="305" t="e">
        <f>'Digital Plan - UPI'!#REF!</f>
        <v>#REF!</v>
      </c>
      <c r="Z142" s="306" t="e">
        <f>'Digital Plan - UPI'!#REF!</f>
        <v>#REF!</v>
      </c>
      <c r="AA142" s="307" t="e">
        <f>'Digital Plan - UPI'!#REF!</f>
        <v>#REF!</v>
      </c>
      <c r="AB142" s="259"/>
      <c r="AC142" s="298" t="e">
        <f>N142/2</f>
        <v>#REF!</v>
      </c>
      <c r="AD142" s="298" t="e">
        <f>N142/2</f>
        <v>#REF!</v>
      </c>
      <c r="AE142" s="298"/>
      <c r="AF142" s="298"/>
      <c r="AG142" s="298"/>
      <c r="AH142" s="298"/>
      <c r="AI142" s="298"/>
      <c r="AJ142" s="298"/>
    </row>
    <row r="143" spans="1:36" x14ac:dyDescent="0.35">
      <c r="A143" s="321" t="e">
        <f>'Digital Plan - UPI'!#REF!</f>
        <v>#REF!</v>
      </c>
      <c r="B143" s="293" t="e">
        <f>'Digital Plan - UPI'!#REF!</f>
        <v>#REF!</v>
      </c>
      <c r="C143" s="295" t="e">
        <f>'Digital Plan - UPI'!#REF!</f>
        <v>#REF!</v>
      </c>
      <c r="D143" s="295" t="e">
        <f>'Digital Plan - UPI'!#REF!</f>
        <v>#REF!</v>
      </c>
      <c r="E143" s="406" t="e">
        <f>'Digital Plan - UPI'!#REF!</f>
        <v>#REF!</v>
      </c>
      <c r="F143" s="407" t="e">
        <f>'Digital Plan - UPI'!#REF!</f>
        <v>#REF!</v>
      </c>
      <c r="G143" s="296" t="e">
        <f>'Digital Plan - UPI'!#REF!</f>
        <v>#REF!</v>
      </c>
      <c r="H143" s="296" t="e">
        <f>'Digital Plan - UPI'!#REF!</f>
        <v>#REF!</v>
      </c>
      <c r="I143" s="297" t="e">
        <f>'Digital Plan - UPI'!#REF!</f>
        <v>#REF!</v>
      </c>
      <c r="J143" s="295" t="e">
        <f>'Digital Plan - UPI'!#REF!</f>
        <v>#REF!</v>
      </c>
      <c r="K143" s="298" t="e">
        <f>'Digital Plan - UPI'!#REF!</f>
        <v>#REF!</v>
      </c>
      <c r="L143" s="299" t="e">
        <f>'Digital Plan - UPI'!#REF!</f>
        <v>#REF!</v>
      </c>
      <c r="M143" s="299" t="e">
        <f>'Digital Plan - UPI'!#REF!</f>
        <v>#REF!</v>
      </c>
      <c r="N143" s="298" t="e">
        <f>'Digital Plan - UPI'!#REF!</f>
        <v>#REF!</v>
      </c>
      <c r="O143" s="300" t="e">
        <f>'Digital Plan - UPI'!#REF!</f>
        <v>#REF!</v>
      </c>
      <c r="P143" s="301" t="e">
        <f>'Digital Plan - UPI'!#REF!</f>
        <v>#REF!</v>
      </c>
      <c r="Q143" s="298" t="e">
        <f>'Digital Plan - UPI'!#REF!</f>
        <v>#REF!</v>
      </c>
      <c r="R143" s="302" t="e">
        <f>'Digital Plan - UPI'!#REF!</f>
        <v>#REF!</v>
      </c>
      <c r="S143" s="303" t="e">
        <f>'Digital Plan - UPI'!#REF!</f>
        <v>#REF!</v>
      </c>
      <c r="T143" s="298" t="e">
        <f>'Digital Plan - UPI'!#REF!</f>
        <v>#REF!</v>
      </c>
      <c r="U143" s="298" t="e">
        <f>'Digital Plan - UPI'!#REF!</f>
        <v>#REF!</v>
      </c>
      <c r="V143" s="304" t="e">
        <f>'Digital Plan - UPI'!#REF!</f>
        <v>#REF!</v>
      </c>
      <c r="W143" s="305" t="e">
        <f>'Digital Plan - UPI'!#REF!</f>
        <v>#REF!</v>
      </c>
      <c r="X143" s="305" t="e">
        <f>'Digital Plan - UPI'!#REF!</f>
        <v>#REF!</v>
      </c>
      <c r="Y143" s="305" t="e">
        <f>'Digital Plan - UPI'!#REF!</f>
        <v>#REF!</v>
      </c>
      <c r="Z143" s="306" t="e">
        <f>'Digital Plan - UPI'!#REF!</f>
        <v>#REF!</v>
      </c>
      <c r="AA143" s="307" t="e">
        <f>'Digital Plan - UPI'!#REF!</f>
        <v>#REF!</v>
      </c>
      <c r="AB143" s="259"/>
      <c r="AC143" s="298" t="e">
        <f>N143/2</f>
        <v>#REF!</v>
      </c>
      <c r="AD143" s="298" t="e">
        <f>N143/2</f>
        <v>#REF!</v>
      </c>
      <c r="AE143" s="298"/>
      <c r="AF143" s="298"/>
      <c r="AG143" s="298"/>
      <c r="AH143" s="298"/>
      <c r="AI143" s="298"/>
      <c r="AJ143" s="298"/>
    </row>
    <row r="144" spans="1:36" x14ac:dyDescent="0.35">
      <c r="A144" s="321" t="str">
        <f>'Digital Plan - UPI'!B108</f>
        <v>Pune</v>
      </c>
      <c r="B144" s="293" t="str">
        <f>'Digital Plan - UPI'!C108</f>
        <v>Core - CTV</v>
      </c>
      <c r="C144" s="294" t="str">
        <f>'Digital Plan - UPI'!D108</f>
        <v>Connected TV PMP</v>
      </c>
      <c r="D144" s="294" t="str">
        <f>'Digital Plan - UPI'!E108</f>
        <v>Video</v>
      </c>
      <c r="E144" s="406" t="str">
        <f>'Digital Plan - UPI'!F108</f>
        <v xml:space="preserve">Entertainment </v>
      </c>
      <c r="F144" s="406" t="str">
        <f>'Digital Plan - UPI'!G108</f>
        <v>CTV</v>
      </c>
      <c r="G144" s="296" t="str">
        <f>'Digital Plan - UPI'!H108</f>
        <v>Instream</v>
      </c>
      <c r="H144" s="296" t="str">
        <f>'Digital Plan - UPI'!I108</f>
        <v xml:space="preserve">Video-6 Sec </v>
      </c>
      <c r="I144" s="297" t="str">
        <f>'Digital Plan - UPI'!J108</f>
        <v>Reff : Targeting Sheet</v>
      </c>
      <c r="J144" s="295" t="str">
        <f>'Digital Plan - UPI'!K108</f>
        <v>CPM</v>
      </c>
      <c r="K144" s="298">
        <f>'Digital Plan - UPI'!L108</f>
        <v>21</v>
      </c>
      <c r="L144" s="299">
        <f>'Digital Plan - UPI'!M108</f>
        <v>45460</v>
      </c>
      <c r="M144" s="299">
        <f>'Digital Plan - UPI'!N108</f>
        <v>45480</v>
      </c>
      <c r="N144" s="298">
        <f>'Digital Plan - UPI'!O108</f>
        <v>1659067.07386112</v>
      </c>
      <c r="O144" s="300" t="str">
        <f>'Digital Plan - UPI'!P108</f>
        <v>-</v>
      </c>
      <c r="P144" s="301">
        <f>'Digital Plan - UPI'!Q108</f>
        <v>0</v>
      </c>
      <c r="Q144" s="298">
        <f>'Digital Plan - UPI'!R108</f>
        <v>0</v>
      </c>
      <c r="R144" s="302">
        <f>'Digital Plan - UPI'!S108</f>
        <v>0.85</v>
      </c>
      <c r="S144" s="303">
        <f>'Digital Plan - UPI'!T108</f>
        <v>1410207.012781952</v>
      </c>
      <c r="T144" s="298">
        <f>'Digital Plan - UPI'!U108</f>
        <v>243980.45203839999</v>
      </c>
      <c r="U144" s="298">
        <f>'Digital Plan - UPI'!V108</f>
        <v>6.8000000000000007</v>
      </c>
      <c r="V144" s="304">
        <f>'Digital Plan - UPI'!X108</f>
        <v>125</v>
      </c>
      <c r="W144" s="305">
        <f>'Digital Plan - UPI'!Y108</f>
        <v>207383.38423264</v>
      </c>
      <c r="X144" s="305">
        <f>'Digital Plan - UPI'!Z108</f>
        <v>125</v>
      </c>
      <c r="Y144" s="305">
        <f>'Digital Plan - UPI'!AA108</f>
        <v>0</v>
      </c>
      <c r="Z144" s="306">
        <f>'Digital Plan - UPI'!AB108</f>
        <v>284060</v>
      </c>
      <c r="AA144" s="307">
        <f>'Digital Plan - UPI'!AC108</f>
        <v>0.85890464</v>
      </c>
      <c r="AB144" s="259"/>
      <c r="AC144" s="298"/>
      <c r="AD144" s="298"/>
      <c r="AE144" s="298">
        <f>$N144/3</f>
        <v>553022.35795370664</v>
      </c>
      <c r="AF144" s="298">
        <f t="shared" ref="AF144:AJ149" si="46">$N144/3</f>
        <v>553022.35795370664</v>
      </c>
      <c r="AG144" s="298">
        <f t="shared" si="46"/>
        <v>553022.35795370664</v>
      </c>
      <c r="AH144" s="298"/>
      <c r="AI144" s="298"/>
      <c r="AJ144" s="298"/>
    </row>
    <row r="145" spans="1:36" x14ac:dyDescent="0.35">
      <c r="A145" s="321" t="e">
        <f>'Digital Plan - UPI'!#REF!</f>
        <v>#REF!</v>
      </c>
      <c r="B145" s="293" t="e">
        <f>'Digital Plan - UPI'!#REF!</f>
        <v>#REF!</v>
      </c>
      <c r="C145" s="294" t="e">
        <f>'Digital Plan - UPI'!#REF!</f>
        <v>#REF!</v>
      </c>
      <c r="D145" s="294" t="e">
        <f>'Digital Plan - UPI'!#REF!</f>
        <v>#REF!</v>
      </c>
      <c r="E145" s="406" t="e">
        <f>'Digital Plan - UPI'!#REF!</f>
        <v>#REF!</v>
      </c>
      <c r="F145" s="406" t="e">
        <f>'Digital Plan - UPI'!#REF!</f>
        <v>#REF!</v>
      </c>
      <c r="G145" s="296" t="e">
        <f>'Digital Plan - UPI'!#REF!</f>
        <v>#REF!</v>
      </c>
      <c r="H145" s="296" t="e">
        <f>'Digital Plan - UPI'!#REF!</f>
        <v>#REF!</v>
      </c>
      <c r="I145" s="297" t="e">
        <f>'Digital Plan - UPI'!#REF!</f>
        <v>#REF!</v>
      </c>
      <c r="J145" s="295" t="e">
        <f>'Digital Plan - UPI'!#REF!</f>
        <v>#REF!</v>
      </c>
      <c r="K145" s="298" t="e">
        <f>'Digital Plan - UPI'!#REF!</f>
        <v>#REF!</v>
      </c>
      <c r="L145" s="299" t="e">
        <f>'Digital Plan - UPI'!#REF!</f>
        <v>#REF!</v>
      </c>
      <c r="M145" s="299" t="e">
        <f>'Digital Plan - UPI'!#REF!</f>
        <v>#REF!</v>
      </c>
      <c r="N145" s="298" t="e">
        <f>'Digital Plan - UPI'!#REF!</f>
        <v>#REF!</v>
      </c>
      <c r="O145" s="300" t="e">
        <f>'Digital Plan - UPI'!#REF!</f>
        <v>#REF!</v>
      </c>
      <c r="P145" s="301" t="e">
        <f>'Digital Plan - UPI'!#REF!</f>
        <v>#REF!</v>
      </c>
      <c r="Q145" s="298" t="e">
        <f>'Digital Plan - UPI'!#REF!</f>
        <v>#REF!</v>
      </c>
      <c r="R145" s="302" t="e">
        <f>'Digital Plan - UPI'!#REF!</f>
        <v>#REF!</v>
      </c>
      <c r="S145" s="303" t="e">
        <f>'Digital Plan - UPI'!#REF!</f>
        <v>#REF!</v>
      </c>
      <c r="T145" s="298" t="e">
        <f>'Digital Plan - UPI'!#REF!</f>
        <v>#REF!</v>
      </c>
      <c r="U145" s="298" t="e">
        <f>'Digital Plan - UPI'!#REF!</f>
        <v>#REF!</v>
      </c>
      <c r="V145" s="304" t="e">
        <f>'Digital Plan - UPI'!#REF!</f>
        <v>#REF!</v>
      </c>
      <c r="W145" s="305" t="e">
        <f>'Digital Plan - UPI'!#REF!</f>
        <v>#REF!</v>
      </c>
      <c r="X145" s="305" t="e">
        <f>'Digital Plan - UPI'!#REF!</f>
        <v>#REF!</v>
      </c>
      <c r="Y145" s="305" t="e">
        <f>'Digital Plan - UPI'!#REF!</f>
        <v>#REF!</v>
      </c>
      <c r="Z145" s="306" t="e">
        <f>'Digital Plan - UPI'!#REF!</f>
        <v>#REF!</v>
      </c>
      <c r="AA145" s="307" t="e">
        <f>'Digital Plan - UPI'!#REF!</f>
        <v>#REF!</v>
      </c>
      <c r="AB145" s="259"/>
      <c r="AC145" s="298"/>
      <c r="AD145" s="298"/>
      <c r="AE145" s="298"/>
      <c r="AF145" s="298"/>
      <c r="AG145" s="298"/>
      <c r="AH145" s="298" t="e">
        <f>$N145/3</f>
        <v>#REF!</v>
      </c>
      <c r="AI145" s="298" t="e">
        <f t="shared" si="46"/>
        <v>#REF!</v>
      </c>
      <c r="AJ145" s="298" t="e">
        <f t="shared" si="46"/>
        <v>#REF!</v>
      </c>
    </row>
    <row r="146" spans="1:36" x14ac:dyDescent="0.35">
      <c r="A146" s="321" t="str">
        <f>'Digital Plan - UPI'!B109</f>
        <v>Pune</v>
      </c>
      <c r="B146" s="293" t="str">
        <f>'Digital Plan - UPI'!C109</f>
        <v>Core - CTV</v>
      </c>
      <c r="C146" s="295" t="str">
        <f>'Digital Plan - UPI'!D109</f>
        <v xml:space="preserve">YouTube </v>
      </c>
      <c r="D146" s="295" t="str">
        <f>'Digital Plan - UPI'!E109</f>
        <v>Video</v>
      </c>
      <c r="E146" s="406" t="str">
        <f>'Digital Plan - UPI'!F109</f>
        <v xml:space="preserve">Entertainment </v>
      </c>
      <c r="F146" s="407" t="str">
        <f>'Digital Plan - UPI'!G109</f>
        <v>CTV</v>
      </c>
      <c r="G146" s="296" t="str">
        <f>'Digital Plan - UPI'!H109</f>
        <v>Instream</v>
      </c>
      <c r="H146" s="296" t="str">
        <f>'Digital Plan - UPI'!I109</f>
        <v xml:space="preserve">Bumper 6 secs  </v>
      </c>
      <c r="I146" s="297" t="str">
        <f>'Digital Plan - UPI'!J109</f>
        <v>Reff : Targeting Sheet</v>
      </c>
      <c r="J146" s="295" t="str">
        <f>'Digital Plan - UPI'!K109</f>
        <v>CPM</v>
      </c>
      <c r="K146" s="298">
        <f>'Digital Plan - UPI'!L109</f>
        <v>21</v>
      </c>
      <c r="L146" s="299">
        <f>'Digital Plan - UPI'!M109</f>
        <v>45460</v>
      </c>
      <c r="M146" s="299">
        <f>'Digital Plan - UPI'!N109</f>
        <v>45480</v>
      </c>
      <c r="N146" s="298">
        <f>'Digital Plan - UPI'!O109</f>
        <v>7470198.1748159993</v>
      </c>
      <c r="O146" s="300" t="str">
        <f>'Digital Plan - UPI'!P109</f>
        <v>-</v>
      </c>
      <c r="P146" s="301">
        <f>'Digital Plan - UPI'!Q109</f>
        <v>0</v>
      </c>
      <c r="Q146" s="298">
        <f>'Digital Plan - UPI'!R109</f>
        <v>0</v>
      </c>
      <c r="R146" s="302">
        <f>'Digital Plan - UPI'!S109</f>
        <v>0.8</v>
      </c>
      <c r="S146" s="303">
        <f>'Digital Plan - UPI'!T109</f>
        <v>5976158.5398527998</v>
      </c>
      <c r="T146" s="298">
        <f>'Digital Plan - UPI'!U109</f>
        <v>900023.8764838553</v>
      </c>
      <c r="U146" s="298">
        <f>'Digital Plan - UPI'!V109</f>
        <v>8.3000000000000007</v>
      </c>
      <c r="V146" s="304">
        <f>'Digital Plan - UPI'!X109</f>
        <v>110</v>
      </c>
      <c r="W146" s="305">
        <f>'Digital Plan - UPI'!Y109</f>
        <v>821721.79922975996</v>
      </c>
      <c r="X146" s="305">
        <f>'Digital Plan - UPI'!Z109</f>
        <v>110</v>
      </c>
      <c r="Y146" s="305">
        <f>'Digital Plan - UPI'!AA109</f>
        <v>0</v>
      </c>
      <c r="Z146" s="306">
        <f>'Digital Plan - UPI'!AB109</f>
        <v>1000480</v>
      </c>
      <c r="AA146" s="307">
        <f>'Digital Plan - UPI'!AC109</f>
        <v>0.8995920722891565</v>
      </c>
      <c r="AB146" s="259"/>
      <c r="AC146" s="298"/>
      <c r="AD146" s="298"/>
      <c r="AE146" s="298">
        <f>$N146/3</f>
        <v>2490066.0582719999</v>
      </c>
      <c r="AF146" s="298">
        <f t="shared" si="46"/>
        <v>2490066.0582719999</v>
      </c>
      <c r="AG146" s="298">
        <f t="shared" si="46"/>
        <v>2490066.0582719999</v>
      </c>
      <c r="AH146" s="298"/>
      <c r="AI146" s="298"/>
      <c r="AJ146" s="298"/>
    </row>
    <row r="147" spans="1:36" x14ac:dyDescent="0.35">
      <c r="A147" s="321" t="e">
        <f>'Digital Plan - UPI'!#REF!</f>
        <v>#REF!</v>
      </c>
      <c r="B147" s="293" t="e">
        <f>'Digital Plan - UPI'!#REF!</f>
        <v>#REF!</v>
      </c>
      <c r="C147" s="295" t="e">
        <f>'Digital Plan - UPI'!#REF!</f>
        <v>#REF!</v>
      </c>
      <c r="D147" s="295" t="e">
        <f>'Digital Plan - UPI'!#REF!</f>
        <v>#REF!</v>
      </c>
      <c r="E147" s="406" t="e">
        <f>'Digital Plan - UPI'!#REF!</f>
        <v>#REF!</v>
      </c>
      <c r="F147" s="407" t="e">
        <f>'Digital Plan - UPI'!#REF!</f>
        <v>#REF!</v>
      </c>
      <c r="G147" s="296" t="e">
        <f>'Digital Plan - UPI'!#REF!</f>
        <v>#REF!</v>
      </c>
      <c r="H147" s="296" t="e">
        <f>'Digital Plan - UPI'!#REF!</f>
        <v>#REF!</v>
      </c>
      <c r="I147" s="297" t="e">
        <f>'Digital Plan - UPI'!#REF!</f>
        <v>#REF!</v>
      </c>
      <c r="J147" s="295" t="e">
        <f>'Digital Plan - UPI'!#REF!</f>
        <v>#REF!</v>
      </c>
      <c r="K147" s="298" t="e">
        <f>'Digital Plan - UPI'!#REF!</f>
        <v>#REF!</v>
      </c>
      <c r="L147" s="299" t="e">
        <f>'Digital Plan - UPI'!#REF!</f>
        <v>#REF!</v>
      </c>
      <c r="M147" s="299" t="e">
        <f>'Digital Plan - UPI'!#REF!</f>
        <v>#REF!</v>
      </c>
      <c r="N147" s="298" t="e">
        <f>'Digital Plan - UPI'!#REF!</f>
        <v>#REF!</v>
      </c>
      <c r="O147" s="300" t="e">
        <f>'Digital Plan - UPI'!#REF!</f>
        <v>#REF!</v>
      </c>
      <c r="P147" s="301" t="e">
        <f>'Digital Plan - UPI'!#REF!</f>
        <v>#REF!</v>
      </c>
      <c r="Q147" s="298" t="e">
        <f>'Digital Plan - UPI'!#REF!</f>
        <v>#REF!</v>
      </c>
      <c r="R147" s="302" t="e">
        <f>'Digital Plan - UPI'!#REF!</f>
        <v>#REF!</v>
      </c>
      <c r="S147" s="303" t="e">
        <f>'Digital Plan - UPI'!#REF!</f>
        <v>#REF!</v>
      </c>
      <c r="T147" s="298" t="e">
        <f>'Digital Plan - UPI'!#REF!</f>
        <v>#REF!</v>
      </c>
      <c r="U147" s="298" t="e">
        <f>'Digital Plan - UPI'!#REF!</f>
        <v>#REF!</v>
      </c>
      <c r="V147" s="304" t="e">
        <f>'Digital Plan - UPI'!#REF!</f>
        <v>#REF!</v>
      </c>
      <c r="W147" s="305" t="e">
        <f>'Digital Plan - UPI'!#REF!</f>
        <v>#REF!</v>
      </c>
      <c r="X147" s="305" t="e">
        <f>'Digital Plan - UPI'!#REF!</f>
        <v>#REF!</v>
      </c>
      <c r="Y147" s="305" t="e">
        <f>'Digital Plan - UPI'!#REF!</f>
        <v>#REF!</v>
      </c>
      <c r="Z147" s="306" t="e">
        <f>'Digital Plan - UPI'!#REF!</f>
        <v>#REF!</v>
      </c>
      <c r="AA147" s="307" t="e">
        <f>'Digital Plan - UPI'!#REF!</f>
        <v>#REF!</v>
      </c>
      <c r="AB147" s="259"/>
      <c r="AC147" s="298"/>
      <c r="AD147" s="298"/>
      <c r="AE147" s="298"/>
      <c r="AF147" s="298"/>
      <c r="AG147" s="298"/>
      <c r="AH147" s="298" t="e">
        <f>$N147/3</f>
        <v>#REF!</v>
      </c>
      <c r="AI147" s="298" t="e">
        <f t="shared" si="46"/>
        <v>#REF!</v>
      </c>
      <c r="AJ147" s="298" t="e">
        <f t="shared" si="46"/>
        <v>#REF!</v>
      </c>
    </row>
    <row r="148" spans="1:36" x14ac:dyDescent="0.35">
      <c r="A148" s="321" t="str">
        <f>'Digital Plan - UPI'!B110</f>
        <v>Pune</v>
      </c>
      <c r="B148" s="293" t="str">
        <f>'Digital Plan - UPI'!C110</f>
        <v>Core</v>
      </c>
      <c r="C148" s="264" t="str">
        <f>'Digital Plan - UPI'!D110</f>
        <v>Meta</v>
      </c>
      <c r="D148" s="264" t="str">
        <f>'Digital Plan - UPI'!E110</f>
        <v>Video</v>
      </c>
      <c r="E148" s="404" t="str">
        <f>'Digital Plan - UPI'!F110</f>
        <v xml:space="preserve">Entertainment </v>
      </c>
      <c r="F148" s="404" t="str">
        <f>'Digital Plan - UPI'!G110</f>
        <v xml:space="preserve">Mobile </v>
      </c>
      <c r="G148" s="265" t="str">
        <f>'Digital Plan - UPI'!H110</f>
        <v xml:space="preserve">Instream </v>
      </c>
      <c r="H148" s="265" t="str">
        <f>'Digital Plan - UPI'!I110</f>
        <v>Instream - 6 Sec</v>
      </c>
      <c r="I148" s="308" t="str">
        <f>'Digital Plan - UPI'!J110</f>
        <v>Reff : Targeting Sheet</v>
      </c>
      <c r="J148" s="263" t="str">
        <f>'Digital Plan - UPI'!K110</f>
        <v>CPM</v>
      </c>
      <c r="K148" s="266">
        <f>'Digital Plan - UPI'!L110</f>
        <v>21</v>
      </c>
      <c r="L148" s="267">
        <f>'Digital Plan - UPI'!M110</f>
        <v>45460</v>
      </c>
      <c r="M148" s="267">
        <f>'Digital Plan - UPI'!N110</f>
        <v>45480</v>
      </c>
      <c r="N148" s="266">
        <f>'Digital Plan - UPI'!O110</f>
        <v>2643699.9416749999</v>
      </c>
      <c r="O148" s="268" t="str">
        <f>'Digital Plan - UPI'!P110</f>
        <v>-</v>
      </c>
      <c r="P148" s="269">
        <f>'Digital Plan - UPI'!Q110</f>
        <v>1E-3</v>
      </c>
      <c r="Q148" s="266">
        <f>'Digital Plan - UPI'!R110</f>
        <v>2643.699941675</v>
      </c>
      <c r="R148" s="270">
        <f>'Digital Plan - UPI'!S110</f>
        <v>0.7</v>
      </c>
      <c r="S148" s="271">
        <f>'Digital Plan - UPI'!T110</f>
        <v>1850589.9591724998</v>
      </c>
      <c r="T148" s="266">
        <f>'Digital Plan - UPI'!U110</f>
        <v>1057479.97667</v>
      </c>
      <c r="U148" s="266">
        <f>'Digital Plan - UPI'!V110</f>
        <v>2.5</v>
      </c>
      <c r="V148" s="272">
        <f>'Digital Plan - UPI'!X110</f>
        <v>70</v>
      </c>
      <c r="W148" s="273">
        <f>'Digital Plan - UPI'!Y110</f>
        <v>185058.99591724999</v>
      </c>
      <c r="X148" s="273">
        <f>'Digital Plan - UPI'!Z110</f>
        <v>70</v>
      </c>
      <c r="Y148" s="273">
        <f>'Digital Plan - UPI'!AA110</f>
        <v>70</v>
      </c>
      <c r="Z148" s="274">
        <f>'Digital Plan - UPI'!AB110</f>
        <v>1733524</v>
      </c>
      <c r="AA148" s="275">
        <f>'Digital Plan - UPI'!AC110</f>
        <v>0.61001749999999999</v>
      </c>
      <c r="AB148" s="259"/>
      <c r="AC148" s="266"/>
      <c r="AD148" s="266"/>
      <c r="AE148" s="266">
        <f>$N148/3</f>
        <v>881233.31389166659</v>
      </c>
      <c r="AF148" s="266">
        <f t="shared" si="46"/>
        <v>881233.31389166659</v>
      </c>
      <c r="AG148" s="266">
        <f t="shared" si="46"/>
        <v>881233.31389166659</v>
      </c>
      <c r="AH148" s="266"/>
      <c r="AI148" s="266"/>
      <c r="AJ148" s="266"/>
    </row>
    <row r="149" spans="1:36" x14ac:dyDescent="0.35">
      <c r="A149" s="321" t="str">
        <f>'Digital Plan - UPI'!B111</f>
        <v>Pune</v>
      </c>
      <c r="B149" s="293" t="str">
        <f>'Digital Plan - UPI'!C111</f>
        <v>Core</v>
      </c>
      <c r="C149" s="264" t="str">
        <f>'Digital Plan - UPI'!D111</f>
        <v xml:space="preserve">YouTube </v>
      </c>
      <c r="D149" s="264" t="str">
        <f>'Digital Plan - UPI'!E111</f>
        <v>Video</v>
      </c>
      <c r="E149" s="404" t="str">
        <f>'Digital Plan - UPI'!F111</f>
        <v xml:space="preserve">Entertainment </v>
      </c>
      <c r="F149" s="404" t="str">
        <f>'Digital Plan - UPI'!G111</f>
        <v xml:space="preserve">Mobile </v>
      </c>
      <c r="G149" s="265" t="str">
        <f>'Digital Plan - UPI'!H111</f>
        <v xml:space="preserve">Instream </v>
      </c>
      <c r="H149" s="265" t="str">
        <f>'Digital Plan - UPI'!I111</f>
        <v xml:space="preserve">Bumper 6 secs  </v>
      </c>
      <c r="I149" s="308" t="str">
        <f>'Digital Plan - UPI'!J111</f>
        <v>Reff : Targeting Sheet</v>
      </c>
      <c r="J149" s="263" t="str">
        <f>'Digital Plan - UPI'!K111</f>
        <v>CPM</v>
      </c>
      <c r="K149" s="266">
        <f>'Digital Plan - UPI'!L111</f>
        <v>21</v>
      </c>
      <c r="L149" s="267">
        <f>'Digital Plan - UPI'!M111</f>
        <v>45460</v>
      </c>
      <c r="M149" s="267">
        <f>'Digital Plan - UPI'!N111</f>
        <v>45480</v>
      </c>
      <c r="N149" s="266">
        <f>'Digital Plan - UPI'!O111</f>
        <v>3421258.7480499996</v>
      </c>
      <c r="O149" s="268" t="str">
        <f>'Digital Plan - UPI'!P111</f>
        <v>-</v>
      </c>
      <c r="P149" s="269">
        <f>'Digital Plan - UPI'!Q111</f>
        <v>1E-3</v>
      </c>
      <c r="Q149" s="266">
        <f>'Digital Plan - UPI'!R111</f>
        <v>3421.2587480499997</v>
      </c>
      <c r="R149" s="270">
        <f>'Digital Plan - UPI'!S111</f>
        <v>0.8</v>
      </c>
      <c r="S149" s="271">
        <f>'Digital Plan - UPI'!T111</f>
        <v>2737006.9984399998</v>
      </c>
      <c r="T149" s="266">
        <f>'Digital Plan - UPI'!U111</f>
        <v>1257815.7161948527</v>
      </c>
      <c r="U149" s="266">
        <f>'Digital Plan - UPI'!V111</f>
        <v>2.72</v>
      </c>
      <c r="V149" s="272">
        <f>'Digital Plan - UPI'!X111</f>
        <v>80</v>
      </c>
      <c r="W149" s="273">
        <f>'Digital Plan - UPI'!Y111</f>
        <v>273700.69984399999</v>
      </c>
      <c r="X149" s="273">
        <f>'Digital Plan - UPI'!Z111</f>
        <v>80</v>
      </c>
      <c r="Y149" s="273">
        <f>'Digital Plan - UPI'!AA111</f>
        <v>80</v>
      </c>
      <c r="Z149" s="274">
        <f>'Digital Plan - UPI'!AB111</f>
        <v>2039440</v>
      </c>
      <c r="AA149" s="275">
        <f>'Digital Plan - UPI'!AC111</f>
        <v>0.61674563419117634</v>
      </c>
      <c r="AB149" s="259"/>
      <c r="AC149" s="266"/>
      <c r="AD149" s="266"/>
      <c r="AE149" s="266"/>
      <c r="AF149" s="266"/>
      <c r="AG149" s="266"/>
      <c r="AH149" s="266">
        <f>$N149/3</f>
        <v>1140419.5826833332</v>
      </c>
      <c r="AI149" s="266">
        <f t="shared" si="46"/>
        <v>1140419.5826833332</v>
      </c>
      <c r="AJ149" s="266">
        <f t="shared" si="46"/>
        <v>1140419.5826833332</v>
      </c>
    </row>
    <row r="150" spans="1:36" x14ac:dyDescent="0.35">
      <c r="A150" s="321" t="str">
        <f>'Digital Plan - UPI'!B112</f>
        <v>Pune</v>
      </c>
      <c r="B150" s="293" t="str">
        <f>'Digital Plan - UPI'!C112</f>
        <v>Core</v>
      </c>
      <c r="C150" s="263" t="str">
        <f>'Digital Plan - UPI'!D112</f>
        <v xml:space="preserve">DSP </v>
      </c>
      <c r="D150" s="263" t="str">
        <f>'Digital Plan - UPI'!E112</f>
        <v>Static</v>
      </c>
      <c r="E150" s="404" t="str">
        <f>'Digital Plan - UPI'!F112</f>
        <v xml:space="preserve">Network </v>
      </c>
      <c r="F150" s="404" t="str">
        <f>'Digital Plan - UPI'!G112</f>
        <v>Mobile</v>
      </c>
      <c r="G150" s="265" t="str">
        <f>'Digital Plan - UPI'!H112</f>
        <v>ROS</v>
      </c>
      <c r="H150" s="265" t="str">
        <f>'Digital Plan - UPI'!I112</f>
        <v>Large Formats</v>
      </c>
      <c r="I150" s="309" t="str">
        <f>'Digital Plan - UPI'!J112</f>
        <v>Reff : Targeting Sheet</v>
      </c>
      <c r="J150" s="263" t="str">
        <f>'Digital Plan - UPI'!K112</f>
        <v>CPM</v>
      </c>
      <c r="K150" s="266">
        <f>'Digital Plan - UPI'!L112</f>
        <v>21</v>
      </c>
      <c r="L150" s="267">
        <f>'Digital Plan - UPI'!M112</f>
        <v>45460</v>
      </c>
      <c r="M150" s="267">
        <f>'Digital Plan - UPI'!N112</f>
        <v>45480</v>
      </c>
      <c r="N150" s="266">
        <f>'Digital Plan - UPI'!O112</f>
        <v>795647.93444650783</v>
      </c>
      <c r="O150" s="268" t="str">
        <f>'Digital Plan - UPI'!P112</f>
        <v>-</v>
      </c>
      <c r="P150" s="269">
        <f>'Digital Plan - UPI'!Q112</f>
        <v>1.4999999999999999E-2</v>
      </c>
      <c r="Q150" s="266">
        <f>'Digital Plan - UPI'!R112</f>
        <v>11934.719016697618</v>
      </c>
      <c r="R150" s="268" t="str">
        <f>'Digital Plan - UPI'!S112</f>
        <v>-</v>
      </c>
      <c r="S150" s="271" t="str">
        <f>'Digital Plan - UPI'!T112</f>
        <v>-</v>
      </c>
      <c r="T150" s="266">
        <f>'Digital Plan - UPI'!U112</f>
        <v>530431.95629767189</v>
      </c>
      <c r="U150" s="266">
        <f>'Digital Plan - UPI'!V112</f>
        <v>1.5</v>
      </c>
      <c r="V150" s="272">
        <f>'Digital Plan - UPI'!X112</f>
        <v>105</v>
      </c>
      <c r="W150" s="273">
        <f>'Digital Plan - UPI'!Y112</f>
        <v>83543.033116883322</v>
      </c>
      <c r="X150" s="273">
        <f>'Digital Plan - UPI'!Z112</f>
        <v>105</v>
      </c>
      <c r="Y150" s="273">
        <f>'Digital Plan - UPI'!AA112</f>
        <v>7</v>
      </c>
      <c r="Z150" s="274">
        <f>'Digital Plan - UPI'!AB112</f>
        <v>1646847.7999999998</v>
      </c>
      <c r="AA150" s="275">
        <f>'Digital Plan - UPI'!AC112</f>
        <v>0.32208924</v>
      </c>
      <c r="AB150" s="259"/>
      <c r="AC150" s="266">
        <f t="shared" ref="AC150:AD154" si="47">$N150*20%</f>
        <v>159129.58688930157</v>
      </c>
      <c r="AD150" s="266">
        <f t="shared" si="47"/>
        <v>159129.58688930157</v>
      </c>
      <c r="AE150" s="266">
        <f t="shared" ref="AE150:AF154" si="48">$N150*15%</f>
        <v>119347.19016697617</v>
      </c>
      <c r="AF150" s="266">
        <f t="shared" si="48"/>
        <v>119347.19016697617</v>
      </c>
      <c r="AG150" s="266">
        <f t="shared" ref="AG150:AH154" si="49">$N150*10%</f>
        <v>79564.793444650786</v>
      </c>
      <c r="AH150" s="266">
        <f t="shared" si="49"/>
        <v>79564.793444650786</v>
      </c>
      <c r="AI150" s="266">
        <f t="shared" ref="AI150:AJ154" si="50">$N150*5%</f>
        <v>39782.396722325393</v>
      </c>
      <c r="AJ150" s="266">
        <f t="shared" si="50"/>
        <v>39782.396722325393</v>
      </c>
    </row>
    <row r="151" spans="1:36" x14ac:dyDescent="0.35">
      <c r="A151" s="321" t="str">
        <f>'Digital Plan - UPI'!B113</f>
        <v>Pune</v>
      </c>
      <c r="B151" s="293" t="str">
        <f>'Digital Plan - UPI'!C113</f>
        <v>Core</v>
      </c>
      <c r="C151" s="310" t="str">
        <f>'Digital Plan - UPI'!D113</f>
        <v>Mediakart</v>
      </c>
      <c r="D151" s="263" t="str">
        <f>'Digital Plan - UPI'!E113</f>
        <v>Static</v>
      </c>
      <c r="E151" s="408" t="str">
        <f>'Digital Plan - UPI'!F113</f>
        <v xml:space="preserve">Network </v>
      </c>
      <c r="F151" s="404" t="str">
        <f>'Digital Plan - UPI'!G113</f>
        <v xml:space="preserve">Mobile </v>
      </c>
      <c r="G151" s="265" t="str">
        <f>'Digital Plan - UPI'!H113</f>
        <v>ROS</v>
      </c>
      <c r="H151" s="265" t="str">
        <f>'Digital Plan - UPI'!I113</f>
        <v>Interstitial Static banner</v>
      </c>
      <c r="I151" s="309" t="str">
        <f>'Digital Plan - UPI'!J113</f>
        <v>Reff : Targeting Sheet</v>
      </c>
      <c r="J151" s="263" t="str">
        <f>'Digital Plan - UPI'!K113</f>
        <v xml:space="preserve">CPM </v>
      </c>
      <c r="K151" s="266">
        <f>'Digital Plan - UPI'!L113</f>
        <v>21</v>
      </c>
      <c r="L151" s="267">
        <f>'Digital Plan - UPI'!M113</f>
        <v>45460</v>
      </c>
      <c r="M151" s="267">
        <f>'Digital Plan - UPI'!N113</f>
        <v>45480</v>
      </c>
      <c r="N151" s="266">
        <f>'Digital Plan - UPI'!O113</f>
        <v>620587.05361619999</v>
      </c>
      <c r="O151" s="268" t="str">
        <f>'Digital Plan - UPI'!P113</f>
        <v>-</v>
      </c>
      <c r="P151" s="269">
        <f>'Digital Plan - UPI'!Q113</f>
        <v>1.4999999999999999E-2</v>
      </c>
      <c r="Q151" s="266">
        <f>'Digital Plan - UPI'!R113</f>
        <v>9308.8058042430002</v>
      </c>
      <c r="R151" s="268" t="str">
        <f>'Digital Plan - UPI'!S113</f>
        <v>-</v>
      </c>
      <c r="S151" s="271" t="str">
        <f>'Digital Plan - UPI'!T113</f>
        <v>-</v>
      </c>
      <c r="T151" s="266">
        <f>'Digital Plan - UPI'!U113</f>
        <v>413724.70241079998</v>
      </c>
      <c r="U151" s="266">
        <f>'Digital Plan - UPI'!V113</f>
        <v>1.5</v>
      </c>
      <c r="V151" s="272">
        <f>'Digital Plan - UPI'!X113</f>
        <v>120</v>
      </c>
      <c r="W151" s="273">
        <f>'Digital Plan - UPI'!Y113</f>
        <v>74470.446433944002</v>
      </c>
      <c r="X151" s="273">
        <f>'Digital Plan - UPI'!Z113</f>
        <v>120.00000000000001</v>
      </c>
      <c r="Y151" s="273">
        <f>'Digital Plan - UPI'!AA113</f>
        <v>8</v>
      </c>
      <c r="Z151" s="274">
        <f>'Digital Plan - UPI'!AB113</f>
        <v>770702</v>
      </c>
      <c r="AA151" s="275">
        <f>'Digital Plan - UPI'!AC113</f>
        <v>0.53681539999999994</v>
      </c>
      <c r="AB151" s="259"/>
      <c r="AC151" s="266">
        <f t="shared" si="47"/>
        <v>124117.41072324</v>
      </c>
      <c r="AD151" s="266">
        <f t="shared" si="47"/>
        <v>124117.41072324</v>
      </c>
      <c r="AE151" s="266">
        <f t="shared" si="48"/>
        <v>93088.058042429999</v>
      </c>
      <c r="AF151" s="266">
        <f t="shared" si="48"/>
        <v>93088.058042429999</v>
      </c>
      <c r="AG151" s="266">
        <f t="shared" si="49"/>
        <v>62058.705361619999</v>
      </c>
      <c r="AH151" s="266">
        <f t="shared" si="49"/>
        <v>62058.705361619999</v>
      </c>
      <c r="AI151" s="266">
        <f t="shared" si="50"/>
        <v>31029.35268081</v>
      </c>
      <c r="AJ151" s="266">
        <f t="shared" si="50"/>
        <v>31029.35268081</v>
      </c>
    </row>
    <row r="152" spans="1:36" x14ac:dyDescent="0.35">
      <c r="A152" s="321" t="str">
        <f>'Digital Plan - UPI'!B114</f>
        <v>Pune</v>
      </c>
      <c r="B152" s="293" t="str">
        <f>'Digital Plan - UPI'!C114</f>
        <v>Core</v>
      </c>
      <c r="C152" s="310" t="str">
        <f>'Digital Plan - UPI'!D114</f>
        <v>Dailyhunt</v>
      </c>
      <c r="D152" s="311" t="str">
        <f>'Digital Plan - UPI'!E114</f>
        <v>Static</v>
      </c>
      <c r="E152" s="408" t="str">
        <f>'Digital Plan - UPI'!F114</f>
        <v>News</v>
      </c>
      <c r="F152" s="404" t="str">
        <f>'Digital Plan - UPI'!G114</f>
        <v xml:space="preserve">Mobile </v>
      </c>
      <c r="G152" s="310" t="str">
        <f>'Digital Plan - UPI'!H114</f>
        <v>ROS</v>
      </c>
      <c r="H152" s="263" t="str">
        <f>'Digital Plan - UPI'!I114</f>
        <v>Page Insert - Innovation</v>
      </c>
      <c r="I152" s="309" t="str">
        <f>'Digital Plan - UPI'!J114</f>
        <v>Reff : Targeting Sheet</v>
      </c>
      <c r="J152" s="263" t="str">
        <f>'Digital Plan - UPI'!K114</f>
        <v>CPM</v>
      </c>
      <c r="K152" s="266">
        <f>'Digital Plan - UPI'!L114</f>
        <v>21</v>
      </c>
      <c r="L152" s="267">
        <f>'Digital Plan - UPI'!M114</f>
        <v>45460</v>
      </c>
      <c r="M152" s="267">
        <f>'Digital Plan - UPI'!N114</f>
        <v>45480</v>
      </c>
      <c r="N152" s="266">
        <f>'Digital Plan - UPI'!O114</f>
        <v>598557.34133038798</v>
      </c>
      <c r="O152" s="268" t="str">
        <f>'Digital Plan - UPI'!P114</f>
        <v>-</v>
      </c>
      <c r="P152" s="312">
        <f>'Digital Plan - UPI'!Q114</f>
        <v>0.01</v>
      </c>
      <c r="Q152" s="266">
        <f>'Digital Plan - UPI'!R114</f>
        <v>5985.5734133038795</v>
      </c>
      <c r="R152" s="268" t="str">
        <f>'Digital Plan - UPI'!S114</f>
        <v>-</v>
      </c>
      <c r="S152" s="271" t="str">
        <f>'Digital Plan - UPI'!T114</f>
        <v>-</v>
      </c>
      <c r="T152" s="266">
        <f>'Digital Plan - UPI'!U114</f>
        <v>399038.22755359201</v>
      </c>
      <c r="U152" s="266">
        <f>'Digital Plan - UPI'!V114</f>
        <v>1.5</v>
      </c>
      <c r="V152" s="272">
        <f>'Digital Plan - UPI'!X114</f>
        <v>200</v>
      </c>
      <c r="W152" s="273">
        <f>'Digital Plan - UPI'!Y114</f>
        <v>119711.46826607759</v>
      </c>
      <c r="X152" s="273">
        <f>'Digital Plan - UPI'!Z114</f>
        <v>199.99999999999997</v>
      </c>
      <c r="Y152" s="273">
        <f>'Digital Plan - UPI'!AA114</f>
        <v>20</v>
      </c>
      <c r="Z152" s="274">
        <f>'Digital Plan - UPI'!AB114</f>
        <v>1126278</v>
      </c>
      <c r="AA152" s="275">
        <f>'Digital Plan - UPI'!AC114</f>
        <v>0.35429816400000003</v>
      </c>
      <c r="AB152" s="259"/>
      <c r="AC152" s="266">
        <f t="shared" si="47"/>
        <v>119711.4682660776</v>
      </c>
      <c r="AD152" s="266">
        <f t="shared" si="47"/>
        <v>119711.4682660776</v>
      </c>
      <c r="AE152" s="266">
        <f t="shared" si="48"/>
        <v>89783.601199558194</v>
      </c>
      <c r="AF152" s="266">
        <f t="shared" si="48"/>
        <v>89783.601199558194</v>
      </c>
      <c r="AG152" s="266">
        <f t="shared" si="49"/>
        <v>59855.734133038801</v>
      </c>
      <c r="AH152" s="266">
        <f t="shared" si="49"/>
        <v>59855.734133038801</v>
      </c>
      <c r="AI152" s="266">
        <f t="shared" si="50"/>
        <v>29927.8670665194</v>
      </c>
      <c r="AJ152" s="266">
        <f t="shared" si="50"/>
        <v>29927.8670665194</v>
      </c>
    </row>
    <row r="153" spans="1:36" x14ac:dyDescent="0.35">
      <c r="A153" s="321" t="str">
        <f>'Digital Plan - UPI'!B115</f>
        <v>Pune</v>
      </c>
      <c r="B153" s="293" t="str">
        <f>'Digital Plan - UPI'!C115</f>
        <v>Core</v>
      </c>
      <c r="C153" s="310" t="str">
        <f>'Digital Plan - UPI'!D115</f>
        <v>UBER</v>
      </c>
      <c r="D153" s="263" t="str">
        <f>'Digital Plan - UPI'!E115</f>
        <v>Static</v>
      </c>
      <c r="E153" s="408" t="str">
        <f>'Digital Plan - UPI'!F115</f>
        <v>Utility</v>
      </c>
      <c r="F153" s="404" t="str">
        <f>'Digital Plan - UPI'!G115</f>
        <v xml:space="preserve">Mobile </v>
      </c>
      <c r="G153" s="265" t="str">
        <f>'Digital Plan - UPI'!H115</f>
        <v>ROS</v>
      </c>
      <c r="H153" s="265" t="str">
        <f>'Digital Plan - UPI'!I115</f>
        <v>Journey Ads</v>
      </c>
      <c r="I153" s="309" t="str">
        <f>'Digital Plan - UPI'!J115</f>
        <v>NA</v>
      </c>
      <c r="J153" s="263" t="str">
        <f>'Digital Plan - UPI'!K115</f>
        <v>CPT</v>
      </c>
      <c r="K153" s="266">
        <f>'Digital Plan - UPI'!L115</f>
        <v>21</v>
      </c>
      <c r="L153" s="267">
        <f>'Digital Plan - UPI'!M115</f>
        <v>45460</v>
      </c>
      <c r="M153" s="267">
        <f>'Digital Plan - UPI'!N115</f>
        <v>45480</v>
      </c>
      <c r="N153" s="266">
        <f>'Digital Plan - UPI'!O115</f>
        <v>359743.16</v>
      </c>
      <c r="O153" s="268">
        <f>'Digital Plan - UPI'!P115</f>
        <v>119914.38666666666</v>
      </c>
      <c r="P153" s="269">
        <f>'Digital Plan - UPI'!Q115</f>
        <v>1.4999999999999999E-2</v>
      </c>
      <c r="Q153" s="266">
        <f>'Digital Plan - UPI'!R115</f>
        <v>5396.1473999999998</v>
      </c>
      <c r="R153" s="268" t="str">
        <f>'Digital Plan - UPI'!S115</f>
        <v>-</v>
      </c>
      <c r="S153" s="271" t="str">
        <f>'Digital Plan - UPI'!T115</f>
        <v>-</v>
      </c>
      <c r="T153" s="266">
        <f>'Digital Plan - UPI'!U115</f>
        <v>119914.38666666666</v>
      </c>
      <c r="U153" s="266">
        <f>'Digital Plan - UPI'!V115</f>
        <v>3</v>
      </c>
      <c r="V153" s="272">
        <f>'Digital Plan - UPI'!X115</f>
        <v>1.5</v>
      </c>
      <c r="W153" s="273">
        <f>'Digital Plan - UPI'!Y115</f>
        <v>179871.58</v>
      </c>
      <c r="X153" s="273">
        <f>'Digital Plan - UPI'!Z115</f>
        <v>500</v>
      </c>
      <c r="Y153" s="273">
        <f>'Digital Plan - UPI'!AA115</f>
        <v>33.333333333333329</v>
      </c>
      <c r="Z153" s="274">
        <f>'Digital Plan - UPI'!AB115</f>
        <v>1284797</v>
      </c>
      <c r="AA153" s="275">
        <f>'Digital Plan - UPI'!AC115</f>
        <v>9.3333333333333324E-2</v>
      </c>
      <c r="AB153" s="259"/>
      <c r="AC153" s="266">
        <f t="shared" si="47"/>
        <v>71948.631999999998</v>
      </c>
      <c r="AD153" s="266">
        <f t="shared" si="47"/>
        <v>71948.631999999998</v>
      </c>
      <c r="AE153" s="266">
        <f t="shared" si="48"/>
        <v>53961.473999999995</v>
      </c>
      <c r="AF153" s="266">
        <f t="shared" si="48"/>
        <v>53961.473999999995</v>
      </c>
      <c r="AG153" s="266">
        <f t="shared" si="49"/>
        <v>35974.315999999999</v>
      </c>
      <c r="AH153" s="266">
        <f t="shared" si="49"/>
        <v>35974.315999999999</v>
      </c>
      <c r="AI153" s="266">
        <f t="shared" si="50"/>
        <v>17987.157999999999</v>
      </c>
      <c r="AJ153" s="266">
        <f t="shared" si="50"/>
        <v>17987.157999999999</v>
      </c>
    </row>
    <row r="154" spans="1:36" x14ac:dyDescent="0.35">
      <c r="A154" s="321" t="str">
        <f>'Digital Plan - UPI'!B116</f>
        <v>Pune</v>
      </c>
      <c r="B154" s="293" t="str">
        <f>'Digital Plan - UPI'!C116</f>
        <v>Core</v>
      </c>
      <c r="C154" s="310" t="str">
        <f>'Digital Plan - UPI'!D116</f>
        <v>Mcanvas</v>
      </c>
      <c r="D154" s="263" t="str">
        <f>'Digital Plan - UPI'!E116</f>
        <v>Static</v>
      </c>
      <c r="E154" s="408" t="str">
        <f>'Digital Plan - UPI'!F116</f>
        <v xml:space="preserve">Network </v>
      </c>
      <c r="F154" s="404" t="str">
        <f>'Digital Plan - UPI'!G116</f>
        <v xml:space="preserve">Mobile </v>
      </c>
      <c r="G154" s="265" t="str">
        <f>'Digital Plan - UPI'!H116</f>
        <v>ROS</v>
      </c>
      <c r="H154" s="265" t="str">
        <f>'Digital Plan - UPI'!I116</f>
        <v xml:space="preserve">Single Screen Interstitial </v>
      </c>
      <c r="I154" s="309" t="str">
        <f>'Digital Plan - UPI'!J116</f>
        <v>Reff : Targeting Sheet</v>
      </c>
      <c r="J154" s="263" t="str">
        <f>'Digital Plan - UPI'!K116</f>
        <v>CPC</v>
      </c>
      <c r="K154" s="266">
        <f>'Digital Plan - UPI'!L116</f>
        <v>21</v>
      </c>
      <c r="L154" s="267">
        <f>'Digital Plan - UPI'!M116</f>
        <v>45460</v>
      </c>
      <c r="M154" s="267">
        <f>'Digital Plan - UPI'!N116</f>
        <v>45480</v>
      </c>
      <c r="N154" s="266">
        <f>'Digital Plan - UPI'!O116</f>
        <v>5990988.6996959997</v>
      </c>
      <c r="O154" s="268" t="str">
        <f>'Digital Plan - UPI'!P116</f>
        <v>-</v>
      </c>
      <c r="P154" s="269">
        <f>'Digital Plan - UPI'!Q116</f>
        <v>0.02</v>
      </c>
      <c r="Q154" s="266">
        <f>'Digital Plan - UPI'!R116</f>
        <v>119819.77399392</v>
      </c>
      <c r="R154" s="268" t="str">
        <f>'Digital Plan - UPI'!S116</f>
        <v>-</v>
      </c>
      <c r="S154" s="271" t="str">
        <f>'Digital Plan - UPI'!T116</f>
        <v>-</v>
      </c>
      <c r="T154" s="266">
        <f>'Digital Plan - UPI'!U116</f>
        <v>2995494.3498479999</v>
      </c>
      <c r="U154" s="266">
        <f>'Digital Plan - UPI'!V116</f>
        <v>2</v>
      </c>
      <c r="V154" s="272">
        <f>'Digital Plan - UPI'!X116</f>
        <v>4.5</v>
      </c>
      <c r="W154" s="273">
        <f>'Digital Plan - UPI'!Y116</f>
        <v>539188.98297263996</v>
      </c>
      <c r="X154" s="273">
        <f>'Digital Plan - UPI'!Z116</f>
        <v>90</v>
      </c>
      <c r="Y154" s="273">
        <f>'Digital Plan - UPI'!AA116</f>
        <v>4.5</v>
      </c>
      <c r="Z154" s="274">
        <f>'Digital Plan - UPI'!AB116</f>
        <v>3985800</v>
      </c>
      <c r="AA154" s="275">
        <f>'Digital Plan - UPI'!AC116</f>
        <v>0.75154155999999994</v>
      </c>
      <c r="AB154" s="259"/>
      <c r="AC154" s="266">
        <f t="shared" si="47"/>
        <v>1198197.7399392</v>
      </c>
      <c r="AD154" s="266">
        <f t="shared" si="47"/>
        <v>1198197.7399392</v>
      </c>
      <c r="AE154" s="266">
        <f t="shared" si="48"/>
        <v>898648.30495439994</v>
      </c>
      <c r="AF154" s="266">
        <f t="shared" si="48"/>
        <v>898648.30495439994</v>
      </c>
      <c r="AG154" s="266">
        <f t="shared" si="49"/>
        <v>599098.8699696</v>
      </c>
      <c r="AH154" s="266">
        <f t="shared" si="49"/>
        <v>599098.8699696</v>
      </c>
      <c r="AI154" s="266">
        <f t="shared" si="50"/>
        <v>299549.4349848</v>
      </c>
      <c r="AJ154" s="266">
        <f t="shared" si="50"/>
        <v>299549.4349848</v>
      </c>
    </row>
    <row r="155" spans="1:36" x14ac:dyDescent="0.35">
      <c r="A155" s="321" t="str">
        <f>'Digital Plan - UPI'!B117</f>
        <v>Pune</v>
      </c>
      <c r="B155" s="293" t="str">
        <f>'Digital Plan - UPI'!C117</f>
        <v>Core</v>
      </c>
      <c r="C155" s="310" t="str">
        <f>'Digital Plan - UPI'!D117</f>
        <v>Sports Display (Auction Deal)</v>
      </c>
      <c r="D155" s="314" t="str">
        <f>'Digital Plan - UPI'!E117</f>
        <v>Static</v>
      </c>
      <c r="E155" s="408" t="str">
        <f>'Digital Plan - UPI'!F117</f>
        <v>Sports</v>
      </c>
      <c r="F155" s="404" t="str">
        <f>'Digital Plan - UPI'!G117</f>
        <v>Mobile</v>
      </c>
      <c r="G155" s="265" t="str">
        <f>'Digital Plan - UPI'!H117</f>
        <v>ROS</v>
      </c>
      <c r="H155" s="265" t="str">
        <f>'Digital Plan - UPI'!I117</f>
        <v>Standard Banners</v>
      </c>
      <c r="I155" s="308" t="str">
        <f>'Digital Plan - UPI'!J117</f>
        <v>Geo + Demo (MF 18+)</v>
      </c>
      <c r="J155" s="263" t="str">
        <f>'Digital Plan - UPI'!K117</f>
        <v>CPM</v>
      </c>
      <c r="K155" s="266">
        <f>'Digital Plan - UPI'!L117</f>
        <v>13</v>
      </c>
      <c r="L155" s="267">
        <f>'Digital Plan - UPI'!M117</f>
        <v>45460</v>
      </c>
      <c r="M155" s="267">
        <f>'Digital Plan - UPI'!N117</f>
        <v>45472</v>
      </c>
      <c r="N155" s="266">
        <f>'Digital Plan - UPI'!O117</f>
        <v>611540.16</v>
      </c>
      <c r="O155" s="268" t="str">
        <f>'Digital Plan - UPI'!P117</f>
        <v>-</v>
      </c>
      <c r="P155" s="315">
        <f>'Digital Plan - UPI'!Q117</f>
        <v>5.0000000000000001E-3</v>
      </c>
      <c r="Q155" s="266">
        <f>'Digital Plan - UPI'!R117</f>
        <v>3057.7008000000001</v>
      </c>
      <c r="R155" s="268" t="str">
        <f>'Digital Plan - UPI'!S117</f>
        <v>-</v>
      </c>
      <c r="S155" s="271" t="str">
        <f>'Digital Plan - UPI'!T117</f>
        <v>-</v>
      </c>
      <c r="T155" s="266">
        <f>'Digital Plan - UPI'!U117</f>
        <v>305770.08</v>
      </c>
      <c r="U155" s="266">
        <f>'Digital Plan - UPI'!V117</f>
        <v>2</v>
      </c>
      <c r="V155" s="272">
        <f>'Digital Plan - UPI'!X117</f>
        <v>105</v>
      </c>
      <c r="W155" s="273">
        <f>'Digital Plan - UPI'!Y117</f>
        <v>64211.716800000002</v>
      </c>
      <c r="X155" s="273">
        <f>'Digital Plan - UPI'!Z117</f>
        <v>105</v>
      </c>
      <c r="Y155" s="273">
        <f>'Digital Plan - UPI'!AA117</f>
        <v>21</v>
      </c>
      <c r="Z155" s="274">
        <f>'Digital Plan - UPI'!AB117</f>
        <v>764425.20000000007</v>
      </c>
      <c r="AA155" s="275">
        <f>'Digital Plan - UPI'!AC117</f>
        <v>0.4</v>
      </c>
      <c r="AB155" s="259"/>
      <c r="AC155" s="266"/>
      <c r="AD155" s="266"/>
      <c r="AE155" s="266">
        <f>N155/K155*2</f>
        <v>94083.101538461546</v>
      </c>
      <c r="AF155" s="266">
        <f>N155/K155*2</f>
        <v>94083.101538461546</v>
      </c>
      <c r="AG155" s="266"/>
      <c r="AH155" s="266"/>
      <c r="AI155" s="266">
        <f>N155/K155*2</f>
        <v>94083.101538461546</v>
      </c>
      <c r="AJ155" s="266"/>
    </row>
    <row r="156" spans="1:36" x14ac:dyDescent="0.35">
      <c r="A156" s="321" t="str">
        <f>'Digital Plan - UPI'!B118</f>
        <v>Pune</v>
      </c>
      <c r="B156" s="293" t="str">
        <f>'Digital Plan - UPI'!C118</f>
        <v>Core</v>
      </c>
      <c r="C156" s="311" t="str">
        <f>'Digital Plan - UPI'!D118</f>
        <v>NobrokerHood</v>
      </c>
      <c r="D156" s="263" t="str">
        <f>'Digital Plan - UPI'!E118</f>
        <v>Static</v>
      </c>
      <c r="E156" s="408" t="str">
        <f>'Digital Plan - UPI'!F118</f>
        <v>Community</v>
      </c>
      <c r="F156" s="404" t="str">
        <f>'Digital Plan - UPI'!G118</f>
        <v xml:space="preserve">Mobile </v>
      </c>
      <c r="G156" s="265" t="str">
        <f>'Digital Plan - UPI'!H118</f>
        <v>ROS</v>
      </c>
      <c r="H156" s="265" t="str">
        <f>'Digital Plan - UPI'!I118</f>
        <v>PAC</v>
      </c>
      <c r="I156" s="308" t="str">
        <f>'Digital Plan - UPI'!J118</f>
        <v>Reff : Targeting Sheet</v>
      </c>
      <c r="J156" s="263" t="str">
        <f>'Digital Plan - UPI'!K118</f>
        <v xml:space="preserve">CPM </v>
      </c>
      <c r="K156" s="266">
        <f>'Digital Plan - UPI'!L118</f>
        <v>6</v>
      </c>
      <c r="L156" s="267">
        <f>'Digital Plan - UPI'!M118</f>
        <v>45471</v>
      </c>
      <c r="M156" s="267">
        <f>'Digital Plan - UPI'!N118</f>
        <v>45476</v>
      </c>
      <c r="N156" s="266">
        <f>'Digital Plan - UPI'!O118</f>
        <v>643592.14285714284</v>
      </c>
      <c r="O156" s="268" t="str">
        <f>'Digital Plan - UPI'!P118</f>
        <v>-</v>
      </c>
      <c r="P156" s="315">
        <f>'Digital Plan - UPI'!Q118</f>
        <v>0.01</v>
      </c>
      <c r="Q156" s="266">
        <f>'Digital Plan - UPI'!R118</f>
        <v>6435.9214285714288</v>
      </c>
      <c r="R156" s="268" t="str">
        <f>'Digital Plan - UPI'!S118</f>
        <v>-</v>
      </c>
      <c r="S156" s="271" t="str">
        <f>'Digital Plan - UPI'!T118</f>
        <v>-</v>
      </c>
      <c r="T156" s="266">
        <f>'Digital Plan - UPI'!U118</f>
        <v>128718.42857142857</v>
      </c>
      <c r="U156" s="266">
        <f>'Digital Plan - UPI'!V118</f>
        <v>5</v>
      </c>
      <c r="V156" s="272">
        <f>'Digital Plan - UPI'!X118</f>
        <v>260</v>
      </c>
      <c r="W156" s="273">
        <f>'Digital Plan - UPI'!Y118</f>
        <v>167333.95714285714</v>
      </c>
      <c r="X156" s="273">
        <f>'Digital Plan - UPI'!Z118</f>
        <v>260</v>
      </c>
      <c r="Y156" s="273">
        <f>'Digital Plan - UPI'!AA118</f>
        <v>25.999999999999996</v>
      </c>
      <c r="Z156" s="274">
        <f>'Digital Plan - UPI'!AB118</f>
        <v>350400</v>
      </c>
      <c r="AA156" s="275">
        <f>'Digital Plan - UPI'!AC118</f>
        <v>0.36734711350293542</v>
      </c>
      <c r="AB156" s="259"/>
      <c r="AC156" s="266"/>
      <c r="AD156" s="266">
        <f>N156/K156*2</f>
        <v>214530.71428571429</v>
      </c>
      <c r="AE156" s="266">
        <f>N156/K156*2</f>
        <v>214530.71428571429</v>
      </c>
      <c r="AF156" s="266">
        <f>N156/K156*4</f>
        <v>429061.42857142858</v>
      </c>
      <c r="AG156" s="266"/>
      <c r="AH156" s="266"/>
      <c r="AI156" s="266">
        <f>N156/K156*4</f>
        <v>429061.42857142858</v>
      </c>
      <c r="AJ156" s="266">
        <f>N156/K156*2</f>
        <v>214530.71428571429</v>
      </c>
    </row>
    <row r="157" spans="1:36" x14ac:dyDescent="0.35">
      <c r="A157" s="277" t="str">
        <f>'Digital Plan - UPI'!B119</f>
        <v>Pune</v>
      </c>
      <c r="B157" s="278">
        <f>'Digital Plan - UPI'!C119</f>
        <v>0</v>
      </c>
      <c r="C157" s="279" t="str">
        <f>'Digital Plan - UPI'!D119</f>
        <v>Total</v>
      </c>
      <c r="D157" s="280">
        <f>'Digital Plan - UPI'!E119</f>
        <v>0</v>
      </c>
      <c r="E157" s="405">
        <f>'Digital Plan - UPI'!F119</f>
        <v>0</v>
      </c>
      <c r="F157" s="405">
        <f>'Digital Plan - UPI'!G119</f>
        <v>0</v>
      </c>
      <c r="G157" s="280">
        <f>'Digital Plan - UPI'!H119</f>
        <v>0</v>
      </c>
      <c r="H157" s="281">
        <f>'Digital Plan - UPI'!I119</f>
        <v>0</v>
      </c>
      <c r="I157" s="282">
        <f>'Digital Plan - UPI'!J119</f>
        <v>0</v>
      </c>
      <c r="J157" s="283">
        <f>'Digital Plan - UPI'!K119</f>
        <v>0</v>
      </c>
      <c r="K157" s="284">
        <f>'Digital Plan - UPI'!L119</f>
        <v>0</v>
      </c>
      <c r="L157" s="284">
        <f>'Digital Plan - UPI'!M119</f>
        <v>0</v>
      </c>
      <c r="M157" s="284">
        <f>'Digital Plan - UPI'!N119</f>
        <v>0</v>
      </c>
      <c r="N157" s="284">
        <f>'Digital Plan - UPI'!O119</f>
        <v>24814880.430348359</v>
      </c>
      <c r="O157" s="284">
        <f>'Digital Plan - UPI'!P119</f>
        <v>0</v>
      </c>
      <c r="P157" s="285">
        <f>'Digital Plan - UPI'!Q119</f>
        <v>6.7702764483601593E-3</v>
      </c>
      <c r="Q157" s="284">
        <f>'Digital Plan - UPI'!R119</f>
        <v>168003.60054646092</v>
      </c>
      <c r="R157" s="286">
        <f>'Digital Plan - UPI'!S119</f>
        <v>0</v>
      </c>
      <c r="S157" s="316">
        <f>'Digital Plan - UPI'!T119</f>
        <v>11973962.510247251</v>
      </c>
      <c r="T157" s="284">
        <f>'Digital Plan - UPI'!U119</f>
        <v>3156201.2839346179</v>
      </c>
      <c r="U157" s="284">
        <f>'Digital Plan - UPI'!V119</f>
        <v>7.8622616867493837</v>
      </c>
      <c r="V157" s="287">
        <f>'Digital Plan - UPI'!X119</f>
        <v>0</v>
      </c>
      <c r="W157" s="317">
        <f>'Digital Plan - UPI'!Y119</f>
        <v>2716196.0639560521</v>
      </c>
      <c r="X157" s="288">
        <f>'Digital Plan - UPI'!Z119</f>
        <v>109.4583579227797</v>
      </c>
      <c r="Y157" s="288">
        <f>'Digital Plan - UPI'!AA119</f>
        <v>16.167487215280815</v>
      </c>
      <c r="Z157" s="284">
        <f>'Digital Plan - UPI'!AB119</f>
        <v>4205819.08</v>
      </c>
      <c r="AA157" s="289">
        <f>'Digital Plan - UPI'!AC119</f>
        <v>0.75043676960413086</v>
      </c>
      <c r="AB157" s="259"/>
      <c r="AC157" s="284"/>
      <c r="AD157" s="284"/>
      <c r="AE157" s="284"/>
      <c r="AF157" s="284"/>
      <c r="AG157" s="284"/>
      <c r="AH157" s="284"/>
      <c r="AI157" s="284"/>
      <c r="AJ157" s="284"/>
    </row>
    <row r="158" spans="1:36" x14ac:dyDescent="0.35">
      <c r="A158" s="322" t="e">
        <f>'Digital Plan - UPI'!#REF!</f>
        <v>#REF!</v>
      </c>
      <c r="B158" s="293" t="e">
        <f>'Digital Plan - UPI'!#REF!</f>
        <v>#REF!</v>
      </c>
      <c r="C158" s="294" t="e">
        <f>'Digital Plan - UPI'!#REF!</f>
        <v>#REF!</v>
      </c>
      <c r="D158" s="294" t="e">
        <f>'Digital Plan - UPI'!#REF!</f>
        <v>#REF!</v>
      </c>
      <c r="E158" s="406" t="e">
        <f>'Digital Plan - UPI'!#REF!</f>
        <v>#REF!</v>
      </c>
      <c r="F158" s="406" t="e">
        <f>'Digital Plan - UPI'!#REF!</f>
        <v>#REF!</v>
      </c>
      <c r="G158" s="296" t="e">
        <f>'Digital Plan - UPI'!#REF!</f>
        <v>#REF!</v>
      </c>
      <c r="H158" s="296" t="e">
        <f>'Digital Plan - UPI'!#REF!</f>
        <v>#REF!</v>
      </c>
      <c r="I158" s="297" t="e">
        <f>'Digital Plan - UPI'!#REF!</f>
        <v>#REF!</v>
      </c>
      <c r="J158" s="295" t="e">
        <f>'Digital Plan - UPI'!#REF!</f>
        <v>#REF!</v>
      </c>
      <c r="K158" s="298" t="e">
        <f>'Digital Plan - UPI'!#REF!</f>
        <v>#REF!</v>
      </c>
      <c r="L158" s="299" t="e">
        <f>'Digital Plan - UPI'!#REF!</f>
        <v>#REF!</v>
      </c>
      <c r="M158" s="299" t="e">
        <f>'Digital Plan - UPI'!#REF!</f>
        <v>#REF!</v>
      </c>
      <c r="N158" s="298" t="e">
        <f>'Digital Plan - UPI'!#REF!</f>
        <v>#REF!</v>
      </c>
      <c r="O158" s="300" t="e">
        <f>'Digital Plan - UPI'!#REF!</f>
        <v>#REF!</v>
      </c>
      <c r="P158" s="301" t="e">
        <f>'Digital Plan - UPI'!#REF!</f>
        <v>#REF!</v>
      </c>
      <c r="Q158" s="298" t="e">
        <f>'Digital Plan - UPI'!#REF!</f>
        <v>#REF!</v>
      </c>
      <c r="R158" s="302" t="e">
        <f>'Digital Plan - UPI'!#REF!</f>
        <v>#REF!</v>
      </c>
      <c r="S158" s="303" t="e">
        <f>'Digital Plan - UPI'!#REF!</f>
        <v>#REF!</v>
      </c>
      <c r="T158" s="298" t="e">
        <f>'Digital Plan - UPI'!#REF!</f>
        <v>#REF!</v>
      </c>
      <c r="U158" s="298" t="e">
        <f>'Digital Plan - UPI'!#REF!</f>
        <v>#REF!</v>
      </c>
      <c r="V158" s="304" t="e">
        <f>'Digital Plan - UPI'!#REF!</f>
        <v>#REF!</v>
      </c>
      <c r="W158" s="305" t="e">
        <f>'Digital Plan - UPI'!#REF!</f>
        <v>#REF!</v>
      </c>
      <c r="X158" s="305" t="e">
        <f>'Digital Plan - UPI'!#REF!</f>
        <v>#REF!</v>
      </c>
      <c r="Y158" s="305" t="e">
        <f>'Digital Plan - UPI'!#REF!</f>
        <v>#REF!</v>
      </c>
      <c r="Z158" s="306" t="e">
        <f>'Digital Plan - UPI'!#REF!</f>
        <v>#REF!</v>
      </c>
      <c r="AA158" s="307" t="e">
        <f>'Digital Plan - UPI'!#REF!</f>
        <v>#REF!</v>
      </c>
      <c r="AB158" s="259"/>
      <c r="AC158" s="298" t="e">
        <f>N158/2</f>
        <v>#REF!</v>
      </c>
      <c r="AD158" s="298" t="e">
        <f>N158/2</f>
        <v>#REF!</v>
      </c>
      <c r="AE158" s="298"/>
      <c r="AF158" s="298"/>
      <c r="AG158" s="298"/>
      <c r="AH158" s="298"/>
      <c r="AI158" s="298"/>
      <c r="AJ158" s="298"/>
    </row>
    <row r="159" spans="1:36" x14ac:dyDescent="0.35">
      <c r="A159" s="322" t="e">
        <f>'Digital Plan - UPI'!#REF!</f>
        <v>#REF!</v>
      </c>
      <c r="B159" s="293" t="e">
        <f>'Digital Plan - UPI'!#REF!</f>
        <v>#REF!</v>
      </c>
      <c r="C159" s="295" t="e">
        <f>'Digital Plan - UPI'!#REF!</f>
        <v>#REF!</v>
      </c>
      <c r="D159" s="295" t="e">
        <f>'Digital Plan - UPI'!#REF!</f>
        <v>#REF!</v>
      </c>
      <c r="E159" s="406" t="e">
        <f>'Digital Plan - UPI'!#REF!</f>
        <v>#REF!</v>
      </c>
      <c r="F159" s="407" t="e">
        <f>'Digital Plan - UPI'!#REF!</f>
        <v>#REF!</v>
      </c>
      <c r="G159" s="296" t="e">
        <f>'Digital Plan - UPI'!#REF!</f>
        <v>#REF!</v>
      </c>
      <c r="H159" s="296" t="e">
        <f>'Digital Plan - UPI'!#REF!</f>
        <v>#REF!</v>
      </c>
      <c r="I159" s="297" t="e">
        <f>'Digital Plan - UPI'!#REF!</f>
        <v>#REF!</v>
      </c>
      <c r="J159" s="295" t="e">
        <f>'Digital Plan - UPI'!#REF!</f>
        <v>#REF!</v>
      </c>
      <c r="K159" s="298" t="e">
        <f>'Digital Plan - UPI'!#REF!</f>
        <v>#REF!</v>
      </c>
      <c r="L159" s="299" t="e">
        <f>'Digital Plan - UPI'!#REF!</f>
        <v>#REF!</v>
      </c>
      <c r="M159" s="299" t="e">
        <f>'Digital Plan - UPI'!#REF!</f>
        <v>#REF!</v>
      </c>
      <c r="N159" s="298" t="e">
        <f>'Digital Plan - UPI'!#REF!</f>
        <v>#REF!</v>
      </c>
      <c r="O159" s="300" t="e">
        <f>'Digital Plan - UPI'!#REF!</f>
        <v>#REF!</v>
      </c>
      <c r="P159" s="301" t="e">
        <f>'Digital Plan - UPI'!#REF!</f>
        <v>#REF!</v>
      </c>
      <c r="Q159" s="298" t="e">
        <f>'Digital Plan - UPI'!#REF!</f>
        <v>#REF!</v>
      </c>
      <c r="R159" s="302" t="e">
        <f>'Digital Plan - UPI'!#REF!</f>
        <v>#REF!</v>
      </c>
      <c r="S159" s="303" t="e">
        <f>'Digital Plan - UPI'!#REF!</f>
        <v>#REF!</v>
      </c>
      <c r="T159" s="298" t="e">
        <f>'Digital Plan - UPI'!#REF!</f>
        <v>#REF!</v>
      </c>
      <c r="U159" s="298" t="e">
        <f>'Digital Plan - UPI'!#REF!</f>
        <v>#REF!</v>
      </c>
      <c r="V159" s="304" t="e">
        <f>'Digital Plan - UPI'!#REF!</f>
        <v>#REF!</v>
      </c>
      <c r="W159" s="305" t="e">
        <f>'Digital Plan - UPI'!#REF!</f>
        <v>#REF!</v>
      </c>
      <c r="X159" s="305" t="e">
        <f>'Digital Plan - UPI'!#REF!</f>
        <v>#REF!</v>
      </c>
      <c r="Y159" s="305" t="e">
        <f>'Digital Plan - UPI'!#REF!</f>
        <v>#REF!</v>
      </c>
      <c r="Z159" s="306" t="e">
        <f>'Digital Plan - UPI'!#REF!</f>
        <v>#REF!</v>
      </c>
      <c r="AA159" s="307" t="e">
        <f>'Digital Plan - UPI'!#REF!</f>
        <v>#REF!</v>
      </c>
      <c r="AB159" s="259"/>
      <c r="AC159" s="298" t="e">
        <f>N159/2</f>
        <v>#REF!</v>
      </c>
      <c r="AD159" s="298" t="e">
        <f>N159/2</f>
        <v>#REF!</v>
      </c>
      <c r="AE159" s="298"/>
      <c r="AF159" s="298"/>
      <c r="AG159" s="298"/>
      <c r="AH159" s="298"/>
      <c r="AI159" s="298"/>
      <c r="AJ159" s="298"/>
    </row>
    <row r="160" spans="1:36" x14ac:dyDescent="0.35">
      <c r="A160" s="322" t="str">
        <f>'Digital Plan - UPI'!B120</f>
        <v>Coimbatore</v>
      </c>
      <c r="B160" s="293" t="str">
        <f>'Digital Plan - UPI'!C120</f>
        <v>Core - CTV</v>
      </c>
      <c r="C160" s="294" t="str">
        <f>'Digital Plan - UPI'!D120</f>
        <v>Connected TV PMP</v>
      </c>
      <c r="D160" s="294" t="str">
        <f>'Digital Plan - UPI'!E120</f>
        <v>Video</v>
      </c>
      <c r="E160" s="406" t="str">
        <f>'Digital Plan - UPI'!F120</f>
        <v xml:space="preserve">Entertainment </v>
      </c>
      <c r="F160" s="406" t="str">
        <f>'Digital Plan - UPI'!G120</f>
        <v>CTV</v>
      </c>
      <c r="G160" s="296" t="str">
        <f>'Digital Plan - UPI'!H120</f>
        <v>Instream</v>
      </c>
      <c r="H160" s="296" t="str">
        <f>'Digital Plan - UPI'!I120</f>
        <v xml:space="preserve">Video-6 Sec </v>
      </c>
      <c r="I160" s="297" t="str">
        <f>'Digital Plan - UPI'!J120</f>
        <v>Reff : Targeting Sheet</v>
      </c>
      <c r="J160" s="295" t="str">
        <f>'Digital Plan - UPI'!K120</f>
        <v>CPM</v>
      </c>
      <c r="K160" s="298">
        <f>'Digital Plan - UPI'!L120</f>
        <v>21</v>
      </c>
      <c r="L160" s="299">
        <f>'Digital Plan - UPI'!M120</f>
        <v>45460</v>
      </c>
      <c r="M160" s="299">
        <f>'Digital Plan - UPI'!N120</f>
        <v>45480</v>
      </c>
      <c r="N160" s="298">
        <f>'Digital Plan - UPI'!O120</f>
        <v>788852.92726056965</v>
      </c>
      <c r="O160" s="300" t="str">
        <f>'Digital Plan - UPI'!P120</f>
        <v>-</v>
      </c>
      <c r="P160" s="301">
        <f>'Digital Plan - UPI'!Q120</f>
        <v>0</v>
      </c>
      <c r="Q160" s="298">
        <f>'Digital Plan - UPI'!R120</f>
        <v>0</v>
      </c>
      <c r="R160" s="302">
        <f>'Digital Plan - UPI'!S120</f>
        <v>0.85</v>
      </c>
      <c r="S160" s="303">
        <f>'Digital Plan - UPI'!T120</f>
        <v>670524.9881714842</v>
      </c>
      <c r="T160" s="298">
        <f>'Digital Plan - UPI'!U120</f>
        <v>193346.30570112</v>
      </c>
      <c r="U160" s="298">
        <f>'Digital Plan - UPI'!V120</f>
        <v>4.08</v>
      </c>
      <c r="V160" s="304">
        <f>'Digital Plan - UPI'!X120</f>
        <v>125</v>
      </c>
      <c r="W160" s="305">
        <f>'Digital Plan - UPI'!Y120</f>
        <v>98606.615907571206</v>
      </c>
      <c r="X160" s="305">
        <f>'Digital Plan - UPI'!Z120</f>
        <v>125</v>
      </c>
      <c r="Y160" s="305">
        <f>'Digital Plan - UPI'!AA120</f>
        <v>0</v>
      </c>
      <c r="Z160" s="306">
        <f>'Digital Plan - UPI'!AB120</f>
        <v>225108</v>
      </c>
      <c r="AA160" s="307">
        <f>'Digital Plan - UPI'!AC120</f>
        <v>0.85890464</v>
      </c>
      <c r="AB160" s="259"/>
      <c r="AC160" s="298"/>
      <c r="AD160" s="298"/>
      <c r="AE160" s="298">
        <f>$N160/3</f>
        <v>262950.97575352323</v>
      </c>
      <c r="AF160" s="298">
        <f t="shared" ref="AF160:AJ165" si="51">$N160/3</f>
        <v>262950.97575352323</v>
      </c>
      <c r="AG160" s="298">
        <f t="shared" si="51"/>
        <v>262950.97575352323</v>
      </c>
      <c r="AH160" s="298"/>
      <c r="AI160" s="298"/>
      <c r="AJ160" s="298"/>
    </row>
    <row r="161" spans="1:36" x14ac:dyDescent="0.35">
      <c r="A161" s="322" t="e">
        <f>'Digital Plan - UPI'!#REF!</f>
        <v>#REF!</v>
      </c>
      <c r="B161" s="293" t="e">
        <f>'Digital Plan - UPI'!#REF!</f>
        <v>#REF!</v>
      </c>
      <c r="C161" s="294" t="e">
        <f>'Digital Plan - UPI'!#REF!</f>
        <v>#REF!</v>
      </c>
      <c r="D161" s="294" t="e">
        <f>'Digital Plan - UPI'!#REF!</f>
        <v>#REF!</v>
      </c>
      <c r="E161" s="406" t="e">
        <f>'Digital Plan - UPI'!#REF!</f>
        <v>#REF!</v>
      </c>
      <c r="F161" s="406" t="e">
        <f>'Digital Plan - UPI'!#REF!</f>
        <v>#REF!</v>
      </c>
      <c r="G161" s="296" t="e">
        <f>'Digital Plan - UPI'!#REF!</f>
        <v>#REF!</v>
      </c>
      <c r="H161" s="296" t="e">
        <f>'Digital Plan - UPI'!#REF!</f>
        <v>#REF!</v>
      </c>
      <c r="I161" s="297" t="e">
        <f>'Digital Plan - UPI'!#REF!</f>
        <v>#REF!</v>
      </c>
      <c r="J161" s="295" t="e">
        <f>'Digital Plan - UPI'!#REF!</f>
        <v>#REF!</v>
      </c>
      <c r="K161" s="298" t="e">
        <f>'Digital Plan - UPI'!#REF!</f>
        <v>#REF!</v>
      </c>
      <c r="L161" s="299" t="e">
        <f>'Digital Plan - UPI'!#REF!</f>
        <v>#REF!</v>
      </c>
      <c r="M161" s="299" t="e">
        <f>'Digital Plan - UPI'!#REF!</f>
        <v>#REF!</v>
      </c>
      <c r="N161" s="298" t="e">
        <f>'Digital Plan - UPI'!#REF!</f>
        <v>#REF!</v>
      </c>
      <c r="O161" s="300" t="e">
        <f>'Digital Plan - UPI'!#REF!</f>
        <v>#REF!</v>
      </c>
      <c r="P161" s="301" t="e">
        <f>'Digital Plan - UPI'!#REF!</f>
        <v>#REF!</v>
      </c>
      <c r="Q161" s="298" t="e">
        <f>'Digital Plan - UPI'!#REF!</f>
        <v>#REF!</v>
      </c>
      <c r="R161" s="302" t="e">
        <f>'Digital Plan - UPI'!#REF!</f>
        <v>#REF!</v>
      </c>
      <c r="S161" s="303" t="e">
        <f>'Digital Plan - UPI'!#REF!</f>
        <v>#REF!</v>
      </c>
      <c r="T161" s="298" t="e">
        <f>'Digital Plan - UPI'!#REF!</f>
        <v>#REF!</v>
      </c>
      <c r="U161" s="298" t="e">
        <f>'Digital Plan - UPI'!#REF!</f>
        <v>#REF!</v>
      </c>
      <c r="V161" s="304" t="e">
        <f>'Digital Plan - UPI'!#REF!</f>
        <v>#REF!</v>
      </c>
      <c r="W161" s="305" t="e">
        <f>'Digital Plan - UPI'!#REF!</f>
        <v>#REF!</v>
      </c>
      <c r="X161" s="305" t="e">
        <f>'Digital Plan - UPI'!#REF!</f>
        <v>#REF!</v>
      </c>
      <c r="Y161" s="305" t="e">
        <f>'Digital Plan - UPI'!#REF!</f>
        <v>#REF!</v>
      </c>
      <c r="Z161" s="306" t="e">
        <f>'Digital Plan - UPI'!#REF!</f>
        <v>#REF!</v>
      </c>
      <c r="AA161" s="307" t="e">
        <f>'Digital Plan - UPI'!#REF!</f>
        <v>#REF!</v>
      </c>
      <c r="AB161" s="259"/>
      <c r="AC161" s="298"/>
      <c r="AD161" s="298"/>
      <c r="AE161" s="298"/>
      <c r="AF161" s="298"/>
      <c r="AG161" s="298"/>
      <c r="AH161" s="298" t="e">
        <f>$N161/3</f>
        <v>#REF!</v>
      </c>
      <c r="AI161" s="298" t="e">
        <f t="shared" si="51"/>
        <v>#REF!</v>
      </c>
      <c r="AJ161" s="298" t="e">
        <f t="shared" si="51"/>
        <v>#REF!</v>
      </c>
    </row>
    <row r="162" spans="1:36" x14ac:dyDescent="0.35">
      <c r="A162" s="322" t="str">
        <f>'Digital Plan - UPI'!B121</f>
        <v>Coimbatore</v>
      </c>
      <c r="B162" s="293" t="str">
        <f>'Digital Plan - UPI'!C121</f>
        <v>Core - CTV</v>
      </c>
      <c r="C162" s="295" t="str">
        <f>'Digital Plan - UPI'!D121</f>
        <v xml:space="preserve">YouTube </v>
      </c>
      <c r="D162" s="295" t="str">
        <f>'Digital Plan - UPI'!E121</f>
        <v>Video</v>
      </c>
      <c r="E162" s="406" t="str">
        <f>'Digital Plan - UPI'!F121</f>
        <v xml:space="preserve">Entertainment </v>
      </c>
      <c r="F162" s="407" t="str">
        <f>'Digital Plan - UPI'!G121</f>
        <v>CTV</v>
      </c>
      <c r="G162" s="296" t="str">
        <f>'Digital Plan - UPI'!H121</f>
        <v>Instream</v>
      </c>
      <c r="H162" s="296" t="str">
        <f>'Digital Plan - UPI'!I121</f>
        <v xml:space="preserve">Bumper 6 secs  </v>
      </c>
      <c r="I162" s="297" t="str">
        <f>'Digital Plan - UPI'!J121</f>
        <v>Reff : Targeting Sheet</v>
      </c>
      <c r="J162" s="295" t="str">
        <f>'Digital Plan - UPI'!K121</f>
        <v>CPM</v>
      </c>
      <c r="K162" s="298">
        <f>'Digital Plan - UPI'!L121</f>
        <v>21</v>
      </c>
      <c r="L162" s="299">
        <f>'Digital Plan - UPI'!M121</f>
        <v>45460</v>
      </c>
      <c r="M162" s="299">
        <f>'Digital Plan - UPI'!N121</f>
        <v>45480</v>
      </c>
      <c r="N162" s="298">
        <f>'Digital Plan - UPI'!O121</f>
        <v>1436576.5720800001</v>
      </c>
      <c r="O162" s="300" t="str">
        <f>'Digital Plan - UPI'!P121</f>
        <v>-</v>
      </c>
      <c r="P162" s="301">
        <f>'Digital Plan - UPI'!Q121</f>
        <v>0</v>
      </c>
      <c r="Q162" s="298">
        <f>'Digital Plan - UPI'!R121</f>
        <v>0</v>
      </c>
      <c r="R162" s="302">
        <f>'Digital Plan - UPI'!S121</f>
        <v>0.8</v>
      </c>
      <c r="S162" s="303">
        <f>'Digital Plan - UPI'!T121</f>
        <v>1149261.2576640001</v>
      </c>
      <c r="T162" s="298">
        <f>'Digital Plan - UPI'!U121</f>
        <v>258842.62560000003</v>
      </c>
      <c r="U162" s="298">
        <f>'Digital Plan - UPI'!V121</f>
        <v>5.55</v>
      </c>
      <c r="V162" s="304">
        <f>'Digital Plan - UPI'!X121</f>
        <v>110</v>
      </c>
      <c r="W162" s="305">
        <f>'Digital Plan - UPI'!Y121</f>
        <v>158023.42292879999</v>
      </c>
      <c r="X162" s="305">
        <f>'Digital Plan - UPI'!Z121</f>
        <v>109.99999999999999</v>
      </c>
      <c r="Y162" s="305">
        <f>'Digital Plan - UPI'!AA121</f>
        <v>0</v>
      </c>
      <c r="Z162" s="306">
        <f>'Digital Plan - UPI'!AB121</f>
        <v>288600</v>
      </c>
      <c r="AA162" s="307">
        <f>'Digital Plan - UPI'!AC121</f>
        <v>0.89689059459459475</v>
      </c>
      <c r="AB162" s="259"/>
      <c r="AC162" s="298"/>
      <c r="AD162" s="298"/>
      <c r="AE162" s="298">
        <f>$N162/3</f>
        <v>478858.85736000002</v>
      </c>
      <c r="AF162" s="298">
        <f t="shared" si="51"/>
        <v>478858.85736000002</v>
      </c>
      <c r="AG162" s="298">
        <f t="shared" si="51"/>
        <v>478858.85736000002</v>
      </c>
      <c r="AH162" s="298"/>
      <c r="AI162" s="298"/>
      <c r="AJ162" s="298"/>
    </row>
    <row r="163" spans="1:36" x14ac:dyDescent="0.35">
      <c r="A163" s="322" t="e">
        <f>'Digital Plan - UPI'!#REF!</f>
        <v>#REF!</v>
      </c>
      <c r="B163" s="293" t="e">
        <f>'Digital Plan - UPI'!#REF!</f>
        <v>#REF!</v>
      </c>
      <c r="C163" s="295" t="e">
        <f>'Digital Plan - UPI'!#REF!</f>
        <v>#REF!</v>
      </c>
      <c r="D163" s="295" t="e">
        <f>'Digital Plan - UPI'!#REF!</f>
        <v>#REF!</v>
      </c>
      <c r="E163" s="406" t="e">
        <f>'Digital Plan - UPI'!#REF!</f>
        <v>#REF!</v>
      </c>
      <c r="F163" s="407" t="e">
        <f>'Digital Plan - UPI'!#REF!</f>
        <v>#REF!</v>
      </c>
      <c r="G163" s="296" t="e">
        <f>'Digital Plan - UPI'!#REF!</f>
        <v>#REF!</v>
      </c>
      <c r="H163" s="296" t="e">
        <f>'Digital Plan - UPI'!#REF!</f>
        <v>#REF!</v>
      </c>
      <c r="I163" s="297" t="e">
        <f>'Digital Plan - UPI'!#REF!</f>
        <v>#REF!</v>
      </c>
      <c r="J163" s="295" t="e">
        <f>'Digital Plan - UPI'!#REF!</f>
        <v>#REF!</v>
      </c>
      <c r="K163" s="298" t="e">
        <f>'Digital Plan - UPI'!#REF!</f>
        <v>#REF!</v>
      </c>
      <c r="L163" s="299" t="e">
        <f>'Digital Plan - UPI'!#REF!</f>
        <v>#REF!</v>
      </c>
      <c r="M163" s="299" t="e">
        <f>'Digital Plan - UPI'!#REF!</f>
        <v>#REF!</v>
      </c>
      <c r="N163" s="298" t="e">
        <f>'Digital Plan - UPI'!#REF!</f>
        <v>#REF!</v>
      </c>
      <c r="O163" s="300" t="e">
        <f>'Digital Plan - UPI'!#REF!</f>
        <v>#REF!</v>
      </c>
      <c r="P163" s="301" t="e">
        <f>'Digital Plan - UPI'!#REF!</f>
        <v>#REF!</v>
      </c>
      <c r="Q163" s="298" t="e">
        <f>'Digital Plan - UPI'!#REF!</f>
        <v>#REF!</v>
      </c>
      <c r="R163" s="302" t="e">
        <f>'Digital Plan - UPI'!#REF!</f>
        <v>#REF!</v>
      </c>
      <c r="S163" s="303" t="e">
        <f>'Digital Plan - UPI'!#REF!</f>
        <v>#REF!</v>
      </c>
      <c r="T163" s="298" t="e">
        <f>'Digital Plan - UPI'!#REF!</f>
        <v>#REF!</v>
      </c>
      <c r="U163" s="298" t="e">
        <f>'Digital Plan - UPI'!#REF!</f>
        <v>#REF!</v>
      </c>
      <c r="V163" s="304" t="e">
        <f>'Digital Plan - UPI'!#REF!</f>
        <v>#REF!</v>
      </c>
      <c r="W163" s="305" t="e">
        <f>'Digital Plan - UPI'!#REF!</f>
        <v>#REF!</v>
      </c>
      <c r="X163" s="305" t="e">
        <f>'Digital Plan - UPI'!#REF!</f>
        <v>#REF!</v>
      </c>
      <c r="Y163" s="305" t="e">
        <f>'Digital Plan - UPI'!#REF!</f>
        <v>#REF!</v>
      </c>
      <c r="Z163" s="306" t="e">
        <f>'Digital Plan - UPI'!#REF!</f>
        <v>#REF!</v>
      </c>
      <c r="AA163" s="307" t="e">
        <f>'Digital Plan - UPI'!#REF!</f>
        <v>#REF!</v>
      </c>
      <c r="AB163" s="259"/>
      <c r="AC163" s="298"/>
      <c r="AD163" s="298"/>
      <c r="AE163" s="298"/>
      <c r="AF163" s="298"/>
      <c r="AG163" s="298"/>
      <c r="AH163" s="298" t="e">
        <f>$N163/3</f>
        <v>#REF!</v>
      </c>
      <c r="AI163" s="298" t="e">
        <f t="shared" si="51"/>
        <v>#REF!</v>
      </c>
      <c r="AJ163" s="298" t="e">
        <f t="shared" si="51"/>
        <v>#REF!</v>
      </c>
    </row>
    <row r="164" spans="1:36" x14ac:dyDescent="0.35">
      <c r="A164" s="322" t="str">
        <f>'Digital Plan - UPI'!B122</f>
        <v>Coimbatore</v>
      </c>
      <c r="B164" s="293" t="str">
        <f>'Digital Plan - UPI'!C122</f>
        <v>Core</v>
      </c>
      <c r="C164" s="264" t="str">
        <f>'Digital Plan - UPI'!D122</f>
        <v>Meta</v>
      </c>
      <c r="D164" s="264" t="str">
        <f>'Digital Plan - UPI'!E122</f>
        <v>Video</v>
      </c>
      <c r="E164" s="404" t="str">
        <f>'Digital Plan - UPI'!F122</f>
        <v xml:space="preserve">Entertainment </v>
      </c>
      <c r="F164" s="404" t="str">
        <f>'Digital Plan - UPI'!G122</f>
        <v xml:space="preserve">Mobile </v>
      </c>
      <c r="G164" s="265" t="str">
        <f>'Digital Plan - UPI'!H122</f>
        <v xml:space="preserve">Instream </v>
      </c>
      <c r="H164" s="265" t="str">
        <f>'Digital Plan - UPI'!I122</f>
        <v>Instream - 6 Sec</v>
      </c>
      <c r="I164" s="308" t="str">
        <f>'Digital Plan - UPI'!J122</f>
        <v>Reff : Targeting Sheet</v>
      </c>
      <c r="J164" s="263" t="str">
        <f>'Digital Plan - UPI'!K122</f>
        <v>CPM</v>
      </c>
      <c r="K164" s="266">
        <f>'Digital Plan - UPI'!L122</f>
        <v>21</v>
      </c>
      <c r="L164" s="267">
        <f>'Digital Plan - UPI'!M122</f>
        <v>45460</v>
      </c>
      <c r="M164" s="267">
        <f>'Digital Plan - UPI'!N122</f>
        <v>45480</v>
      </c>
      <c r="N164" s="266">
        <f>'Digital Plan - UPI'!O122</f>
        <v>249006.60582719999</v>
      </c>
      <c r="O164" s="268" t="str">
        <f>'Digital Plan - UPI'!P122</f>
        <v>-</v>
      </c>
      <c r="P164" s="269">
        <f>'Digital Plan - UPI'!Q122</f>
        <v>1E-3</v>
      </c>
      <c r="Q164" s="266">
        <f>'Digital Plan - UPI'!R122</f>
        <v>249.00660582719999</v>
      </c>
      <c r="R164" s="270">
        <f>'Digital Plan - UPI'!S122</f>
        <v>0.7</v>
      </c>
      <c r="S164" s="271">
        <f>'Digital Plan - UPI'!T122</f>
        <v>174304.62407903999</v>
      </c>
      <c r="T164" s="266">
        <f>'Digital Plan - UPI'!U122</f>
        <v>249006.60582719999</v>
      </c>
      <c r="U164" s="266">
        <f>'Digital Plan - UPI'!V122</f>
        <v>1</v>
      </c>
      <c r="V164" s="272">
        <f>'Digital Plan - UPI'!X122</f>
        <v>70</v>
      </c>
      <c r="W164" s="273">
        <f>'Digital Plan - UPI'!Y122</f>
        <v>17430.462407904</v>
      </c>
      <c r="X164" s="273">
        <f>'Digital Plan - UPI'!Z122</f>
        <v>70</v>
      </c>
      <c r="Y164" s="273">
        <f>'Digital Plan - UPI'!AA122</f>
        <v>70</v>
      </c>
      <c r="Z164" s="274">
        <f>'Digital Plan - UPI'!AB122</f>
        <v>510244.8</v>
      </c>
      <c r="AA164" s="275">
        <f>'Digital Plan - UPI'!AC122</f>
        <v>0.488014</v>
      </c>
      <c r="AB164" s="259"/>
      <c r="AC164" s="266"/>
      <c r="AD164" s="266"/>
      <c r="AE164" s="266">
        <f>$N164/3</f>
        <v>83002.201942400003</v>
      </c>
      <c r="AF164" s="266">
        <f t="shared" si="51"/>
        <v>83002.201942400003</v>
      </c>
      <c r="AG164" s="266">
        <f t="shared" si="51"/>
        <v>83002.201942400003</v>
      </c>
      <c r="AH164" s="266"/>
      <c r="AI164" s="266"/>
      <c r="AJ164" s="266"/>
    </row>
    <row r="165" spans="1:36" x14ac:dyDescent="0.35">
      <c r="A165" s="322" t="str">
        <f>'Digital Plan - UPI'!B123</f>
        <v>Coimbatore</v>
      </c>
      <c r="B165" s="293" t="str">
        <f>'Digital Plan - UPI'!C123</f>
        <v>Core</v>
      </c>
      <c r="C165" s="264" t="str">
        <f>'Digital Plan - UPI'!D123</f>
        <v xml:space="preserve">YouTube </v>
      </c>
      <c r="D165" s="264" t="str">
        <f>'Digital Plan - UPI'!E123</f>
        <v>Video</v>
      </c>
      <c r="E165" s="404" t="str">
        <f>'Digital Plan - UPI'!F123</f>
        <v xml:space="preserve">Entertainment </v>
      </c>
      <c r="F165" s="404" t="str">
        <f>'Digital Plan - UPI'!G123</f>
        <v xml:space="preserve">Mobile </v>
      </c>
      <c r="G165" s="265" t="str">
        <f>'Digital Plan - UPI'!H123</f>
        <v xml:space="preserve">Instream </v>
      </c>
      <c r="H165" s="265" t="str">
        <f>'Digital Plan - UPI'!I123</f>
        <v xml:space="preserve">Bumper 6 secs  </v>
      </c>
      <c r="I165" s="308" t="str">
        <f>'Digital Plan - UPI'!J123</f>
        <v>Reff : Targeting Sheet</v>
      </c>
      <c r="J165" s="263" t="str">
        <f>'Digital Plan - UPI'!K123</f>
        <v>CPM</v>
      </c>
      <c r="K165" s="266">
        <f>'Digital Plan - UPI'!L123</f>
        <v>21</v>
      </c>
      <c r="L165" s="267">
        <f>'Digital Plan - UPI'!M123</f>
        <v>45460</v>
      </c>
      <c r="M165" s="267">
        <f>'Digital Plan - UPI'!N123</f>
        <v>45480</v>
      </c>
      <c r="N165" s="266">
        <f>'Digital Plan - UPI'!O123</f>
        <v>402804.80354399997</v>
      </c>
      <c r="O165" s="268" t="str">
        <f>'Digital Plan - UPI'!P123</f>
        <v>-</v>
      </c>
      <c r="P165" s="269">
        <f>'Digital Plan - UPI'!Q123</f>
        <v>1E-3</v>
      </c>
      <c r="Q165" s="266">
        <f>'Digital Plan - UPI'!R123</f>
        <v>402.80480354399998</v>
      </c>
      <c r="R165" s="270">
        <f>'Digital Plan - UPI'!S123</f>
        <v>0.8</v>
      </c>
      <c r="S165" s="271">
        <f>'Digital Plan - UPI'!T123</f>
        <v>322243.84283520002</v>
      </c>
      <c r="T165" s="266">
        <f>'Digital Plan - UPI'!U123</f>
        <v>296180.0026058823</v>
      </c>
      <c r="U165" s="266">
        <f>'Digital Plan - UPI'!V123</f>
        <v>1.36</v>
      </c>
      <c r="V165" s="272">
        <f>'Digital Plan - UPI'!X123</f>
        <v>80</v>
      </c>
      <c r="W165" s="273">
        <f>'Digital Plan - UPI'!Y123</f>
        <v>32224.384283519998</v>
      </c>
      <c r="X165" s="273">
        <f>'Digital Plan - UPI'!Z123</f>
        <v>80</v>
      </c>
      <c r="Y165" s="273">
        <f>'Digital Plan - UPI'!AA123</f>
        <v>80</v>
      </c>
      <c r="Z165" s="274">
        <f>'Digital Plan - UPI'!AB123</f>
        <v>600288</v>
      </c>
      <c r="AA165" s="275">
        <f>'Digital Plan - UPI'!AC123</f>
        <v>0.4933965073529411</v>
      </c>
      <c r="AB165" s="259"/>
      <c r="AC165" s="266"/>
      <c r="AD165" s="266"/>
      <c r="AE165" s="266"/>
      <c r="AF165" s="266"/>
      <c r="AG165" s="266"/>
      <c r="AH165" s="266">
        <f>$N165/3</f>
        <v>134268.26784799999</v>
      </c>
      <c r="AI165" s="266">
        <f t="shared" si="51"/>
        <v>134268.26784799999</v>
      </c>
      <c r="AJ165" s="266">
        <f t="shared" si="51"/>
        <v>134268.26784799999</v>
      </c>
    </row>
    <row r="166" spans="1:36" x14ac:dyDescent="0.35">
      <c r="A166" s="322" t="str">
        <f>'Digital Plan - UPI'!B124</f>
        <v>Coimbatore</v>
      </c>
      <c r="B166" s="293" t="str">
        <f>'Digital Plan - UPI'!C124</f>
        <v>Core</v>
      </c>
      <c r="C166" s="263" t="str">
        <f>'Digital Plan - UPI'!D124</f>
        <v xml:space="preserve">DSP </v>
      </c>
      <c r="D166" s="263" t="str">
        <f>'Digital Plan - UPI'!E124</f>
        <v>Static</v>
      </c>
      <c r="E166" s="404" t="str">
        <f>'Digital Plan - UPI'!F124</f>
        <v xml:space="preserve">Network </v>
      </c>
      <c r="F166" s="404" t="str">
        <f>'Digital Plan - UPI'!G124</f>
        <v>Mobile</v>
      </c>
      <c r="G166" s="265" t="str">
        <f>'Digital Plan - UPI'!H124</f>
        <v>ROS</v>
      </c>
      <c r="H166" s="265" t="str">
        <f>'Digital Plan - UPI'!I124</f>
        <v>Large Formats</v>
      </c>
      <c r="I166" s="309" t="str">
        <f>'Digital Plan - UPI'!J124</f>
        <v>Reff : Targeting Sheet</v>
      </c>
      <c r="J166" s="263" t="str">
        <f>'Digital Plan - UPI'!K124</f>
        <v>CPM</v>
      </c>
      <c r="K166" s="266">
        <f>'Digital Plan - UPI'!L124</f>
        <v>21</v>
      </c>
      <c r="L166" s="267">
        <f>'Digital Plan - UPI'!M124</f>
        <v>45460</v>
      </c>
      <c r="M166" s="267">
        <f>'Digital Plan - UPI'!N124</f>
        <v>45480</v>
      </c>
      <c r="N166" s="266">
        <f>'Digital Plan - UPI'!O124</f>
        <v>110590.05881300516</v>
      </c>
      <c r="O166" s="268" t="str">
        <f>'Digital Plan - UPI'!P124</f>
        <v>-</v>
      </c>
      <c r="P166" s="269">
        <f>'Digital Plan - UPI'!Q124</f>
        <v>1.4999999999999999E-2</v>
      </c>
      <c r="Q166" s="266">
        <f>'Digital Plan - UPI'!R124</f>
        <v>1658.8508821950775</v>
      </c>
      <c r="R166" s="268" t="str">
        <f>'Digital Plan - UPI'!S124</f>
        <v>-</v>
      </c>
      <c r="S166" s="271" t="str">
        <f>'Digital Plan - UPI'!T124</f>
        <v>-</v>
      </c>
      <c r="T166" s="266">
        <f>'Digital Plan - UPI'!U124</f>
        <v>130105.95154471196</v>
      </c>
      <c r="U166" s="266">
        <f>'Digital Plan - UPI'!V124</f>
        <v>0.85</v>
      </c>
      <c r="V166" s="272">
        <f>'Digital Plan - UPI'!X124</f>
        <v>105</v>
      </c>
      <c r="W166" s="273">
        <f>'Digital Plan - UPI'!Y124</f>
        <v>11611.956175365542</v>
      </c>
      <c r="X166" s="273">
        <f>'Digital Plan - UPI'!Z124</f>
        <v>105</v>
      </c>
      <c r="Y166" s="273">
        <f>'Digital Plan - UPI'!AA124</f>
        <v>7</v>
      </c>
      <c r="Z166" s="274">
        <f>'Digital Plan - UPI'!AB124</f>
        <v>484732.55999999994</v>
      </c>
      <c r="AA166" s="275">
        <f>'Digital Plan - UPI'!AC124</f>
        <v>0.26840769999999997</v>
      </c>
      <c r="AB166" s="259"/>
      <c r="AC166" s="266">
        <f t="shared" ref="AC166:AD168" si="52">$N166*20%</f>
        <v>22118.011762601032</v>
      </c>
      <c r="AD166" s="266">
        <f t="shared" si="52"/>
        <v>22118.011762601032</v>
      </c>
      <c r="AE166" s="266">
        <f t="shared" ref="AE166:AF168" si="53">$N166*15%</f>
        <v>16588.508821950774</v>
      </c>
      <c r="AF166" s="266">
        <f t="shared" si="53"/>
        <v>16588.508821950774</v>
      </c>
      <c r="AG166" s="266">
        <f t="shared" ref="AG166:AH168" si="54">$N166*10%</f>
        <v>11059.005881300516</v>
      </c>
      <c r="AH166" s="266">
        <f t="shared" si="54"/>
        <v>11059.005881300516</v>
      </c>
      <c r="AI166" s="266">
        <f t="shared" ref="AI166:AJ168" si="55">$N166*5%</f>
        <v>5529.5029406502581</v>
      </c>
      <c r="AJ166" s="266">
        <f t="shared" si="55"/>
        <v>5529.5029406502581</v>
      </c>
    </row>
    <row r="167" spans="1:36" x14ac:dyDescent="0.35">
      <c r="A167" s="322" t="str">
        <f>'Digital Plan - UPI'!B125</f>
        <v>Coimbatore</v>
      </c>
      <c r="B167" s="293" t="str">
        <f>'Digital Plan - UPI'!C125</f>
        <v>Core</v>
      </c>
      <c r="C167" s="310" t="str">
        <f>'Digital Plan - UPI'!D125</f>
        <v>Mediakart</v>
      </c>
      <c r="D167" s="263" t="str">
        <f>'Digital Plan - UPI'!E125</f>
        <v>Static</v>
      </c>
      <c r="E167" s="408" t="str">
        <f>'Digital Plan - UPI'!F125</f>
        <v xml:space="preserve">Network </v>
      </c>
      <c r="F167" s="404" t="str">
        <f>'Digital Plan - UPI'!G125</f>
        <v xml:space="preserve">Mobile </v>
      </c>
      <c r="G167" s="265" t="str">
        <f>'Digital Plan - UPI'!H125</f>
        <v>ROS</v>
      </c>
      <c r="H167" s="265" t="str">
        <f>'Digital Plan - UPI'!I125</f>
        <v>Interstitial Static banner</v>
      </c>
      <c r="I167" s="309" t="str">
        <f>'Digital Plan - UPI'!J125</f>
        <v>Reff : Targeting Sheet</v>
      </c>
      <c r="J167" s="263" t="str">
        <f>'Digital Plan - UPI'!K125</f>
        <v xml:space="preserve">CPM </v>
      </c>
      <c r="K167" s="266">
        <f>'Digital Plan - UPI'!L125</f>
        <v>21</v>
      </c>
      <c r="L167" s="267">
        <f>'Digital Plan - UPI'!M125</f>
        <v>45460</v>
      </c>
      <c r="M167" s="267">
        <f>'Digital Plan - UPI'!N125</f>
        <v>45480</v>
      </c>
      <c r="N167" s="266">
        <f>'Digital Plan - UPI'!O125</f>
        <v>435229.23208632995</v>
      </c>
      <c r="O167" s="268" t="str">
        <f>'Digital Plan - UPI'!P125</f>
        <v>-</v>
      </c>
      <c r="P167" s="269">
        <f>'Digital Plan - UPI'!Q125</f>
        <v>1.4999999999999999E-2</v>
      </c>
      <c r="Q167" s="266">
        <f>'Digital Plan - UPI'!R125</f>
        <v>6528.4384812949493</v>
      </c>
      <c r="R167" s="268" t="str">
        <f>'Digital Plan - UPI'!S125</f>
        <v>-</v>
      </c>
      <c r="S167" s="271" t="str">
        <f>'Digital Plan - UPI'!T125</f>
        <v>-</v>
      </c>
      <c r="T167" s="266">
        <f>'Digital Plan - UPI'!U125</f>
        <v>512034.39068979997</v>
      </c>
      <c r="U167" s="266">
        <f>'Digital Plan - UPI'!V125</f>
        <v>0.85</v>
      </c>
      <c r="V167" s="272">
        <f>'Digital Plan - UPI'!X125</f>
        <v>120</v>
      </c>
      <c r="W167" s="273">
        <f>'Digital Plan - UPI'!Y125</f>
        <v>52227.507850359594</v>
      </c>
      <c r="X167" s="273">
        <f>'Digital Plan - UPI'!Z125</f>
        <v>120</v>
      </c>
      <c r="Y167" s="273">
        <f>'Digital Plan - UPI'!AA125</f>
        <v>8</v>
      </c>
      <c r="Z167" s="274">
        <f>'Digital Plan - UPI'!AB125</f>
        <v>953837</v>
      </c>
      <c r="AA167" s="275">
        <f>'Digital Plan - UPI'!AC125</f>
        <v>0.53681539999999994</v>
      </c>
      <c r="AB167" s="259"/>
      <c r="AC167" s="266">
        <f t="shared" si="52"/>
        <v>87045.846417266002</v>
      </c>
      <c r="AD167" s="266">
        <f t="shared" si="52"/>
        <v>87045.846417266002</v>
      </c>
      <c r="AE167" s="266">
        <f t="shared" si="53"/>
        <v>65284.384812949487</v>
      </c>
      <c r="AF167" s="266">
        <f t="shared" si="53"/>
        <v>65284.384812949487</v>
      </c>
      <c r="AG167" s="266">
        <f t="shared" si="54"/>
        <v>43522.923208633001</v>
      </c>
      <c r="AH167" s="266">
        <f t="shared" si="54"/>
        <v>43522.923208633001</v>
      </c>
      <c r="AI167" s="266">
        <f t="shared" si="55"/>
        <v>21761.461604316501</v>
      </c>
      <c r="AJ167" s="266">
        <f t="shared" si="55"/>
        <v>21761.461604316501</v>
      </c>
    </row>
    <row r="168" spans="1:36" x14ac:dyDescent="0.35">
      <c r="A168" s="322" t="str">
        <f>'Digital Plan - UPI'!B126</f>
        <v>Coimbatore</v>
      </c>
      <c r="B168" s="293" t="str">
        <f>'Digital Plan - UPI'!C126</f>
        <v>Core</v>
      </c>
      <c r="C168" s="310" t="str">
        <f>'Digital Plan - UPI'!D126</f>
        <v>Dailyhunt</v>
      </c>
      <c r="D168" s="311" t="str">
        <f>'Digital Plan - UPI'!E126</f>
        <v>Static</v>
      </c>
      <c r="E168" s="408" t="str">
        <f>'Digital Plan - UPI'!F126</f>
        <v>News</v>
      </c>
      <c r="F168" s="404" t="str">
        <f>'Digital Plan - UPI'!G126</f>
        <v xml:space="preserve">Mobile </v>
      </c>
      <c r="G168" s="310" t="str">
        <f>'Digital Plan - UPI'!H126</f>
        <v>ROS</v>
      </c>
      <c r="H168" s="263" t="str">
        <f>'Digital Plan - UPI'!I126</f>
        <v>Page Insert - Innovation</v>
      </c>
      <c r="I168" s="309" t="str">
        <f>'Digital Plan - UPI'!J126</f>
        <v>Reff : Targeting Sheet</v>
      </c>
      <c r="J168" s="263" t="str">
        <f>'Digital Plan - UPI'!K126</f>
        <v>CPM</v>
      </c>
      <c r="K168" s="266">
        <f>'Digital Plan - UPI'!L126</f>
        <v>21</v>
      </c>
      <c r="L168" s="267">
        <f>'Digital Plan - UPI'!M126</f>
        <v>45460</v>
      </c>
      <c r="M168" s="267">
        <f>'Digital Plan - UPI'!N126</f>
        <v>45480</v>
      </c>
      <c r="N168" s="266">
        <f>'Digital Plan - UPI'!O126</f>
        <v>100829.18304551399</v>
      </c>
      <c r="O168" s="268" t="str">
        <f>'Digital Plan - UPI'!P126</f>
        <v>-</v>
      </c>
      <c r="P168" s="312">
        <f>'Digital Plan - UPI'!Q126</f>
        <v>0.01</v>
      </c>
      <c r="Q168" s="266">
        <f>'Digital Plan - UPI'!R126</f>
        <v>1008.2918304551399</v>
      </c>
      <c r="R168" s="268" t="str">
        <f>'Digital Plan - UPI'!S126</f>
        <v>-</v>
      </c>
      <c r="S168" s="271" t="str">
        <f>'Digital Plan - UPI'!T126</f>
        <v>-</v>
      </c>
      <c r="T168" s="266">
        <f>'Digital Plan - UPI'!U126</f>
        <v>118622.56828883999</v>
      </c>
      <c r="U168" s="266">
        <f>'Digital Plan - UPI'!V126</f>
        <v>0.85</v>
      </c>
      <c r="V168" s="272">
        <f>'Digital Plan - UPI'!X126</f>
        <v>200</v>
      </c>
      <c r="W168" s="273">
        <f>'Digital Plan - UPI'!Y126</f>
        <v>20165.836609102797</v>
      </c>
      <c r="X168" s="273">
        <f>'Digital Plan - UPI'!Z126</f>
        <v>199.99999999999997</v>
      </c>
      <c r="Y168" s="273">
        <f>'Digital Plan - UPI'!AA126</f>
        <v>19.999999999999996</v>
      </c>
      <c r="Z168" s="274">
        <f>'Digital Plan - UPI'!AB126</f>
        <v>401772</v>
      </c>
      <c r="AA168" s="275">
        <f>'Digital Plan - UPI'!AC126</f>
        <v>0.29524846999999999</v>
      </c>
      <c r="AB168" s="259"/>
      <c r="AC168" s="266">
        <f t="shared" si="52"/>
        <v>20165.8366091028</v>
      </c>
      <c r="AD168" s="266">
        <f t="shared" si="52"/>
        <v>20165.8366091028</v>
      </c>
      <c r="AE168" s="266">
        <f t="shared" si="53"/>
        <v>15124.377456827096</v>
      </c>
      <c r="AF168" s="266">
        <f t="shared" si="53"/>
        <v>15124.377456827096</v>
      </c>
      <c r="AG168" s="266">
        <f t="shared" si="54"/>
        <v>10082.9183045514</v>
      </c>
      <c r="AH168" s="266">
        <f t="shared" si="54"/>
        <v>10082.9183045514</v>
      </c>
      <c r="AI168" s="266">
        <f t="shared" si="55"/>
        <v>5041.4591522757</v>
      </c>
      <c r="AJ168" s="266">
        <f t="shared" si="55"/>
        <v>5041.4591522757</v>
      </c>
    </row>
    <row r="169" spans="1:36" x14ac:dyDescent="0.35">
      <c r="A169" s="277" t="str">
        <f>'Digital Plan - UPI'!B127</f>
        <v>Coimbatore</v>
      </c>
      <c r="B169" s="278">
        <f>'Digital Plan - UPI'!C127</f>
        <v>0</v>
      </c>
      <c r="C169" s="279" t="str">
        <f>'Digital Plan - UPI'!D127</f>
        <v>Total</v>
      </c>
      <c r="D169" s="280">
        <f>'Digital Plan - UPI'!E127</f>
        <v>0</v>
      </c>
      <c r="E169" s="405">
        <f>'Digital Plan - UPI'!F127</f>
        <v>0</v>
      </c>
      <c r="F169" s="405">
        <f>'Digital Plan - UPI'!G127</f>
        <v>0</v>
      </c>
      <c r="G169" s="280">
        <f>'Digital Plan - UPI'!H127</f>
        <v>0</v>
      </c>
      <c r="H169" s="281">
        <f>'Digital Plan - UPI'!I127</f>
        <v>0</v>
      </c>
      <c r="I169" s="282">
        <f>'Digital Plan - UPI'!J127</f>
        <v>0</v>
      </c>
      <c r="J169" s="283">
        <f>'Digital Plan - UPI'!K127</f>
        <v>0</v>
      </c>
      <c r="K169" s="284">
        <f>'Digital Plan - UPI'!L127</f>
        <v>0</v>
      </c>
      <c r="L169" s="284">
        <f>'Digital Plan - UPI'!M127</f>
        <v>0</v>
      </c>
      <c r="M169" s="284">
        <f>'Digital Plan - UPI'!N127</f>
        <v>0</v>
      </c>
      <c r="N169" s="284">
        <f>'Digital Plan - UPI'!O127</f>
        <v>3523889.382656619</v>
      </c>
      <c r="O169" s="284">
        <f>'Digital Plan - UPI'!P127</f>
        <v>0</v>
      </c>
      <c r="P169" s="285">
        <f>'Digital Plan - UPI'!Q127</f>
        <v>2.7944670033576745E-3</v>
      </c>
      <c r="Q169" s="284">
        <f>'Digital Plan - UPI'!R127</f>
        <v>9847.392603316368</v>
      </c>
      <c r="R169" s="286">
        <f>'Digital Plan - UPI'!S127</f>
        <v>0</v>
      </c>
      <c r="S169" s="316">
        <f>'Digital Plan - UPI'!T127</f>
        <v>2316334.7127497243</v>
      </c>
      <c r="T169" s="284">
        <f>'Digital Plan - UPI'!U127</f>
        <v>636644.79664657544</v>
      </c>
      <c r="U169" s="284">
        <f>'Digital Plan - UPI'!V127</f>
        <v>5.5350949245452759</v>
      </c>
      <c r="V169" s="287">
        <f>'Digital Plan - UPI'!X127</f>
        <v>0</v>
      </c>
      <c r="W169" s="317">
        <f>'Digital Plan - UPI'!Y127</f>
        <v>390290.18616262311</v>
      </c>
      <c r="X169" s="288">
        <f>'Digital Plan - UPI'!Z127</f>
        <v>110.75551578988211</v>
      </c>
      <c r="Y169" s="288">
        <f>'Digital Plan - UPI'!AA127</f>
        <v>39.633860645627415</v>
      </c>
      <c r="Z169" s="284">
        <f>'Digital Plan - UPI'!AB127</f>
        <v>1004051.9072</v>
      </c>
      <c r="AA169" s="289">
        <f>'Digital Plan - UPI'!AC127</f>
        <v>0.63407558123363073</v>
      </c>
      <c r="AB169" s="259"/>
      <c r="AC169" s="284"/>
      <c r="AD169" s="284"/>
      <c r="AE169" s="284"/>
      <c r="AF169" s="284"/>
      <c r="AG169" s="284"/>
      <c r="AH169" s="284"/>
      <c r="AI169" s="284"/>
      <c r="AJ169" s="284"/>
    </row>
    <row r="170" spans="1:36" x14ac:dyDescent="0.35">
      <c r="A170" s="322" t="e">
        <f>'Digital Plan - UPI'!#REF!</f>
        <v>#REF!</v>
      </c>
      <c r="B170" s="293" t="e">
        <f>'Digital Plan - UPI'!#REF!</f>
        <v>#REF!</v>
      </c>
      <c r="C170" s="294" t="e">
        <f>'Digital Plan - UPI'!#REF!</f>
        <v>#REF!</v>
      </c>
      <c r="D170" s="294" t="e">
        <f>'Digital Plan - UPI'!#REF!</f>
        <v>#REF!</v>
      </c>
      <c r="E170" s="406" t="e">
        <f>'Digital Plan - UPI'!#REF!</f>
        <v>#REF!</v>
      </c>
      <c r="F170" s="406" t="e">
        <f>'Digital Plan - UPI'!#REF!</f>
        <v>#REF!</v>
      </c>
      <c r="G170" s="296" t="e">
        <f>'Digital Plan - UPI'!#REF!</f>
        <v>#REF!</v>
      </c>
      <c r="H170" s="296" t="e">
        <f>'Digital Plan - UPI'!#REF!</f>
        <v>#REF!</v>
      </c>
      <c r="I170" s="297" t="e">
        <f>'Digital Plan - UPI'!#REF!</f>
        <v>#REF!</v>
      </c>
      <c r="J170" s="295" t="e">
        <f>'Digital Plan - UPI'!#REF!</f>
        <v>#REF!</v>
      </c>
      <c r="K170" s="298" t="e">
        <f>'Digital Plan - UPI'!#REF!</f>
        <v>#REF!</v>
      </c>
      <c r="L170" s="299" t="e">
        <f>'Digital Plan - UPI'!#REF!</f>
        <v>#REF!</v>
      </c>
      <c r="M170" s="299" t="e">
        <f>'Digital Plan - UPI'!#REF!</f>
        <v>#REF!</v>
      </c>
      <c r="N170" s="298" t="e">
        <f>'Digital Plan - UPI'!#REF!</f>
        <v>#REF!</v>
      </c>
      <c r="O170" s="300" t="e">
        <f>'Digital Plan - UPI'!#REF!</f>
        <v>#REF!</v>
      </c>
      <c r="P170" s="301" t="e">
        <f>'Digital Plan - UPI'!#REF!</f>
        <v>#REF!</v>
      </c>
      <c r="Q170" s="298" t="e">
        <f>'Digital Plan - UPI'!#REF!</f>
        <v>#REF!</v>
      </c>
      <c r="R170" s="302" t="e">
        <f>'Digital Plan - UPI'!#REF!</f>
        <v>#REF!</v>
      </c>
      <c r="S170" s="303" t="e">
        <f>'Digital Plan - UPI'!#REF!</f>
        <v>#REF!</v>
      </c>
      <c r="T170" s="298" t="e">
        <f>'Digital Plan - UPI'!#REF!</f>
        <v>#REF!</v>
      </c>
      <c r="U170" s="298" t="e">
        <f>'Digital Plan - UPI'!#REF!</f>
        <v>#REF!</v>
      </c>
      <c r="V170" s="304" t="e">
        <f>'Digital Plan - UPI'!#REF!</f>
        <v>#REF!</v>
      </c>
      <c r="W170" s="305" t="e">
        <f>'Digital Plan - UPI'!#REF!</f>
        <v>#REF!</v>
      </c>
      <c r="X170" s="305" t="e">
        <f>'Digital Plan - UPI'!#REF!</f>
        <v>#REF!</v>
      </c>
      <c r="Y170" s="305" t="e">
        <f>'Digital Plan - UPI'!#REF!</f>
        <v>#REF!</v>
      </c>
      <c r="Z170" s="306" t="e">
        <f>'Digital Plan - UPI'!#REF!</f>
        <v>#REF!</v>
      </c>
      <c r="AA170" s="307" t="e">
        <f>'Digital Plan - UPI'!#REF!</f>
        <v>#REF!</v>
      </c>
      <c r="AB170" s="259"/>
      <c r="AC170" s="298" t="e">
        <f>N170/2</f>
        <v>#REF!</v>
      </c>
      <c r="AD170" s="298" t="e">
        <f>N170/2</f>
        <v>#REF!</v>
      </c>
      <c r="AE170" s="298"/>
      <c r="AF170" s="298"/>
      <c r="AG170" s="298"/>
      <c r="AH170" s="298"/>
      <c r="AI170" s="298"/>
      <c r="AJ170" s="298"/>
    </row>
    <row r="171" spans="1:36" x14ac:dyDescent="0.35">
      <c r="A171" s="322" t="e">
        <f>'Digital Plan - UPI'!#REF!</f>
        <v>#REF!</v>
      </c>
      <c r="B171" s="293" t="e">
        <f>'Digital Plan - UPI'!#REF!</f>
        <v>#REF!</v>
      </c>
      <c r="C171" s="295" t="e">
        <f>'Digital Plan - UPI'!#REF!</f>
        <v>#REF!</v>
      </c>
      <c r="D171" s="295" t="e">
        <f>'Digital Plan - UPI'!#REF!</f>
        <v>#REF!</v>
      </c>
      <c r="E171" s="406" t="e">
        <f>'Digital Plan - UPI'!#REF!</f>
        <v>#REF!</v>
      </c>
      <c r="F171" s="407" t="e">
        <f>'Digital Plan - UPI'!#REF!</f>
        <v>#REF!</v>
      </c>
      <c r="G171" s="296" t="e">
        <f>'Digital Plan - UPI'!#REF!</f>
        <v>#REF!</v>
      </c>
      <c r="H171" s="296" t="e">
        <f>'Digital Plan - UPI'!#REF!</f>
        <v>#REF!</v>
      </c>
      <c r="I171" s="297" t="e">
        <f>'Digital Plan - UPI'!#REF!</f>
        <v>#REF!</v>
      </c>
      <c r="J171" s="295" t="e">
        <f>'Digital Plan - UPI'!#REF!</f>
        <v>#REF!</v>
      </c>
      <c r="K171" s="298" t="e">
        <f>'Digital Plan - UPI'!#REF!</f>
        <v>#REF!</v>
      </c>
      <c r="L171" s="299" t="e">
        <f>'Digital Plan - UPI'!#REF!</f>
        <v>#REF!</v>
      </c>
      <c r="M171" s="299" t="e">
        <f>'Digital Plan - UPI'!#REF!</f>
        <v>#REF!</v>
      </c>
      <c r="N171" s="298" t="e">
        <f>'Digital Plan - UPI'!#REF!</f>
        <v>#REF!</v>
      </c>
      <c r="O171" s="300" t="e">
        <f>'Digital Plan - UPI'!#REF!</f>
        <v>#REF!</v>
      </c>
      <c r="P171" s="301" t="e">
        <f>'Digital Plan - UPI'!#REF!</f>
        <v>#REF!</v>
      </c>
      <c r="Q171" s="298" t="e">
        <f>'Digital Plan - UPI'!#REF!</f>
        <v>#REF!</v>
      </c>
      <c r="R171" s="302" t="e">
        <f>'Digital Plan - UPI'!#REF!</f>
        <v>#REF!</v>
      </c>
      <c r="S171" s="303" t="e">
        <f>'Digital Plan - UPI'!#REF!</f>
        <v>#REF!</v>
      </c>
      <c r="T171" s="298" t="e">
        <f>'Digital Plan - UPI'!#REF!</f>
        <v>#REF!</v>
      </c>
      <c r="U171" s="298" t="e">
        <f>'Digital Plan - UPI'!#REF!</f>
        <v>#REF!</v>
      </c>
      <c r="V171" s="304" t="e">
        <f>'Digital Plan - UPI'!#REF!</f>
        <v>#REF!</v>
      </c>
      <c r="W171" s="305" t="e">
        <f>'Digital Plan - UPI'!#REF!</f>
        <v>#REF!</v>
      </c>
      <c r="X171" s="305" t="e">
        <f>'Digital Plan - UPI'!#REF!</f>
        <v>#REF!</v>
      </c>
      <c r="Y171" s="305" t="e">
        <f>'Digital Plan - UPI'!#REF!</f>
        <v>#REF!</v>
      </c>
      <c r="Z171" s="306" t="e">
        <f>'Digital Plan - UPI'!#REF!</f>
        <v>#REF!</v>
      </c>
      <c r="AA171" s="307" t="e">
        <f>'Digital Plan - UPI'!#REF!</f>
        <v>#REF!</v>
      </c>
      <c r="AB171" s="259"/>
      <c r="AC171" s="298" t="e">
        <f>N171/2</f>
        <v>#REF!</v>
      </c>
      <c r="AD171" s="298" t="e">
        <f>N171/2</f>
        <v>#REF!</v>
      </c>
      <c r="AE171" s="298"/>
      <c r="AF171" s="298"/>
      <c r="AG171" s="298"/>
      <c r="AH171" s="298"/>
      <c r="AI171" s="298"/>
      <c r="AJ171" s="298"/>
    </row>
    <row r="172" spans="1:36" x14ac:dyDescent="0.35">
      <c r="A172" s="322" t="str">
        <f>'Digital Plan - UPI'!B128</f>
        <v>Jaipur</v>
      </c>
      <c r="B172" s="293" t="str">
        <f>'Digital Plan - UPI'!C128</f>
        <v>Core - CTV</v>
      </c>
      <c r="C172" s="294" t="str">
        <f>'Digital Plan - UPI'!D128</f>
        <v>Connected TV PMP</v>
      </c>
      <c r="D172" s="294" t="str">
        <f>'Digital Plan - UPI'!E128</f>
        <v>Video</v>
      </c>
      <c r="E172" s="406" t="str">
        <f>'Digital Plan - UPI'!F128</f>
        <v xml:space="preserve">Entertainment </v>
      </c>
      <c r="F172" s="406" t="str">
        <f>'Digital Plan - UPI'!G128</f>
        <v>CTV</v>
      </c>
      <c r="G172" s="296" t="str">
        <f>'Digital Plan - UPI'!H128</f>
        <v>Instream</v>
      </c>
      <c r="H172" s="296" t="str">
        <f>'Digital Plan - UPI'!I128</f>
        <v xml:space="preserve">Video-6 Sec </v>
      </c>
      <c r="I172" s="297" t="str">
        <f>'Digital Plan - UPI'!J128</f>
        <v>Reff : Targeting Sheet</v>
      </c>
      <c r="J172" s="295" t="str">
        <f>'Digital Plan - UPI'!K128</f>
        <v>CPM</v>
      </c>
      <c r="K172" s="298">
        <f>'Digital Plan - UPI'!L128</f>
        <v>21</v>
      </c>
      <c r="L172" s="299">
        <f>'Digital Plan - UPI'!M128</f>
        <v>45460</v>
      </c>
      <c r="M172" s="299">
        <f>'Digital Plan - UPI'!N128</f>
        <v>45480</v>
      </c>
      <c r="N172" s="298">
        <f>'Digital Plan - UPI'!O128</f>
        <v>462519.11795443197</v>
      </c>
      <c r="O172" s="300" t="str">
        <f>'Digital Plan - UPI'!P128</f>
        <v>-</v>
      </c>
      <c r="P172" s="301">
        <f>'Digital Plan - UPI'!Q128</f>
        <v>0</v>
      </c>
      <c r="Q172" s="298">
        <f>'Digital Plan - UPI'!R128</f>
        <v>0</v>
      </c>
      <c r="R172" s="302">
        <f>'Digital Plan - UPI'!S128</f>
        <v>0.85</v>
      </c>
      <c r="S172" s="303">
        <f>'Digital Plan - UPI'!T128</f>
        <v>393141.25026126718</v>
      </c>
      <c r="T172" s="298">
        <f>'Digital Plan - UPI'!U128</f>
        <v>113362.5289104</v>
      </c>
      <c r="U172" s="298">
        <f>'Digital Plan - UPI'!V128</f>
        <v>4.08</v>
      </c>
      <c r="V172" s="304">
        <f>'Digital Plan - UPI'!X128</f>
        <v>125</v>
      </c>
      <c r="W172" s="305">
        <f>'Digital Plan - UPI'!Y128</f>
        <v>57814.889744303997</v>
      </c>
      <c r="X172" s="305">
        <f>'Digital Plan - UPI'!Z128</f>
        <v>125</v>
      </c>
      <c r="Y172" s="305">
        <f>'Digital Plan - UPI'!AA128</f>
        <v>0</v>
      </c>
      <c r="Z172" s="306">
        <f>'Digital Plan - UPI'!AB128</f>
        <v>131985</v>
      </c>
      <c r="AA172" s="307">
        <f>'Digital Plan - UPI'!AC128</f>
        <v>0.85890464</v>
      </c>
      <c r="AB172" s="259"/>
      <c r="AC172" s="298"/>
      <c r="AD172" s="298"/>
      <c r="AE172" s="298">
        <f>$N172/3</f>
        <v>154173.039318144</v>
      </c>
      <c r="AF172" s="298">
        <f t="shared" ref="AF172:AJ177" si="56">$N172/3</f>
        <v>154173.039318144</v>
      </c>
      <c r="AG172" s="298">
        <f t="shared" si="56"/>
        <v>154173.039318144</v>
      </c>
      <c r="AH172" s="298"/>
      <c r="AI172" s="298"/>
      <c r="AJ172" s="298"/>
    </row>
    <row r="173" spans="1:36" x14ac:dyDescent="0.35">
      <c r="A173" s="322" t="e">
        <f>'Digital Plan - UPI'!#REF!</f>
        <v>#REF!</v>
      </c>
      <c r="B173" s="293" t="e">
        <f>'Digital Plan - UPI'!#REF!</f>
        <v>#REF!</v>
      </c>
      <c r="C173" s="294" t="e">
        <f>'Digital Plan - UPI'!#REF!</f>
        <v>#REF!</v>
      </c>
      <c r="D173" s="294" t="e">
        <f>'Digital Plan - UPI'!#REF!</f>
        <v>#REF!</v>
      </c>
      <c r="E173" s="406" t="e">
        <f>'Digital Plan - UPI'!#REF!</f>
        <v>#REF!</v>
      </c>
      <c r="F173" s="406" t="e">
        <f>'Digital Plan - UPI'!#REF!</f>
        <v>#REF!</v>
      </c>
      <c r="G173" s="296" t="e">
        <f>'Digital Plan - UPI'!#REF!</f>
        <v>#REF!</v>
      </c>
      <c r="H173" s="296" t="e">
        <f>'Digital Plan - UPI'!#REF!</f>
        <v>#REF!</v>
      </c>
      <c r="I173" s="297" t="e">
        <f>'Digital Plan - UPI'!#REF!</f>
        <v>#REF!</v>
      </c>
      <c r="J173" s="295" t="e">
        <f>'Digital Plan - UPI'!#REF!</f>
        <v>#REF!</v>
      </c>
      <c r="K173" s="298" t="e">
        <f>'Digital Plan - UPI'!#REF!</f>
        <v>#REF!</v>
      </c>
      <c r="L173" s="299" t="e">
        <f>'Digital Plan - UPI'!#REF!</f>
        <v>#REF!</v>
      </c>
      <c r="M173" s="299" t="e">
        <f>'Digital Plan - UPI'!#REF!</f>
        <v>#REF!</v>
      </c>
      <c r="N173" s="298" t="e">
        <f>'Digital Plan - UPI'!#REF!</f>
        <v>#REF!</v>
      </c>
      <c r="O173" s="300" t="e">
        <f>'Digital Plan - UPI'!#REF!</f>
        <v>#REF!</v>
      </c>
      <c r="P173" s="301" t="e">
        <f>'Digital Plan - UPI'!#REF!</f>
        <v>#REF!</v>
      </c>
      <c r="Q173" s="298" t="e">
        <f>'Digital Plan - UPI'!#REF!</f>
        <v>#REF!</v>
      </c>
      <c r="R173" s="302" t="e">
        <f>'Digital Plan - UPI'!#REF!</f>
        <v>#REF!</v>
      </c>
      <c r="S173" s="303" t="e">
        <f>'Digital Plan - UPI'!#REF!</f>
        <v>#REF!</v>
      </c>
      <c r="T173" s="298" t="e">
        <f>'Digital Plan - UPI'!#REF!</f>
        <v>#REF!</v>
      </c>
      <c r="U173" s="298" t="e">
        <f>'Digital Plan - UPI'!#REF!</f>
        <v>#REF!</v>
      </c>
      <c r="V173" s="304" t="e">
        <f>'Digital Plan - UPI'!#REF!</f>
        <v>#REF!</v>
      </c>
      <c r="W173" s="305" t="e">
        <f>'Digital Plan - UPI'!#REF!</f>
        <v>#REF!</v>
      </c>
      <c r="X173" s="305" t="e">
        <f>'Digital Plan - UPI'!#REF!</f>
        <v>#REF!</v>
      </c>
      <c r="Y173" s="305" t="e">
        <f>'Digital Plan - UPI'!#REF!</f>
        <v>#REF!</v>
      </c>
      <c r="Z173" s="306" t="e">
        <f>'Digital Plan - UPI'!#REF!</f>
        <v>#REF!</v>
      </c>
      <c r="AA173" s="307" t="e">
        <f>'Digital Plan - UPI'!#REF!</f>
        <v>#REF!</v>
      </c>
      <c r="AB173" s="259"/>
      <c r="AC173" s="298"/>
      <c r="AD173" s="298"/>
      <c r="AE173" s="298"/>
      <c r="AF173" s="298"/>
      <c r="AG173" s="298"/>
      <c r="AH173" s="298" t="e">
        <f>$N173/3</f>
        <v>#REF!</v>
      </c>
      <c r="AI173" s="298" t="e">
        <f t="shared" si="56"/>
        <v>#REF!</v>
      </c>
      <c r="AJ173" s="298" t="e">
        <f t="shared" si="56"/>
        <v>#REF!</v>
      </c>
    </row>
    <row r="174" spans="1:36" x14ac:dyDescent="0.35">
      <c r="A174" s="322" t="str">
        <f>'Digital Plan - UPI'!B129</f>
        <v>Jaipur</v>
      </c>
      <c r="B174" s="293" t="str">
        <f>'Digital Plan - UPI'!C129</f>
        <v>Core - CTV</v>
      </c>
      <c r="C174" s="295" t="str">
        <f>'Digital Plan - UPI'!D129</f>
        <v xml:space="preserve">YouTube </v>
      </c>
      <c r="D174" s="295" t="str">
        <f>'Digital Plan - UPI'!E129</f>
        <v>Video</v>
      </c>
      <c r="E174" s="406" t="str">
        <f>'Digital Plan - UPI'!F129</f>
        <v xml:space="preserve">Entertainment </v>
      </c>
      <c r="F174" s="407" t="str">
        <f>'Digital Plan - UPI'!G129</f>
        <v>CTV</v>
      </c>
      <c r="G174" s="296" t="str">
        <f>'Digital Plan - UPI'!H129</f>
        <v>Instream</v>
      </c>
      <c r="H174" s="296" t="str">
        <f>'Digital Plan - UPI'!I129</f>
        <v xml:space="preserve">Bumper 6 secs  </v>
      </c>
      <c r="I174" s="297" t="str">
        <f>'Digital Plan - UPI'!J129</f>
        <v>Reff : Targeting Sheet</v>
      </c>
      <c r="J174" s="295" t="str">
        <f>'Digital Plan - UPI'!K129</f>
        <v>CPM</v>
      </c>
      <c r="K174" s="298">
        <f>'Digital Plan - UPI'!L129</f>
        <v>21</v>
      </c>
      <c r="L174" s="299">
        <f>'Digital Plan - UPI'!M129</f>
        <v>45460</v>
      </c>
      <c r="M174" s="299">
        <f>'Digital Plan - UPI'!N129</f>
        <v>45480</v>
      </c>
      <c r="N174" s="298">
        <f>'Digital Plan - UPI'!O129</f>
        <v>3033386.6848920002</v>
      </c>
      <c r="O174" s="300" t="str">
        <f>'Digital Plan - UPI'!P129</f>
        <v>-</v>
      </c>
      <c r="P174" s="301">
        <f>'Digital Plan - UPI'!Q129</f>
        <v>0</v>
      </c>
      <c r="Q174" s="298">
        <f>'Digital Plan - UPI'!R129</f>
        <v>0</v>
      </c>
      <c r="R174" s="302">
        <f>'Digital Plan - UPI'!S129</f>
        <v>0.8</v>
      </c>
      <c r="S174" s="303">
        <f>'Digital Plan - UPI'!T129</f>
        <v>2426709.3479136</v>
      </c>
      <c r="T174" s="298">
        <f>'Digital Plan - UPI'!U129</f>
        <v>546556.15944000008</v>
      </c>
      <c r="U174" s="298">
        <f>'Digital Plan - UPI'!V129</f>
        <v>5.55</v>
      </c>
      <c r="V174" s="304">
        <f>'Digital Plan - UPI'!X129</f>
        <v>110</v>
      </c>
      <c r="W174" s="305">
        <f>'Digital Plan - UPI'!Y129</f>
        <v>333672.53533812001</v>
      </c>
      <c r="X174" s="305">
        <f>'Digital Plan - UPI'!Z129</f>
        <v>110</v>
      </c>
      <c r="Y174" s="305">
        <f>'Digital Plan - UPI'!AA129</f>
        <v>0</v>
      </c>
      <c r="Z174" s="306">
        <f>'Digital Plan - UPI'!AB129</f>
        <v>609390</v>
      </c>
      <c r="AA174" s="307">
        <f>'Digital Plan - UPI'!AC129</f>
        <v>0.89689059459459475</v>
      </c>
      <c r="AB174" s="259"/>
      <c r="AC174" s="298"/>
      <c r="AD174" s="298"/>
      <c r="AE174" s="298">
        <f>$N174/3</f>
        <v>1011128.8949640001</v>
      </c>
      <c r="AF174" s="298">
        <f t="shared" si="56"/>
        <v>1011128.8949640001</v>
      </c>
      <c r="AG174" s="298">
        <f t="shared" si="56"/>
        <v>1011128.8949640001</v>
      </c>
      <c r="AH174" s="298"/>
      <c r="AI174" s="298"/>
      <c r="AJ174" s="298"/>
    </row>
    <row r="175" spans="1:36" x14ac:dyDescent="0.35">
      <c r="A175" s="322" t="e">
        <f>'Digital Plan - UPI'!#REF!</f>
        <v>#REF!</v>
      </c>
      <c r="B175" s="293" t="e">
        <f>'Digital Plan - UPI'!#REF!</f>
        <v>#REF!</v>
      </c>
      <c r="C175" s="295" t="e">
        <f>'Digital Plan - UPI'!#REF!</f>
        <v>#REF!</v>
      </c>
      <c r="D175" s="295" t="e">
        <f>'Digital Plan - UPI'!#REF!</f>
        <v>#REF!</v>
      </c>
      <c r="E175" s="406" t="e">
        <f>'Digital Plan - UPI'!#REF!</f>
        <v>#REF!</v>
      </c>
      <c r="F175" s="407" t="e">
        <f>'Digital Plan - UPI'!#REF!</f>
        <v>#REF!</v>
      </c>
      <c r="G175" s="296" t="e">
        <f>'Digital Plan - UPI'!#REF!</f>
        <v>#REF!</v>
      </c>
      <c r="H175" s="296" t="e">
        <f>'Digital Plan - UPI'!#REF!</f>
        <v>#REF!</v>
      </c>
      <c r="I175" s="297" t="e">
        <f>'Digital Plan - UPI'!#REF!</f>
        <v>#REF!</v>
      </c>
      <c r="J175" s="295" t="e">
        <f>'Digital Plan - UPI'!#REF!</f>
        <v>#REF!</v>
      </c>
      <c r="K175" s="298" t="e">
        <f>'Digital Plan - UPI'!#REF!</f>
        <v>#REF!</v>
      </c>
      <c r="L175" s="299" t="e">
        <f>'Digital Plan - UPI'!#REF!</f>
        <v>#REF!</v>
      </c>
      <c r="M175" s="299" t="e">
        <f>'Digital Plan - UPI'!#REF!</f>
        <v>#REF!</v>
      </c>
      <c r="N175" s="298" t="e">
        <f>'Digital Plan - UPI'!#REF!</f>
        <v>#REF!</v>
      </c>
      <c r="O175" s="300" t="e">
        <f>'Digital Plan - UPI'!#REF!</f>
        <v>#REF!</v>
      </c>
      <c r="P175" s="301" t="e">
        <f>'Digital Plan - UPI'!#REF!</f>
        <v>#REF!</v>
      </c>
      <c r="Q175" s="298" t="e">
        <f>'Digital Plan - UPI'!#REF!</f>
        <v>#REF!</v>
      </c>
      <c r="R175" s="302" t="e">
        <f>'Digital Plan - UPI'!#REF!</f>
        <v>#REF!</v>
      </c>
      <c r="S175" s="303" t="e">
        <f>'Digital Plan - UPI'!#REF!</f>
        <v>#REF!</v>
      </c>
      <c r="T175" s="298" t="e">
        <f>'Digital Plan - UPI'!#REF!</f>
        <v>#REF!</v>
      </c>
      <c r="U175" s="298" t="e">
        <f>'Digital Plan - UPI'!#REF!</f>
        <v>#REF!</v>
      </c>
      <c r="V175" s="304" t="e">
        <f>'Digital Plan - UPI'!#REF!</f>
        <v>#REF!</v>
      </c>
      <c r="W175" s="305" t="e">
        <f>'Digital Plan - UPI'!#REF!</f>
        <v>#REF!</v>
      </c>
      <c r="X175" s="305" t="e">
        <f>'Digital Plan - UPI'!#REF!</f>
        <v>#REF!</v>
      </c>
      <c r="Y175" s="305" t="e">
        <f>'Digital Plan - UPI'!#REF!</f>
        <v>#REF!</v>
      </c>
      <c r="Z175" s="306" t="e">
        <f>'Digital Plan - UPI'!#REF!</f>
        <v>#REF!</v>
      </c>
      <c r="AA175" s="307" t="e">
        <f>'Digital Plan - UPI'!#REF!</f>
        <v>#REF!</v>
      </c>
      <c r="AB175" s="259"/>
      <c r="AC175" s="298"/>
      <c r="AD175" s="298"/>
      <c r="AE175" s="298"/>
      <c r="AF175" s="298"/>
      <c r="AG175" s="298"/>
      <c r="AH175" s="298" t="e">
        <f>$N175/3</f>
        <v>#REF!</v>
      </c>
      <c r="AI175" s="298" t="e">
        <f t="shared" si="56"/>
        <v>#REF!</v>
      </c>
      <c r="AJ175" s="298" t="e">
        <f t="shared" si="56"/>
        <v>#REF!</v>
      </c>
    </row>
    <row r="176" spans="1:36" x14ac:dyDescent="0.35">
      <c r="A176" s="322" t="str">
        <f>'Digital Plan - UPI'!B130</f>
        <v>Jaipur</v>
      </c>
      <c r="B176" s="293" t="str">
        <f>'Digital Plan - UPI'!C130</f>
        <v>Core</v>
      </c>
      <c r="C176" s="264" t="str">
        <f>'Digital Plan - UPI'!D130</f>
        <v>Meta</v>
      </c>
      <c r="D176" s="264" t="str">
        <f>'Digital Plan - UPI'!E130</f>
        <v>Video</v>
      </c>
      <c r="E176" s="404" t="str">
        <f>'Digital Plan - UPI'!F130</f>
        <v xml:space="preserve">Entertainment </v>
      </c>
      <c r="F176" s="404" t="str">
        <f>'Digital Plan - UPI'!G130</f>
        <v xml:space="preserve">Mobile </v>
      </c>
      <c r="G176" s="265" t="str">
        <f>'Digital Plan - UPI'!H130</f>
        <v xml:space="preserve">Instream </v>
      </c>
      <c r="H176" s="265" t="str">
        <f>'Digital Plan - UPI'!I130</f>
        <v>Instream - 6 Sec</v>
      </c>
      <c r="I176" s="308" t="str">
        <f>'Digital Plan - UPI'!J130</f>
        <v>Reff : Targeting Sheet</v>
      </c>
      <c r="J176" s="263" t="str">
        <f>'Digital Plan - UPI'!K130</f>
        <v>CPM</v>
      </c>
      <c r="K176" s="266">
        <f>'Digital Plan - UPI'!L130</f>
        <v>21</v>
      </c>
      <c r="L176" s="267">
        <f>'Digital Plan - UPI'!M130</f>
        <v>45460</v>
      </c>
      <c r="M176" s="267">
        <f>'Digital Plan - UPI'!N130</f>
        <v>45480</v>
      </c>
      <c r="N176" s="266">
        <f>'Digital Plan - UPI'!O130</f>
        <v>505564.44748199999</v>
      </c>
      <c r="O176" s="268" t="str">
        <f>'Digital Plan - UPI'!P130</f>
        <v>-</v>
      </c>
      <c r="P176" s="269">
        <f>'Digital Plan - UPI'!Q130</f>
        <v>1E-3</v>
      </c>
      <c r="Q176" s="266">
        <f>'Digital Plan - UPI'!R130</f>
        <v>505.56444748199999</v>
      </c>
      <c r="R176" s="270">
        <f>'Digital Plan - UPI'!S130</f>
        <v>0.7</v>
      </c>
      <c r="S176" s="271">
        <f>'Digital Plan - UPI'!T130</f>
        <v>353895.11323739996</v>
      </c>
      <c r="T176" s="266">
        <f>'Digital Plan - UPI'!U130</f>
        <v>505564.44748199999</v>
      </c>
      <c r="U176" s="266">
        <f>'Digital Plan - UPI'!V130</f>
        <v>1</v>
      </c>
      <c r="V176" s="272">
        <f>'Digital Plan - UPI'!X130</f>
        <v>70</v>
      </c>
      <c r="W176" s="273">
        <f>'Digital Plan - UPI'!Y130</f>
        <v>35389.51132374</v>
      </c>
      <c r="X176" s="273">
        <f>'Digital Plan - UPI'!Z130</f>
        <v>70</v>
      </c>
      <c r="Y176" s="273">
        <f>'Digital Plan - UPI'!AA130</f>
        <v>70</v>
      </c>
      <c r="Z176" s="274">
        <f>'Digital Plan - UPI'!AB130</f>
        <v>1035963</v>
      </c>
      <c r="AA176" s="275">
        <f>'Digital Plan - UPI'!AC130</f>
        <v>0.488014</v>
      </c>
      <c r="AB176" s="259"/>
      <c r="AC176" s="266"/>
      <c r="AD176" s="266"/>
      <c r="AE176" s="266">
        <f>$N176/3</f>
        <v>168521.482494</v>
      </c>
      <c r="AF176" s="266">
        <f t="shared" si="56"/>
        <v>168521.482494</v>
      </c>
      <c r="AG176" s="266">
        <f t="shared" si="56"/>
        <v>168521.482494</v>
      </c>
      <c r="AH176" s="266"/>
      <c r="AI176" s="266"/>
      <c r="AJ176" s="266"/>
    </row>
    <row r="177" spans="1:36" x14ac:dyDescent="0.35">
      <c r="A177" s="322" t="str">
        <f>'Digital Plan - UPI'!B131</f>
        <v>Jaipur</v>
      </c>
      <c r="B177" s="293" t="str">
        <f>'Digital Plan - UPI'!C131</f>
        <v>Core</v>
      </c>
      <c r="C177" s="264" t="str">
        <f>'Digital Plan - UPI'!D131</f>
        <v xml:space="preserve">YouTube </v>
      </c>
      <c r="D177" s="264" t="str">
        <f>'Digital Plan - UPI'!E131</f>
        <v>Video</v>
      </c>
      <c r="E177" s="404" t="str">
        <f>'Digital Plan - UPI'!F131</f>
        <v xml:space="preserve">Entertainment </v>
      </c>
      <c r="F177" s="404" t="str">
        <f>'Digital Plan - UPI'!G131</f>
        <v xml:space="preserve">Mobile </v>
      </c>
      <c r="G177" s="265" t="str">
        <f>'Digital Plan - UPI'!H131</f>
        <v xml:space="preserve">Instream </v>
      </c>
      <c r="H177" s="265" t="str">
        <f>'Digital Plan - UPI'!I131</f>
        <v xml:space="preserve">Bumper 6 secs  </v>
      </c>
      <c r="I177" s="308" t="str">
        <f>'Digital Plan - UPI'!J131</f>
        <v>Reff : Targeting Sheet</v>
      </c>
      <c r="J177" s="263" t="str">
        <f>'Digital Plan - UPI'!K131</f>
        <v>CPM</v>
      </c>
      <c r="K177" s="266">
        <f>'Digital Plan - UPI'!L131</f>
        <v>21</v>
      </c>
      <c r="L177" s="267">
        <f>'Digital Plan - UPI'!M131</f>
        <v>45460</v>
      </c>
      <c r="M177" s="267">
        <f>'Digital Plan - UPI'!N131</f>
        <v>45480</v>
      </c>
      <c r="N177" s="266">
        <f>'Digital Plan - UPI'!O131</f>
        <v>754120.125</v>
      </c>
      <c r="O177" s="268" t="str">
        <f>'Digital Plan - UPI'!P131</f>
        <v>-</v>
      </c>
      <c r="P177" s="269">
        <f>'Digital Plan - UPI'!Q131</f>
        <v>1E-3</v>
      </c>
      <c r="Q177" s="266">
        <f>'Digital Plan - UPI'!R131</f>
        <v>754.12012500000003</v>
      </c>
      <c r="R177" s="270">
        <f>'Digital Plan - UPI'!S131</f>
        <v>0.8</v>
      </c>
      <c r="S177" s="271">
        <f>'Digital Plan - UPI'!T131</f>
        <v>603296.1</v>
      </c>
      <c r="T177" s="266">
        <f>'Digital Plan - UPI'!U131</f>
        <v>538657.23214285716</v>
      </c>
      <c r="U177" s="266">
        <f>'Digital Plan - UPI'!V131</f>
        <v>1.4</v>
      </c>
      <c r="V177" s="272">
        <f>'Digital Plan - UPI'!X131</f>
        <v>80</v>
      </c>
      <c r="W177" s="273">
        <f>'Digital Plan - UPI'!Y131</f>
        <v>60329.61</v>
      </c>
      <c r="X177" s="273">
        <f>'Digital Plan - UPI'!Z131</f>
        <v>80</v>
      </c>
      <c r="Y177" s="273">
        <f>'Digital Plan - UPI'!AA131</f>
        <v>80</v>
      </c>
      <c r="Z177" s="274">
        <f>'Digital Plan - UPI'!AB131</f>
        <v>1218780</v>
      </c>
      <c r="AA177" s="275">
        <f>'Digital Plan - UPI'!AC131</f>
        <v>0.44196428571428575</v>
      </c>
      <c r="AB177" s="259"/>
      <c r="AC177" s="266"/>
      <c r="AD177" s="266"/>
      <c r="AE177" s="266"/>
      <c r="AF177" s="266"/>
      <c r="AG177" s="266"/>
      <c r="AH177" s="266">
        <f>$N177/3</f>
        <v>251373.375</v>
      </c>
      <c r="AI177" s="266">
        <f t="shared" si="56"/>
        <v>251373.375</v>
      </c>
      <c r="AJ177" s="266">
        <f t="shared" si="56"/>
        <v>251373.375</v>
      </c>
    </row>
    <row r="178" spans="1:36" x14ac:dyDescent="0.35">
      <c r="A178" s="322" t="str">
        <f>'Digital Plan - UPI'!B132</f>
        <v>Jaipur</v>
      </c>
      <c r="B178" s="293" t="str">
        <f>'Digital Plan - UPI'!C132</f>
        <v>Core</v>
      </c>
      <c r="C178" s="263" t="str">
        <f>'Digital Plan - UPI'!D132</f>
        <v xml:space="preserve">DSP </v>
      </c>
      <c r="D178" s="263" t="str">
        <f>'Digital Plan - UPI'!E132</f>
        <v>Static</v>
      </c>
      <c r="E178" s="404" t="str">
        <f>'Digital Plan - UPI'!F132</f>
        <v xml:space="preserve">Network </v>
      </c>
      <c r="F178" s="404" t="str">
        <f>'Digital Plan - UPI'!G132</f>
        <v>Mobile</v>
      </c>
      <c r="G178" s="265" t="str">
        <f>'Digital Plan - UPI'!H132</f>
        <v>ROS</v>
      </c>
      <c r="H178" s="265" t="str">
        <f>'Digital Plan - UPI'!I132</f>
        <v>Large Formats</v>
      </c>
      <c r="I178" s="309" t="str">
        <f>'Digital Plan - UPI'!J132</f>
        <v>Reff : Targeting Sheet</v>
      </c>
      <c r="J178" s="263" t="str">
        <f>'Digital Plan - UPI'!K132</f>
        <v>CPM</v>
      </c>
      <c r="K178" s="266">
        <f>'Digital Plan - UPI'!L132</f>
        <v>21</v>
      </c>
      <c r="L178" s="267">
        <f>'Digital Plan - UPI'!M132</f>
        <v>45460</v>
      </c>
      <c r="M178" s="267">
        <f>'Digital Plan - UPI'!N132</f>
        <v>45480</v>
      </c>
      <c r="N178" s="266">
        <f>'Digital Plan - UPI'!O132</f>
        <v>224533.81023794319</v>
      </c>
      <c r="O178" s="268" t="str">
        <f>'Digital Plan - UPI'!P132</f>
        <v>-</v>
      </c>
      <c r="P178" s="269">
        <f>'Digital Plan - UPI'!Q132</f>
        <v>1.4999999999999999E-2</v>
      </c>
      <c r="Q178" s="266">
        <f>'Digital Plan - UPI'!R132</f>
        <v>3368.0071535691477</v>
      </c>
      <c r="R178" s="268" t="str">
        <f>'Digital Plan - UPI'!S132</f>
        <v>-</v>
      </c>
      <c r="S178" s="271" t="str">
        <f>'Digital Plan - UPI'!T132</f>
        <v>-</v>
      </c>
      <c r="T178" s="266">
        <f>'Digital Plan - UPI'!U132</f>
        <v>264157.42380934494</v>
      </c>
      <c r="U178" s="266">
        <f>'Digital Plan - UPI'!V132</f>
        <v>0.85</v>
      </c>
      <c r="V178" s="272">
        <f>'Digital Plan - UPI'!X132</f>
        <v>105</v>
      </c>
      <c r="W178" s="273">
        <f>'Digital Plan - UPI'!Y132</f>
        <v>23576.050074984036</v>
      </c>
      <c r="X178" s="273">
        <f>'Digital Plan - UPI'!Z132</f>
        <v>105</v>
      </c>
      <c r="Y178" s="273">
        <f>'Digital Plan - UPI'!AA132</f>
        <v>7.0000000000000009</v>
      </c>
      <c r="Z178" s="274">
        <f>'Digital Plan - UPI'!AB132</f>
        <v>984164.85</v>
      </c>
      <c r="AA178" s="275">
        <f>'Digital Plan - UPI'!AC132</f>
        <v>0.26840769999999997</v>
      </c>
      <c r="AB178" s="259"/>
      <c r="AC178" s="266">
        <f t="shared" ref="AC178:AD180" si="57">$N178*20%</f>
        <v>44906.762047588643</v>
      </c>
      <c r="AD178" s="266">
        <f t="shared" si="57"/>
        <v>44906.762047588643</v>
      </c>
      <c r="AE178" s="266">
        <f t="shared" ref="AE178:AF180" si="58">$N178*15%</f>
        <v>33680.071535691481</v>
      </c>
      <c r="AF178" s="266">
        <f t="shared" si="58"/>
        <v>33680.071535691481</v>
      </c>
      <c r="AG178" s="266">
        <f t="shared" ref="AG178:AH180" si="59">$N178*10%</f>
        <v>22453.381023794322</v>
      </c>
      <c r="AH178" s="266">
        <f t="shared" si="59"/>
        <v>22453.381023794322</v>
      </c>
      <c r="AI178" s="266">
        <f t="shared" ref="AI178:AJ180" si="60">$N178*5%</f>
        <v>11226.690511897161</v>
      </c>
      <c r="AJ178" s="266">
        <f t="shared" si="60"/>
        <v>11226.690511897161</v>
      </c>
    </row>
    <row r="179" spans="1:36" x14ac:dyDescent="0.35">
      <c r="A179" s="322" t="str">
        <f>'Digital Plan - UPI'!B133</f>
        <v>Jaipur</v>
      </c>
      <c r="B179" s="293" t="str">
        <f>'Digital Plan - UPI'!C133</f>
        <v>Core</v>
      </c>
      <c r="C179" s="310" t="str">
        <f>'Digital Plan - UPI'!D133</f>
        <v>Mediakart</v>
      </c>
      <c r="D179" s="263" t="str">
        <f>'Digital Plan - UPI'!E133</f>
        <v>Static</v>
      </c>
      <c r="E179" s="408" t="str">
        <f>'Digital Plan - UPI'!F133</f>
        <v xml:space="preserve">Network </v>
      </c>
      <c r="F179" s="404" t="str">
        <f>'Digital Plan - UPI'!G133</f>
        <v xml:space="preserve">Mobile </v>
      </c>
      <c r="G179" s="265" t="str">
        <f>'Digital Plan - UPI'!H133</f>
        <v>ROS</v>
      </c>
      <c r="H179" s="265" t="str">
        <f>'Digital Plan - UPI'!I133</f>
        <v>Interstitial Static banner</v>
      </c>
      <c r="I179" s="309" t="str">
        <f>'Digital Plan - UPI'!J133</f>
        <v>Reff : Targeting Sheet</v>
      </c>
      <c r="J179" s="263" t="str">
        <f>'Digital Plan - UPI'!K133</f>
        <v xml:space="preserve">CPM </v>
      </c>
      <c r="K179" s="266">
        <f>'Digital Plan - UPI'!L133</f>
        <v>21</v>
      </c>
      <c r="L179" s="267">
        <f>'Digital Plan - UPI'!M133</f>
        <v>45460</v>
      </c>
      <c r="M179" s="267">
        <f>'Digital Plan - UPI'!N133</f>
        <v>45480</v>
      </c>
      <c r="N179" s="266">
        <f>'Digital Plan - UPI'!O133</f>
        <v>341770.09503049596</v>
      </c>
      <c r="O179" s="268" t="str">
        <f>'Digital Plan - UPI'!P133</f>
        <v>-</v>
      </c>
      <c r="P179" s="269">
        <f>'Digital Plan - UPI'!Q133</f>
        <v>1.4999999999999999E-2</v>
      </c>
      <c r="Q179" s="266">
        <f>'Digital Plan - UPI'!R133</f>
        <v>5126.5514254574391</v>
      </c>
      <c r="R179" s="268" t="str">
        <f>'Digital Plan - UPI'!S133</f>
        <v>-</v>
      </c>
      <c r="S179" s="271" t="str">
        <f>'Digital Plan - UPI'!T133</f>
        <v>-</v>
      </c>
      <c r="T179" s="266">
        <f>'Digital Plan - UPI'!U133</f>
        <v>402082.46474175999</v>
      </c>
      <c r="U179" s="266">
        <f>'Digital Plan - UPI'!V133</f>
        <v>0.85</v>
      </c>
      <c r="V179" s="272">
        <f>'Digital Plan - UPI'!X133</f>
        <v>120</v>
      </c>
      <c r="W179" s="273">
        <f>'Digital Plan - UPI'!Y133</f>
        <v>41012.411403659513</v>
      </c>
      <c r="X179" s="273">
        <f>'Digital Plan - UPI'!Z133</f>
        <v>120</v>
      </c>
      <c r="Y179" s="273">
        <f>'Digital Plan - UPI'!AA133</f>
        <v>8</v>
      </c>
      <c r="Z179" s="274">
        <f>'Digital Plan - UPI'!AB133</f>
        <v>936268</v>
      </c>
      <c r="AA179" s="275">
        <f>'Digital Plan - UPI'!AC133</f>
        <v>0.42945232</v>
      </c>
      <c r="AB179" s="259"/>
      <c r="AC179" s="266">
        <f t="shared" si="57"/>
        <v>68354.019006099188</v>
      </c>
      <c r="AD179" s="266">
        <f t="shared" si="57"/>
        <v>68354.019006099188</v>
      </c>
      <c r="AE179" s="266">
        <f t="shared" si="58"/>
        <v>51265.514254574395</v>
      </c>
      <c r="AF179" s="266">
        <f t="shared" si="58"/>
        <v>51265.514254574395</v>
      </c>
      <c r="AG179" s="266">
        <f t="shared" si="59"/>
        <v>34177.009503049594</v>
      </c>
      <c r="AH179" s="266">
        <f t="shared" si="59"/>
        <v>34177.009503049594</v>
      </c>
      <c r="AI179" s="266">
        <f t="shared" si="60"/>
        <v>17088.504751524797</v>
      </c>
      <c r="AJ179" s="266">
        <f t="shared" si="60"/>
        <v>17088.504751524797</v>
      </c>
    </row>
    <row r="180" spans="1:36" x14ac:dyDescent="0.35">
      <c r="A180" s="322" t="str">
        <f>'Digital Plan - UPI'!B134</f>
        <v>Jaipur</v>
      </c>
      <c r="B180" s="293" t="str">
        <f>'Digital Plan - UPI'!C134</f>
        <v>Core</v>
      </c>
      <c r="C180" s="310" t="str">
        <f>'Digital Plan - UPI'!D134</f>
        <v>Dailyhunt</v>
      </c>
      <c r="D180" s="311" t="str">
        <f>'Digital Plan - UPI'!E134</f>
        <v>Static</v>
      </c>
      <c r="E180" s="408" t="str">
        <f>'Digital Plan - UPI'!F134</f>
        <v>News</v>
      </c>
      <c r="F180" s="404" t="str">
        <f>'Digital Plan - UPI'!G134</f>
        <v xml:space="preserve">Mobile </v>
      </c>
      <c r="G180" s="310" t="str">
        <f>'Digital Plan - UPI'!H134</f>
        <v>ROS</v>
      </c>
      <c r="H180" s="263" t="str">
        <f>'Digital Plan - UPI'!I134</f>
        <v>Page Insert - Innovation</v>
      </c>
      <c r="I180" s="309" t="str">
        <f>'Digital Plan - UPI'!J134</f>
        <v>Reff : Targeting Sheet</v>
      </c>
      <c r="J180" s="263" t="str">
        <f>'Digital Plan - UPI'!K134</f>
        <v>CPM</v>
      </c>
      <c r="K180" s="266">
        <f>'Digital Plan - UPI'!L134</f>
        <v>21</v>
      </c>
      <c r="L180" s="267">
        <f>'Digital Plan - UPI'!M134</f>
        <v>45460</v>
      </c>
      <c r="M180" s="267">
        <f>'Digital Plan - UPI'!N134</f>
        <v>45480</v>
      </c>
      <c r="N180" s="266">
        <f>'Digital Plan - UPI'!O134</f>
        <v>110394.56916445649</v>
      </c>
      <c r="O180" s="268" t="str">
        <f>'Digital Plan - UPI'!P134</f>
        <v>-</v>
      </c>
      <c r="P180" s="312">
        <f>'Digital Plan - UPI'!Q134</f>
        <v>0.01</v>
      </c>
      <c r="Q180" s="266">
        <f>'Digital Plan - UPI'!R134</f>
        <v>1103.9456916445649</v>
      </c>
      <c r="R180" s="268" t="str">
        <f>'Digital Plan - UPI'!S134</f>
        <v>-</v>
      </c>
      <c r="S180" s="271" t="str">
        <f>'Digital Plan - UPI'!T134</f>
        <v>-</v>
      </c>
      <c r="T180" s="266">
        <f>'Digital Plan - UPI'!U134</f>
        <v>129875.96372289</v>
      </c>
      <c r="U180" s="266">
        <f>'Digital Plan - UPI'!V134</f>
        <v>0.85</v>
      </c>
      <c r="V180" s="272">
        <f>'Digital Plan - UPI'!X134</f>
        <v>200</v>
      </c>
      <c r="W180" s="273">
        <f>'Digital Plan - UPI'!Y134</f>
        <v>22078.9138328913</v>
      </c>
      <c r="X180" s="273">
        <f>'Digital Plan - UPI'!Z134</f>
        <v>200</v>
      </c>
      <c r="Y180" s="273">
        <f>'Digital Plan - UPI'!AA134</f>
        <v>20</v>
      </c>
      <c r="Z180" s="274">
        <f>'Digital Plan - UPI'!AB134</f>
        <v>439887</v>
      </c>
      <c r="AA180" s="275">
        <f>'Digital Plan - UPI'!AC134</f>
        <v>0.29524846999999999</v>
      </c>
      <c r="AB180" s="259"/>
      <c r="AC180" s="266">
        <f t="shared" si="57"/>
        <v>22078.9138328913</v>
      </c>
      <c r="AD180" s="266">
        <f t="shared" si="57"/>
        <v>22078.9138328913</v>
      </c>
      <c r="AE180" s="266">
        <f t="shared" si="58"/>
        <v>16559.185374668472</v>
      </c>
      <c r="AF180" s="266">
        <f t="shared" si="58"/>
        <v>16559.185374668472</v>
      </c>
      <c r="AG180" s="266">
        <f t="shared" si="59"/>
        <v>11039.45691644565</v>
      </c>
      <c r="AH180" s="266">
        <f t="shared" si="59"/>
        <v>11039.45691644565</v>
      </c>
      <c r="AI180" s="266">
        <f t="shared" si="60"/>
        <v>5519.7284582228249</v>
      </c>
      <c r="AJ180" s="266">
        <f t="shared" si="60"/>
        <v>5519.7284582228249</v>
      </c>
    </row>
    <row r="181" spans="1:36" x14ac:dyDescent="0.35">
      <c r="A181" s="277" t="str">
        <f>'Digital Plan - UPI'!B135</f>
        <v>Jaipur</v>
      </c>
      <c r="B181" s="278">
        <f>'Digital Plan - UPI'!C135</f>
        <v>0</v>
      </c>
      <c r="C181" s="279" t="str">
        <f>'Digital Plan - UPI'!D135</f>
        <v>Total</v>
      </c>
      <c r="D181" s="280">
        <f>'Digital Plan - UPI'!E135</f>
        <v>0</v>
      </c>
      <c r="E181" s="405">
        <f>'Digital Plan - UPI'!F135</f>
        <v>0</v>
      </c>
      <c r="F181" s="405">
        <f>'Digital Plan - UPI'!G135</f>
        <v>0</v>
      </c>
      <c r="G181" s="280">
        <f>'Digital Plan - UPI'!H135</f>
        <v>0</v>
      </c>
      <c r="H181" s="281">
        <f>'Digital Plan - UPI'!I135</f>
        <v>0</v>
      </c>
      <c r="I181" s="282">
        <f>'Digital Plan - UPI'!J135</f>
        <v>0</v>
      </c>
      <c r="J181" s="283">
        <f>'Digital Plan - UPI'!K135</f>
        <v>0</v>
      </c>
      <c r="K181" s="284">
        <f>'Digital Plan - UPI'!L135</f>
        <v>0</v>
      </c>
      <c r="L181" s="284">
        <f>'Digital Plan - UPI'!M135</f>
        <v>0</v>
      </c>
      <c r="M181" s="284">
        <f>'Digital Plan - UPI'!N135</f>
        <v>0</v>
      </c>
      <c r="N181" s="284">
        <f>'Digital Plan - UPI'!O135</f>
        <v>5432288.8497613287</v>
      </c>
      <c r="O181" s="284">
        <f>'Digital Plan - UPI'!P135</f>
        <v>0</v>
      </c>
      <c r="P181" s="285">
        <f>'Digital Plan - UPI'!Q135</f>
        <v>1.9988239107775379E-3</v>
      </c>
      <c r="Q181" s="284">
        <f>'Digital Plan - UPI'!R135</f>
        <v>10858.188843153152</v>
      </c>
      <c r="R181" s="286">
        <f>'Digital Plan - UPI'!S135</f>
        <v>0</v>
      </c>
      <c r="S181" s="284">
        <f>'Digital Plan - UPI'!T135</f>
        <v>3777041.8114122674</v>
      </c>
      <c r="T181" s="284">
        <f>'Digital Plan - UPI'!U135</f>
        <v>832897.08035881631</v>
      </c>
      <c r="U181" s="284">
        <f>'Digital Plan - UPI'!V135</f>
        <v>6.5221609942744321</v>
      </c>
      <c r="V181" s="287">
        <f>'Digital Plan - UPI'!X135</f>
        <v>0</v>
      </c>
      <c r="W181" s="317">
        <f>'Digital Plan - UPI'!Y135</f>
        <v>573873.9217176988</v>
      </c>
      <c r="X181" s="288">
        <f>'Digital Plan - UPI'!Z135</f>
        <v>105.64127526887904</v>
      </c>
      <c r="Y181" s="288">
        <f>'Digital Plan - UPI'!AA135</f>
        <v>52.851716801699069</v>
      </c>
      <c r="Z181" s="284">
        <f>'Digital Plan - UPI'!AB135</f>
        <v>1301533.1570000001</v>
      </c>
      <c r="AA181" s="289">
        <f>'Digital Plan - UPI'!AC135</f>
        <v>0.63993535307131344</v>
      </c>
      <c r="AB181" s="259"/>
      <c r="AC181" s="284"/>
      <c r="AD181" s="284"/>
      <c r="AE181" s="284"/>
      <c r="AF181" s="284"/>
      <c r="AG181" s="284"/>
      <c r="AH181" s="284"/>
      <c r="AI181" s="284"/>
      <c r="AJ181" s="284"/>
    </row>
    <row r="182" spans="1:36" x14ac:dyDescent="0.35">
      <c r="A182" s="322" t="e">
        <f>'Digital Plan - UPI'!#REF!</f>
        <v>#REF!</v>
      </c>
      <c r="B182" s="293" t="e">
        <f>'Digital Plan - UPI'!#REF!</f>
        <v>#REF!</v>
      </c>
      <c r="C182" s="294" t="e">
        <f>'Digital Plan - UPI'!#REF!</f>
        <v>#REF!</v>
      </c>
      <c r="D182" s="294" t="e">
        <f>'Digital Plan - UPI'!#REF!</f>
        <v>#REF!</v>
      </c>
      <c r="E182" s="406" t="e">
        <f>'Digital Plan - UPI'!#REF!</f>
        <v>#REF!</v>
      </c>
      <c r="F182" s="406" t="e">
        <f>'Digital Plan - UPI'!#REF!</f>
        <v>#REF!</v>
      </c>
      <c r="G182" s="296" t="e">
        <f>'Digital Plan - UPI'!#REF!</f>
        <v>#REF!</v>
      </c>
      <c r="H182" s="296" t="e">
        <f>'Digital Plan - UPI'!#REF!</f>
        <v>#REF!</v>
      </c>
      <c r="I182" s="297" t="e">
        <f>'Digital Plan - UPI'!#REF!</f>
        <v>#REF!</v>
      </c>
      <c r="J182" s="295" t="e">
        <f>'Digital Plan - UPI'!#REF!</f>
        <v>#REF!</v>
      </c>
      <c r="K182" s="298" t="e">
        <f>'Digital Plan - UPI'!#REF!</f>
        <v>#REF!</v>
      </c>
      <c r="L182" s="299" t="e">
        <f>'Digital Plan - UPI'!#REF!</f>
        <v>#REF!</v>
      </c>
      <c r="M182" s="299" t="e">
        <f>'Digital Plan - UPI'!#REF!</f>
        <v>#REF!</v>
      </c>
      <c r="N182" s="298" t="e">
        <f>'Digital Plan - UPI'!#REF!</f>
        <v>#REF!</v>
      </c>
      <c r="O182" s="300" t="e">
        <f>'Digital Plan - UPI'!#REF!</f>
        <v>#REF!</v>
      </c>
      <c r="P182" s="301" t="e">
        <f>'Digital Plan - UPI'!#REF!</f>
        <v>#REF!</v>
      </c>
      <c r="Q182" s="298" t="e">
        <f>'Digital Plan - UPI'!#REF!</f>
        <v>#REF!</v>
      </c>
      <c r="R182" s="302" t="e">
        <f>'Digital Plan - UPI'!#REF!</f>
        <v>#REF!</v>
      </c>
      <c r="S182" s="303" t="e">
        <f>'Digital Plan - UPI'!#REF!</f>
        <v>#REF!</v>
      </c>
      <c r="T182" s="298" t="e">
        <f>'Digital Plan - UPI'!#REF!</f>
        <v>#REF!</v>
      </c>
      <c r="U182" s="298" t="e">
        <f>'Digital Plan - UPI'!#REF!</f>
        <v>#REF!</v>
      </c>
      <c r="V182" s="304" t="e">
        <f>'Digital Plan - UPI'!#REF!</f>
        <v>#REF!</v>
      </c>
      <c r="W182" s="305" t="e">
        <f>'Digital Plan - UPI'!#REF!</f>
        <v>#REF!</v>
      </c>
      <c r="X182" s="305" t="e">
        <f>'Digital Plan - UPI'!#REF!</f>
        <v>#REF!</v>
      </c>
      <c r="Y182" s="305" t="e">
        <f>'Digital Plan - UPI'!#REF!</f>
        <v>#REF!</v>
      </c>
      <c r="Z182" s="306" t="e">
        <f>'Digital Plan - UPI'!#REF!</f>
        <v>#REF!</v>
      </c>
      <c r="AA182" s="307" t="e">
        <f>'Digital Plan - UPI'!#REF!</f>
        <v>#REF!</v>
      </c>
      <c r="AB182" s="259"/>
      <c r="AC182" s="298" t="e">
        <f>N182/2</f>
        <v>#REF!</v>
      </c>
      <c r="AD182" s="298" t="e">
        <f>N182/2</f>
        <v>#REF!</v>
      </c>
      <c r="AE182" s="298"/>
      <c r="AF182" s="298"/>
      <c r="AG182" s="298"/>
      <c r="AH182" s="298"/>
      <c r="AI182" s="298"/>
      <c r="AJ182" s="298"/>
    </row>
    <row r="183" spans="1:36" x14ac:dyDescent="0.35">
      <c r="A183" s="322" t="e">
        <f>'Digital Plan - UPI'!#REF!</f>
        <v>#REF!</v>
      </c>
      <c r="B183" s="293" t="e">
        <f>'Digital Plan - UPI'!#REF!</f>
        <v>#REF!</v>
      </c>
      <c r="C183" s="295" t="e">
        <f>'Digital Plan - UPI'!#REF!</f>
        <v>#REF!</v>
      </c>
      <c r="D183" s="295" t="e">
        <f>'Digital Plan - UPI'!#REF!</f>
        <v>#REF!</v>
      </c>
      <c r="E183" s="406" t="e">
        <f>'Digital Plan - UPI'!#REF!</f>
        <v>#REF!</v>
      </c>
      <c r="F183" s="407" t="e">
        <f>'Digital Plan - UPI'!#REF!</f>
        <v>#REF!</v>
      </c>
      <c r="G183" s="296" t="e">
        <f>'Digital Plan - UPI'!#REF!</f>
        <v>#REF!</v>
      </c>
      <c r="H183" s="296" t="e">
        <f>'Digital Plan - UPI'!#REF!</f>
        <v>#REF!</v>
      </c>
      <c r="I183" s="297" t="e">
        <f>'Digital Plan - UPI'!#REF!</f>
        <v>#REF!</v>
      </c>
      <c r="J183" s="295" t="e">
        <f>'Digital Plan - UPI'!#REF!</f>
        <v>#REF!</v>
      </c>
      <c r="K183" s="298" t="e">
        <f>'Digital Plan - UPI'!#REF!</f>
        <v>#REF!</v>
      </c>
      <c r="L183" s="299" t="e">
        <f>'Digital Plan - UPI'!#REF!</f>
        <v>#REF!</v>
      </c>
      <c r="M183" s="299" t="e">
        <f>'Digital Plan - UPI'!#REF!</f>
        <v>#REF!</v>
      </c>
      <c r="N183" s="298" t="e">
        <f>'Digital Plan - UPI'!#REF!</f>
        <v>#REF!</v>
      </c>
      <c r="O183" s="300" t="e">
        <f>'Digital Plan - UPI'!#REF!</f>
        <v>#REF!</v>
      </c>
      <c r="P183" s="301" t="e">
        <f>'Digital Plan - UPI'!#REF!</f>
        <v>#REF!</v>
      </c>
      <c r="Q183" s="298" t="e">
        <f>'Digital Plan - UPI'!#REF!</f>
        <v>#REF!</v>
      </c>
      <c r="R183" s="302" t="e">
        <f>'Digital Plan - UPI'!#REF!</f>
        <v>#REF!</v>
      </c>
      <c r="S183" s="303" t="e">
        <f>'Digital Plan - UPI'!#REF!</f>
        <v>#REF!</v>
      </c>
      <c r="T183" s="298" t="e">
        <f>'Digital Plan - UPI'!#REF!</f>
        <v>#REF!</v>
      </c>
      <c r="U183" s="298" t="e">
        <f>'Digital Plan - UPI'!#REF!</f>
        <v>#REF!</v>
      </c>
      <c r="V183" s="304" t="e">
        <f>'Digital Plan - UPI'!#REF!</f>
        <v>#REF!</v>
      </c>
      <c r="W183" s="305" t="e">
        <f>'Digital Plan - UPI'!#REF!</f>
        <v>#REF!</v>
      </c>
      <c r="X183" s="305" t="e">
        <f>'Digital Plan - UPI'!#REF!</f>
        <v>#REF!</v>
      </c>
      <c r="Y183" s="305" t="e">
        <f>'Digital Plan - UPI'!#REF!</f>
        <v>#REF!</v>
      </c>
      <c r="Z183" s="306" t="e">
        <f>'Digital Plan - UPI'!#REF!</f>
        <v>#REF!</v>
      </c>
      <c r="AA183" s="307" t="e">
        <f>'Digital Plan - UPI'!#REF!</f>
        <v>#REF!</v>
      </c>
      <c r="AB183" s="259"/>
      <c r="AC183" s="298" t="e">
        <f>N183/2</f>
        <v>#REF!</v>
      </c>
      <c r="AD183" s="298" t="e">
        <f>N183/2</f>
        <v>#REF!</v>
      </c>
      <c r="AE183" s="298"/>
      <c r="AF183" s="298"/>
      <c r="AG183" s="298"/>
      <c r="AH183" s="298"/>
      <c r="AI183" s="298"/>
      <c r="AJ183" s="298"/>
    </row>
    <row r="184" spans="1:36" x14ac:dyDescent="0.35">
      <c r="A184" s="322" t="str">
        <f>'Digital Plan - UPI'!B136</f>
        <v>Kochi</v>
      </c>
      <c r="B184" s="293" t="str">
        <f>'Digital Plan - UPI'!C136</f>
        <v>Core - CTV</v>
      </c>
      <c r="C184" s="294" t="str">
        <f>'Digital Plan - UPI'!D136</f>
        <v>Connected TV PMP</v>
      </c>
      <c r="D184" s="294" t="str">
        <f>'Digital Plan - UPI'!E136</f>
        <v>Video</v>
      </c>
      <c r="E184" s="406" t="str">
        <f>'Digital Plan - UPI'!F136</f>
        <v xml:space="preserve">Entertainment </v>
      </c>
      <c r="F184" s="406" t="str">
        <f>'Digital Plan - UPI'!G136</f>
        <v>CTV</v>
      </c>
      <c r="G184" s="296" t="str">
        <f>'Digital Plan - UPI'!H136</f>
        <v>Instream</v>
      </c>
      <c r="H184" s="296" t="str">
        <f>'Digital Plan - UPI'!I136</f>
        <v xml:space="preserve">Video-6 Sec </v>
      </c>
      <c r="I184" s="297" t="str">
        <f>'Digital Plan - UPI'!J136</f>
        <v>Reff : Targeting Sheet</v>
      </c>
      <c r="J184" s="295" t="str">
        <f>'Digital Plan - UPI'!K136</f>
        <v>CPM</v>
      </c>
      <c r="K184" s="298">
        <f>'Digital Plan - UPI'!L136</f>
        <v>21</v>
      </c>
      <c r="L184" s="299">
        <f>'Digital Plan - UPI'!M136</f>
        <v>45460</v>
      </c>
      <c r="M184" s="299">
        <f>'Digital Plan - UPI'!N136</f>
        <v>45480</v>
      </c>
      <c r="N184" s="298">
        <f>'Digital Plan - UPI'!O136</f>
        <v>928213.15973253117</v>
      </c>
      <c r="O184" s="300" t="str">
        <f>'Digital Plan - UPI'!P136</f>
        <v>-</v>
      </c>
      <c r="P184" s="301">
        <f>'Digital Plan - UPI'!Q136</f>
        <v>0</v>
      </c>
      <c r="Q184" s="298">
        <f>'Digital Plan - UPI'!R136</f>
        <v>0</v>
      </c>
      <c r="R184" s="302">
        <f>'Digital Plan - UPI'!S136</f>
        <v>0.85</v>
      </c>
      <c r="S184" s="303">
        <f>'Digital Plan - UPI'!T136</f>
        <v>788981.18577265146</v>
      </c>
      <c r="T184" s="298">
        <f>'Digital Plan - UPI'!U136</f>
        <v>227503.22542464</v>
      </c>
      <c r="U184" s="298">
        <f>'Digital Plan - UPI'!V136</f>
        <v>4.08</v>
      </c>
      <c r="V184" s="304">
        <f>'Digital Plan - UPI'!X136</f>
        <v>125</v>
      </c>
      <c r="W184" s="305">
        <f>'Digital Plan - UPI'!Y136</f>
        <v>116026.6449665664</v>
      </c>
      <c r="X184" s="305">
        <f>'Digital Plan - UPI'!Z136</f>
        <v>125</v>
      </c>
      <c r="Y184" s="305">
        <f>'Digital Plan - UPI'!AA136</f>
        <v>0</v>
      </c>
      <c r="Z184" s="306">
        <f>'Digital Plan - UPI'!AB136</f>
        <v>264876</v>
      </c>
      <c r="AA184" s="307">
        <f>'Digital Plan - UPI'!AC136</f>
        <v>0.85890464</v>
      </c>
      <c r="AB184" s="259"/>
      <c r="AC184" s="298"/>
      <c r="AD184" s="298"/>
      <c r="AE184" s="298">
        <f>$N184/3</f>
        <v>309404.38657751039</v>
      </c>
      <c r="AF184" s="298">
        <f t="shared" ref="AF184:AJ189" si="61">$N184/3</f>
        <v>309404.38657751039</v>
      </c>
      <c r="AG184" s="298">
        <f t="shared" si="61"/>
        <v>309404.38657751039</v>
      </c>
      <c r="AH184" s="298"/>
      <c r="AI184" s="298"/>
      <c r="AJ184" s="298"/>
    </row>
    <row r="185" spans="1:36" x14ac:dyDescent="0.35">
      <c r="A185" s="322" t="e">
        <f>'Digital Plan - UPI'!#REF!</f>
        <v>#REF!</v>
      </c>
      <c r="B185" s="293" t="e">
        <f>'Digital Plan - UPI'!#REF!</f>
        <v>#REF!</v>
      </c>
      <c r="C185" s="294" t="e">
        <f>'Digital Plan - UPI'!#REF!</f>
        <v>#REF!</v>
      </c>
      <c r="D185" s="294" t="e">
        <f>'Digital Plan - UPI'!#REF!</f>
        <v>#REF!</v>
      </c>
      <c r="E185" s="406" t="e">
        <f>'Digital Plan - UPI'!#REF!</f>
        <v>#REF!</v>
      </c>
      <c r="F185" s="406" t="e">
        <f>'Digital Plan - UPI'!#REF!</f>
        <v>#REF!</v>
      </c>
      <c r="G185" s="296" t="e">
        <f>'Digital Plan - UPI'!#REF!</f>
        <v>#REF!</v>
      </c>
      <c r="H185" s="296" t="e">
        <f>'Digital Plan - UPI'!#REF!</f>
        <v>#REF!</v>
      </c>
      <c r="I185" s="297" t="e">
        <f>'Digital Plan - UPI'!#REF!</f>
        <v>#REF!</v>
      </c>
      <c r="J185" s="295" t="e">
        <f>'Digital Plan - UPI'!#REF!</f>
        <v>#REF!</v>
      </c>
      <c r="K185" s="298" t="e">
        <f>'Digital Plan - UPI'!#REF!</f>
        <v>#REF!</v>
      </c>
      <c r="L185" s="299" t="e">
        <f>'Digital Plan - UPI'!#REF!</f>
        <v>#REF!</v>
      </c>
      <c r="M185" s="299" t="e">
        <f>'Digital Plan - UPI'!#REF!</f>
        <v>#REF!</v>
      </c>
      <c r="N185" s="298" t="e">
        <f>'Digital Plan - UPI'!#REF!</f>
        <v>#REF!</v>
      </c>
      <c r="O185" s="300" t="e">
        <f>'Digital Plan - UPI'!#REF!</f>
        <v>#REF!</v>
      </c>
      <c r="P185" s="301" t="e">
        <f>'Digital Plan - UPI'!#REF!</f>
        <v>#REF!</v>
      </c>
      <c r="Q185" s="298" t="e">
        <f>'Digital Plan - UPI'!#REF!</f>
        <v>#REF!</v>
      </c>
      <c r="R185" s="302" t="e">
        <f>'Digital Plan - UPI'!#REF!</f>
        <v>#REF!</v>
      </c>
      <c r="S185" s="303" t="e">
        <f>'Digital Plan - UPI'!#REF!</f>
        <v>#REF!</v>
      </c>
      <c r="T185" s="298" t="e">
        <f>'Digital Plan - UPI'!#REF!</f>
        <v>#REF!</v>
      </c>
      <c r="U185" s="298" t="e">
        <f>'Digital Plan - UPI'!#REF!</f>
        <v>#REF!</v>
      </c>
      <c r="V185" s="304" t="e">
        <f>'Digital Plan - UPI'!#REF!</f>
        <v>#REF!</v>
      </c>
      <c r="W185" s="305" t="e">
        <f>'Digital Plan - UPI'!#REF!</f>
        <v>#REF!</v>
      </c>
      <c r="X185" s="305" t="e">
        <f>'Digital Plan - UPI'!#REF!</f>
        <v>#REF!</v>
      </c>
      <c r="Y185" s="305" t="e">
        <f>'Digital Plan - UPI'!#REF!</f>
        <v>#REF!</v>
      </c>
      <c r="Z185" s="306" t="e">
        <f>'Digital Plan - UPI'!#REF!</f>
        <v>#REF!</v>
      </c>
      <c r="AA185" s="307" t="e">
        <f>'Digital Plan - UPI'!#REF!</f>
        <v>#REF!</v>
      </c>
      <c r="AB185" s="259"/>
      <c r="AC185" s="298"/>
      <c r="AD185" s="298"/>
      <c r="AE185" s="298"/>
      <c r="AF185" s="298"/>
      <c r="AG185" s="298"/>
      <c r="AH185" s="298" t="e">
        <f>$N185/3</f>
        <v>#REF!</v>
      </c>
      <c r="AI185" s="298" t="e">
        <f t="shared" si="61"/>
        <v>#REF!</v>
      </c>
      <c r="AJ185" s="298" t="e">
        <f t="shared" si="61"/>
        <v>#REF!</v>
      </c>
    </row>
    <row r="186" spans="1:36" x14ac:dyDescent="0.35">
      <c r="A186" s="322" t="str">
        <f>'Digital Plan - UPI'!B137</f>
        <v>Kochi</v>
      </c>
      <c r="B186" s="293" t="str">
        <f>'Digital Plan - UPI'!C137</f>
        <v>Core - CTV</v>
      </c>
      <c r="C186" s="295" t="str">
        <f>'Digital Plan - UPI'!D137</f>
        <v xml:space="preserve">YouTube </v>
      </c>
      <c r="D186" s="295" t="str">
        <f>'Digital Plan - UPI'!E137</f>
        <v>Video</v>
      </c>
      <c r="E186" s="406" t="str">
        <f>'Digital Plan - UPI'!F137</f>
        <v xml:space="preserve">Entertainment </v>
      </c>
      <c r="F186" s="407" t="str">
        <f>'Digital Plan - UPI'!G137</f>
        <v>CTV</v>
      </c>
      <c r="G186" s="296" t="str">
        <f>'Digital Plan - UPI'!H137</f>
        <v>Instream</v>
      </c>
      <c r="H186" s="296" t="str">
        <f>'Digital Plan - UPI'!I137</f>
        <v xml:space="preserve">Bumper 6 secs  </v>
      </c>
      <c r="I186" s="297" t="str">
        <f>'Digital Plan - UPI'!J137</f>
        <v>Reff : Targeting Sheet</v>
      </c>
      <c r="J186" s="295" t="str">
        <f>'Digital Plan - UPI'!K137</f>
        <v>CPM</v>
      </c>
      <c r="K186" s="298">
        <f>'Digital Plan - UPI'!L137</f>
        <v>21</v>
      </c>
      <c r="L186" s="299">
        <f>'Digital Plan - UPI'!M137</f>
        <v>45460</v>
      </c>
      <c r="M186" s="299">
        <f>'Digital Plan - UPI'!N137</f>
        <v>45480</v>
      </c>
      <c r="N186" s="298">
        <f>'Digital Plan - UPI'!O137</f>
        <v>1690366.788738</v>
      </c>
      <c r="O186" s="300" t="str">
        <f>'Digital Plan - UPI'!P137</f>
        <v>-</v>
      </c>
      <c r="P186" s="301">
        <f>'Digital Plan - UPI'!Q137</f>
        <v>0</v>
      </c>
      <c r="Q186" s="298">
        <f>'Digital Plan - UPI'!R137</f>
        <v>0</v>
      </c>
      <c r="R186" s="302">
        <f>'Digital Plan - UPI'!S137</f>
        <v>0.8</v>
      </c>
      <c r="S186" s="303">
        <f>'Digital Plan - UPI'!T137</f>
        <v>1352293.4309904</v>
      </c>
      <c r="T186" s="298">
        <f>'Digital Plan - UPI'!U137</f>
        <v>304570.59256540542</v>
      </c>
      <c r="U186" s="298">
        <f>'Digital Plan - UPI'!V137</f>
        <v>5.55</v>
      </c>
      <c r="V186" s="304">
        <f>'Digital Plan - UPI'!X137</f>
        <v>110</v>
      </c>
      <c r="W186" s="305">
        <f>'Digital Plan - UPI'!Y137</f>
        <v>185940.34676118</v>
      </c>
      <c r="X186" s="305">
        <f>'Digital Plan - UPI'!Z137</f>
        <v>110</v>
      </c>
      <c r="Y186" s="305">
        <f>'Digital Plan - UPI'!AA137</f>
        <v>0</v>
      </c>
      <c r="Z186" s="306">
        <f>'Digital Plan - UPI'!AB137</f>
        <v>339585</v>
      </c>
      <c r="AA186" s="307">
        <f>'Digital Plan - UPI'!AC137</f>
        <v>0.89689059459459464</v>
      </c>
      <c r="AB186" s="259"/>
      <c r="AC186" s="298"/>
      <c r="AD186" s="298"/>
      <c r="AE186" s="298">
        <f>$N186/3</f>
        <v>563455.59624600003</v>
      </c>
      <c r="AF186" s="298">
        <f t="shared" si="61"/>
        <v>563455.59624600003</v>
      </c>
      <c r="AG186" s="298">
        <f t="shared" si="61"/>
        <v>563455.59624600003</v>
      </c>
      <c r="AH186" s="298"/>
      <c r="AI186" s="298"/>
      <c r="AJ186" s="298"/>
    </row>
    <row r="187" spans="1:36" x14ac:dyDescent="0.35">
      <c r="A187" s="322" t="e">
        <f>'Digital Plan - UPI'!#REF!</f>
        <v>#REF!</v>
      </c>
      <c r="B187" s="293" t="e">
        <f>'Digital Plan - UPI'!#REF!</f>
        <v>#REF!</v>
      </c>
      <c r="C187" s="295" t="e">
        <f>'Digital Plan - UPI'!#REF!</f>
        <v>#REF!</v>
      </c>
      <c r="D187" s="295" t="e">
        <f>'Digital Plan - UPI'!#REF!</f>
        <v>#REF!</v>
      </c>
      <c r="E187" s="406" t="e">
        <f>'Digital Plan - UPI'!#REF!</f>
        <v>#REF!</v>
      </c>
      <c r="F187" s="407" t="e">
        <f>'Digital Plan - UPI'!#REF!</f>
        <v>#REF!</v>
      </c>
      <c r="G187" s="296" t="e">
        <f>'Digital Plan - UPI'!#REF!</f>
        <v>#REF!</v>
      </c>
      <c r="H187" s="296" t="e">
        <f>'Digital Plan - UPI'!#REF!</f>
        <v>#REF!</v>
      </c>
      <c r="I187" s="297" t="e">
        <f>'Digital Plan - UPI'!#REF!</f>
        <v>#REF!</v>
      </c>
      <c r="J187" s="295" t="e">
        <f>'Digital Plan - UPI'!#REF!</f>
        <v>#REF!</v>
      </c>
      <c r="K187" s="298" t="e">
        <f>'Digital Plan - UPI'!#REF!</f>
        <v>#REF!</v>
      </c>
      <c r="L187" s="299" t="e">
        <f>'Digital Plan - UPI'!#REF!</f>
        <v>#REF!</v>
      </c>
      <c r="M187" s="299" t="e">
        <f>'Digital Plan - UPI'!#REF!</f>
        <v>#REF!</v>
      </c>
      <c r="N187" s="298" t="e">
        <f>'Digital Plan - UPI'!#REF!</f>
        <v>#REF!</v>
      </c>
      <c r="O187" s="300" t="e">
        <f>'Digital Plan - UPI'!#REF!</f>
        <v>#REF!</v>
      </c>
      <c r="P187" s="301" t="e">
        <f>'Digital Plan - UPI'!#REF!</f>
        <v>#REF!</v>
      </c>
      <c r="Q187" s="298" t="e">
        <f>'Digital Plan - UPI'!#REF!</f>
        <v>#REF!</v>
      </c>
      <c r="R187" s="302" t="e">
        <f>'Digital Plan - UPI'!#REF!</f>
        <v>#REF!</v>
      </c>
      <c r="S187" s="303" t="e">
        <f>'Digital Plan - UPI'!#REF!</f>
        <v>#REF!</v>
      </c>
      <c r="T187" s="298" t="e">
        <f>'Digital Plan - UPI'!#REF!</f>
        <v>#REF!</v>
      </c>
      <c r="U187" s="298" t="e">
        <f>'Digital Plan - UPI'!#REF!</f>
        <v>#REF!</v>
      </c>
      <c r="V187" s="304" t="e">
        <f>'Digital Plan - UPI'!#REF!</f>
        <v>#REF!</v>
      </c>
      <c r="W187" s="305" t="e">
        <f>'Digital Plan - UPI'!#REF!</f>
        <v>#REF!</v>
      </c>
      <c r="X187" s="305" t="e">
        <f>'Digital Plan - UPI'!#REF!</f>
        <v>#REF!</v>
      </c>
      <c r="Y187" s="305" t="e">
        <f>'Digital Plan - UPI'!#REF!</f>
        <v>#REF!</v>
      </c>
      <c r="Z187" s="306" t="e">
        <f>'Digital Plan - UPI'!#REF!</f>
        <v>#REF!</v>
      </c>
      <c r="AA187" s="307" t="e">
        <f>'Digital Plan - UPI'!#REF!</f>
        <v>#REF!</v>
      </c>
      <c r="AB187" s="259"/>
      <c r="AC187" s="298"/>
      <c r="AD187" s="298"/>
      <c r="AE187" s="298"/>
      <c r="AF187" s="298"/>
      <c r="AG187" s="298"/>
      <c r="AH187" s="298" t="e">
        <f>$N187/3</f>
        <v>#REF!</v>
      </c>
      <c r="AI187" s="298" t="e">
        <f t="shared" si="61"/>
        <v>#REF!</v>
      </c>
      <c r="AJ187" s="298" t="e">
        <f t="shared" si="61"/>
        <v>#REF!</v>
      </c>
    </row>
    <row r="188" spans="1:36" x14ac:dyDescent="0.35">
      <c r="A188" s="322" t="str">
        <f>'Digital Plan - UPI'!B138</f>
        <v>Kochi</v>
      </c>
      <c r="B188" s="293" t="str">
        <f>'Digital Plan - UPI'!C138</f>
        <v>Core</v>
      </c>
      <c r="C188" s="264" t="str">
        <f>'Digital Plan - UPI'!D138</f>
        <v>Meta</v>
      </c>
      <c r="D188" s="264" t="str">
        <f>'Digital Plan - UPI'!E138</f>
        <v>Video</v>
      </c>
      <c r="E188" s="404" t="str">
        <f>'Digital Plan - UPI'!F138</f>
        <v xml:space="preserve">Entertainment </v>
      </c>
      <c r="F188" s="404" t="str">
        <f>'Digital Plan - UPI'!G138</f>
        <v xml:space="preserve">Mobile </v>
      </c>
      <c r="G188" s="265" t="str">
        <f>'Digital Plan - UPI'!H138</f>
        <v xml:space="preserve">Instream </v>
      </c>
      <c r="H188" s="265" t="str">
        <f>'Digital Plan - UPI'!I138</f>
        <v>Instream - 6 Sec</v>
      </c>
      <c r="I188" s="308" t="str">
        <f>'Digital Plan - UPI'!J138</f>
        <v>Reff : Targeting Sheet</v>
      </c>
      <c r="J188" s="263" t="str">
        <f>'Digital Plan - UPI'!K138</f>
        <v>CPM</v>
      </c>
      <c r="K188" s="266">
        <f>'Digital Plan - UPI'!L138</f>
        <v>21</v>
      </c>
      <c r="L188" s="267">
        <f>'Digital Plan - UPI'!M138</f>
        <v>45460</v>
      </c>
      <c r="M188" s="267">
        <f>'Digital Plan - UPI'!N138</f>
        <v>45480</v>
      </c>
      <c r="N188" s="266">
        <f>'Digital Plan - UPI'!O138</f>
        <v>287362.18816069997</v>
      </c>
      <c r="O188" s="268" t="str">
        <f>'Digital Plan - UPI'!P138</f>
        <v>-</v>
      </c>
      <c r="P188" s="269">
        <f>'Digital Plan - UPI'!Q138</f>
        <v>1E-3</v>
      </c>
      <c r="Q188" s="266">
        <f>'Digital Plan - UPI'!R138</f>
        <v>287.36218816069999</v>
      </c>
      <c r="R188" s="270">
        <f>'Digital Plan - UPI'!S138</f>
        <v>0.7</v>
      </c>
      <c r="S188" s="271">
        <f>'Digital Plan - UPI'!T138</f>
        <v>201153.53171248996</v>
      </c>
      <c r="T188" s="266">
        <f>'Digital Plan - UPI'!U138</f>
        <v>287362.18816069997</v>
      </c>
      <c r="U188" s="266">
        <f>'Digital Plan - UPI'!V138</f>
        <v>1</v>
      </c>
      <c r="V188" s="272">
        <f>'Digital Plan - UPI'!X138</f>
        <v>70</v>
      </c>
      <c r="W188" s="273">
        <f>'Digital Plan - UPI'!Y138</f>
        <v>20115.353171249</v>
      </c>
      <c r="X188" s="273">
        <f>'Digital Plan - UPI'!Z138</f>
        <v>70</v>
      </c>
      <c r="Y188" s="273">
        <f>'Digital Plan - UPI'!AA138</f>
        <v>70</v>
      </c>
      <c r="Z188" s="274">
        <f>'Digital Plan - UPI'!AB138</f>
        <v>588840.04999999993</v>
      </c>
      <c r="AA188" s="275">
        <f>'Digital Plan - UPI'!AC138</f>
        <v>0.488014</v>
      </c>
      <c r="AB188" s="259"/>
      <c r="AC188" s="266"/>
      <c r="AD188" s="266"/>
      <c r="AE188" s="266">
        <f>$N188/3</f>
        <v>95787.396053566656</v>
      </c>
      <c r="AF188" s="266">
        <f t="shared" si="61"/>
        <v>95787.396053566656</v>
      </c>
      <c r="AG188" s="266">
        <f t="shared" si="61"/>
        <v>95787.396053566656</v>
      </c>
      <c r="AH188" s="266"/>
      <c r="AI188" s="266"/>
      <c r="AJ188" s="266"/>
    </row>
    <row r="189" spans="1:36" x14ac:dyDescent="0.35">
      <c r="A189" s="322" t="str">
        <f>'Digital Plan - UPI'!B139</f>
        <v>Kochi</v>
      </c>
      <c r="B189" s="293" t="str">
        <f>'Digital Plan - UPI'!C139</f>
        <v>Core</v>
      </c>
      <c r="C189" s="264" t="str">
        <f>'Digital Plan - UPI'!D139</f>
        <v xml:space="preserve">YouTube </v>
      </c>
      <c r="D189" s="264" t="str">
        <f>'Digital Plan - UPI'!E139</f>
        <v>Video</v>
      </c>
      <c r="E189" s="404" t="str">
        <f>'Digital Plan - UPI'!F139</f>
        <v xml:space="preserve">Entertainment </v>
      </c>
      <c r="F189" s="404" t="str">
        <f>'Digital Plan - UPI'!G139</f>
        <v xml:space="preserve">Mobile </v>
      </c>
      <c r="G189" s="265" t="str">
        <f>'Digital Plan - UPI'!H139</f>
        <v xml:space="preserve">Instream </v>
      </c>
      <c r="H189" s="265" t="str">
        <f>'Digital Plan - UPI'!I139</f>
        <v xml:space="preserve">Bumper 6 secs  </v>
      </c>
      <c r="I189" s="308" t="str">
        <f>'Digital Plan - UPI'!J139</f>
        <v>Reff : Targeting Sheet</v>
      </c>
      <c r="J189" s="263" t="str">
        <f>'Digital Plan - UPI'!K139</f>
        <v>CPM</v>
      </c>
      <c r="K189" s="266">
        <f>'Digital Plan - UPI'!L139</f>
        <v>21</v>
      </c>
      <c r="L189" s="267">
        <f>'Digital Plan - UPI'!M139</f>
        <v>45460</v>
      </c>
      <c r="M189" s="267">
        <f>'Digital Plan - UPI'!N139</f>
        <v>45480</v>
      </c>
      <c r="N189" s="266">
        <f>'Digital Plan - UPI'!O139</f>
        <v>428640.91875000001</v>
      </c>
      <c r="O189" s="268" t="str">
        <f>'Digital Plan - UPI'!P139</f>
        <v>-</v>
      </c>
      <c r="P189" s="269">
        <f>'Digital Plan - UPI'!Q139</f>
        <v>1E-3</v>
      </c>
      <c r="Q189" s="266">
        <f>'Digital Plan - UPI'!R139</f>
        <v>428.64091875000003</v>
      </c>
      <c r="R189" s="270">
        <f>'Digital Plan - UPI'!S139</f>
        <v>0.8</v>
      </c>
      <c r="S189" s="271">
        <f>'Digital Plan - UPI'!T139</f>
        <v>342912.73500000004</v>
      </c>
      <c r="T189" s="266">
        <f>'Digital Plan - UPI'!U139</f>
        <v>306172.08482142858</v>
      </c>
      <c r="U189" s="266">
        <f>'Digital Plan - UPI'!V139</f>
        <v>1.4</v>
      </c>
      <c r="V189" s="272">
        <f>'Digital Plan - UPI'!X139</f>
        <v>80</v>
      </c>
      <c r="W189" s="273">
        <f>'Digital Plan - UPI'!Y139</f>
        <v>34291.273500000003</v>
      </c>
      <c r="X189" s="273">
        <f>'Digital Plan - UPI'!Z139</f>
        <v>80</v>
      </c>
      <c r="Y189" s="273">
        <f>'Digital Plan - UPI'!AA139</f>
        <v>80</v>
      </c>
      <c r="Z189" s="274">
        <f>'Digital Plan - UPI'!AB139</f>
        <v>692753</v>
      </c>
      <c r="AA189" s="275">
        <f>'Digital Plan - UPI'!AC139</f>
        <v>0.44196428571428575</v>
      </c>
      <c r="AB189" s="259"/>
      <c r="AC189" s="266"/>
      <c r="AD189" s="266"/>
      <c r="AE189" s="266"/>
      <c r="AF189" s="266"/>
      <c r="AG189" s="266"/>
      <c r="AH189" s="266">
        <f>$N189/3</f>
        <v>142880.30624999999</v>
      </c>
      <c r="AI189" s="266">
        <f t="shared" si="61"/>
        <v>142880.30624999999</v>
      </c>
      <c r="AJ189" s="266">
        <f t="shared" si="61"/>
        <v>142880.30624999999</v>
      </c>
    </row>
    <row r="190" spans="1:36" x14ac:dyDescent="0.35">
      <c r="A190" s="322" t="str">
        <f>'Digital Plan - UPI'!B140</f>
        <v>Kochi</v>
      </c>
      <c r="B190" s="293" t="str">
        <f>'Digital Plan - UPI'!C140</f>
        <v>Core</v>
      </c>
      <c r="C190" s="263" t="str">
        <f>'Digital Plan - UPI'!D140</f>
        <v xml:space="preserve">DSP </v>
      </c>
      <c r="D190" s="263" t="str">
        <f>'Digital Plan - UPI'!E140</f>
        <v>Static</v>
      </c>
      <c r="E190" s="404" t="str">
        <f>'Digital Plan - UPI'!F140</f>
        <v xml:space="preserve">Network </v>
      </c>
      <c r="F190" s="404" t="str">
        <f>'Digital Plan - UPI'!G140</f>
        <v>Mobile</v>
      </c>
      <c r="G190" s="265" t="str">
        <f>'Digital Plan - UPI'!H140</f>
        <v>ROS</v>
      </c>
      <c r="H190" s="265" t="str">
        <f>'Digital Plan - UPI'!I140</f>
        <v>Large Formats</v>
      </c>
      <c r="I190" s="309" t="str">
        <f>'Digital Plan - UPI'!J140</f>
        <v>Reff : Targeting Sheet</v>
      </c>
      <c r="J190" s="263" t="str">
        <f>'Digital Plan - UPI'!K140</f>
        <v>CPM</v>
      </c>
      <c r="K190" s="266">
        <f>'Digital Plan - UPI'!L140</f>
        <v>21</v>
      </c>
      <c r="L190" s="267">
        <f>'Digital Plan - UPI'!M140</f>
        <v>45460</v>
      </c>
      <c r="M190" s="267">
        <f>'Digital Plan - UPI'!N140</f>
        <v>45480</v>
      </c>
      <c r="N190" s="266">
        <f>'Digital Plan - UPI'!O140</f>
        <v>127624.73181687084</v>
      </c>
      <c r="O190" s="268" t="str">
        <f>'Digital Plan - UPI'!P140</f>
        <v>-</v>
      </c>
      <c r="P190" s="269">
        <f>'Digital Plan - UPI'!Q140</f>
        <v>1.4999999999999999E-2</v>
      </c>
      <c r="Q190" s="266">
        <f>'Digital Plan - UPI'!R140</f>
        <v>1914.3709772530626</v>
      </c>
      <c r="R190" s="268" t="str">
        <f>'Digital Plan - UPI'!S140</f>
        <v>-</v>
      </c>
      <c r="S190" s="271" t="str">
        <f>'Digital Plan - UPI'!T140</f>
        <v>-</v>
      </c>
      <c r="T190" s="266">
        <f>'Digital Plan - UPI'!U140</f>
        <v>150146.74331396571</v>
      </c>
      <c r="U190" s="266">
        <f>'Digital Plan - UPI'!V140</f>
        <v>0.85</v>
      </c>
      <c r="V190" s="272">
        <f>'Digital Plan - UPI'!X140</f>
        <v>105</v>
      </c>
      <c r="W190" s="273">
        <f>'Digital Plan - UPI'!Y140</f>
        <v>13400.596840771439</v>
      </c>
      <c r="X190" s="273">
        <f>'Digital Plan - UPI'!Z140</f>
        <v>105</v>
      </c>
      <c r="Y190" s="273">
        <f>'Digital Plan - UPI'!AA140</f>
        <v>7</v>
      </c>
      <c r="Z190" s="274">
        <f>'Digital Plan - UPI'!AB140</f>
        <v>559398.04749999987</v>
      </c>
      <c r="AA190" s="275">
        <f>'Digital Plan - UPI'!AC140</f>
        <v>0.26840769999999997</v>
      </c>
      <c r="AB190" s="259"/>
      <c r="AC190" s="266">
        <f t="shared" ref="AC190:AD192" si="62">$N190*20%</f>
        <v>25524.946363374169</v>
      </c>
      <c r="AD190" s="266">
        <f t="shared" si="62"/>
        <v>25524.946363374169</v>
      </c>
      <c r="AE190" s="266">
        <f t="shared" ref="AE190:AF192" si="63">$N190*15%</f>
        <v>19143.709772530627</v>
      </c>
      <c r="AF190" s="266">
        <f t="shared" si="63"/>
        <v>19143.709772530627</v>
      </c>
      <c r="AG190" s="266">
        <f t="shared" ref="AG190:AH192" si="64">$N190*10%</f>
        <v>12762.473181687084</v>
      </c>
      <c r="AH190" s="266">
        <f t="shared" si="64"/>
        <v>12762.473181687084</v>
      </c>
      <c r="AI190" s="266">
        <f t="shared" ref="AI190:AJ192" si="65">$N190*5%</f>
        <v>6381.2365908435422</v>
      </c>
      <c r="AJ190" s="266">
        <f t="shared" si="65"/>
        <v>6381.2365908435422</v>
      </c>
    </row>
    <row r="191" spans="1:36" x14ac:dyDescent="0.35">
      <c r="A191" s="322" t="str">
        <f>'Digital Plan - UPI'!B141</f>
        <v>Kochi</v>
      </c>
      <c r="B191" s="293" t="str">
        <f>'Digital Plan - UPI'!C141</f>
        <v>Core</v>
      </c>
      <c r="C191" s="310" t="str">
        <f>'Digital Plan - UPI'!D141</f>
        <v>Mediakart</v>
      </c>
      <c r="D191" s="263" t="str">
        <f>'Digital Plan - UPI'!E141</f>
        <v>Static</v>
      </c>
      <c r="E191" s="408" t="str">
        <f>'Digital Plan - UPI'!F141</f>
        <v xml:space="preserve">Network </v>
      </c>
      <c r="F191" s="404" t="str">
        <f>'Digital Plan - UPI'!G141</f>
        <v xml:space="preserve">Mobile </v>
      </c>
      <c r="G191" s="265" t="str">
        <f>'Digital Plan - UPI'!H141</f>
        <v>ROS</v>
      </c>
      <c r="H191" s="265" t="str">
        <f>'Digital Plan - UPI'!I141</f>
        <v>Interstitial Static banner</v>
      </c>
      <c r="I191" s="309" t="str">
        <f>'Digital Plan - UPI'!J141</f>
        <v>Reff : Targeting Sheet</v>
      </c>
      <c r="J191" s="263" t="str">
        <f>'Digital Plan - UPI'!K141</f>
        <v xml:space="preserve">CPM </v>
      </c>
      <c r="K191" s="266">
        <f>'Digital Plan - UPI'!L141</f>
        <v>21</v>
      </c>
      <c r="L191" s="267">
        <f>'Digital Plan - UPI'!M141</f>
        <v>45460</v>
      </c>
      <c r="M191" s="267">
        <f>'Digital Plan - UPI'!N141</f>
        <v>45480</v>
      </c>
      <c r="N191" s="266">
        <f>'Digital Plan - UPI'!O141</f>
        <v>190585.227900144</v>
      </c>
      <c r="O191" s="268" t="str">
        <f>'Digital Plan - UPI'!P141</f>
        <v>-</v>
      </c>
      <c r="P191" s="269">
        <f>'Digital Plan - UPI'!Q141</f>
        <v>1.4999999999999999E-2</v>
      </c>
      <c r="Q191" s="266">
        <f>'Digital Plan - UPI'!R141</f>
        <v>2858.7784185021601</v>
      </c>
      <c r="R191" s="268" t="str">
        <f>'Digital Plan - UPI'!S141</f>
        <v>-</v>
      </c>
      <c r="S191" s="271" t="str">
        <f>'Digital Plan - UPI'!T141</f>
        <v>-</v>
      </c>
      <c r="T191" s="266">
        <f>'Digital Plan - UPI'!U141</f>
        <v>224217.91517664</v>
      </c>
      <c r="U191" s="266">
        <f>'Digital Plan - UPI'!V141</f>
        <v>0.85</v>
      </c>
      <c r="V191" s="272">
        <f>'Digital Plan - UPI'!X141</f>
        <v>120</v>
      </c>
      <c r="W191" s="273">
        <f>'Digital Plan - UPI'!Y141</f>
        <v>22870.227348017281</v>
      </c>
      <c r="X191" s="273">
        <f>'Digital Plan - UPI'!Z141</f>
        <v>120</v>
      </c>
      <c r="Y191" s="273">
        <f>'Digital Plan - UPI'!AA141</f>
        <v>8</v>
      </c>
      <c r="Z191" s="274">
        <f>'Digital Plan - UPI'!AB141</f>
        <v>522102</v>
      </c>
      <c r="AA191" s="275">
        <f>'Digital Plan - UPI'!AC141</f>
        <v>0.42945232</v>
      </c>
      <c r="AB191" s="259"/>
      <c r="AC191" s="266">
        <f t="shared" si="62"/>
        <v>38117.045580028804</v>
      </c>
      <c r="AD191" s="266">
        <f t="shared" si="62"/>
        <v>38117.045580028804</v>
      </c>
      <c r="AE191" s="266">
        <f t="shared" si="63"/>
        <v>28587.784185021599</v>
      </c>
      <c r="AF191" s="266">
        <f t="shared" si="63"/>
        <v>28587.784185021599</v>
      </c>
      <c r="AG191" s="266">
        <f t="shared" si="64"/>
        <v>19058.522790014402</v>
      </c>
      <c r="AH191" s="266">
        <f t="shared" si="64"/>
        <v>19058.522790014402</v>
      </c>
      <c r="AI191" s="266">
        <f t="shared" si="65"/>
        <v>9529.2613950072009</v>
      </c>
      <c r="AJ191" s="266">
        <f t="shared" si="65"/>
        <v>9529.2613950072009</v>
      </c>
    </row>
    <row r="192" spans="1:36" x14ac:dyDescent="0.35">
      <c r="A192" s="322" t="str">
        <f>'Digital Plan - UPI'!B142</f>
        <v>Kochi</v>
      </c>
      <c r="B192" s="293" t="str">
        <f>'Digital Plan - UPI'!C142</f>
        <v>Core</v>
      </c>
      <c r="C192" s="310" t="str">
        <f>'Digital Plan - UPI'!D142</f>
        <v>Dailyhunt</v>
      </c>
      <c r="D192" s="311" t="str">
        <f>'Digital Plan - UPI'!E142</f>
        <v>Static</v>
      </c>
      <c r="E192" s="408" t="str">
        <f>'Digital Plan - UPI'!F142</f>
        <v>News</v>
      </c>
      <c r="F192" s="404" t="str">
        <f>'Digital Plan - UPI'!G142</f>
        <v xml:space="preserve">Mobile </v>
      </c>
      <c r="G192" s="310" t="str">
        <f>'Digital Plan - UPI'!H142</f>
        <v>ROS</v>
      </c>
      <c r="H192" s="263" t="str">
        <f>'Digital Plan - UPI'!I142</f>
        <v>Page Insert - Innovation</v>
      </c>
      <c r="I192" s="309" t="str">
        <f>'Digital Plan - UPI'!J142</f>
        <v>Reff : Targeting Sheet</v>
      </c>
      <c r="J192" s="263" t="str">
        <f>'Digital Plan - UPI'!K142</f>
        <v>CPM</v>
      </c>
      <c r="K192" s="266">
        <f>'Digital Plan - UPI'!L142</f>
        <v>21</v>
      </c>
      <c r="L192" s="267">
        <f>'Digital Plan - UPI'!M142</f>
        <v>45460</v>
      </c>
      <c r="M192" s="267">
        <f>'Digital Plan - UPI'!N142</f>
        <v>45480</v>
      </c>
      <c r="N192" s="266">
        <f>'Digital Plan - UPI'!O142</f>
        <v>152499.58441056899</v>
      </c>
      <c r="O192" s="268" t="str">
        <f>'Digital Plan - UPI'!P142</f>
        <v>-</v>
      </c>
      <c r="P192" s="312">
        <f>'Digital Plan - UPI'!Q142</f>
        <v>0.01</v>
      </c>
      <c r="Q192" s="266">
        <f>'Digital Plan - UPI'!R142</f>
        <v>1524.9958441056899</v>
      </c>
      <c r="R192" s="268" t="str">
        <f>'Digital Plan - UPI'!S142</f>
        <v>-</v>
      </c>
      <c r="S192" s="271" t="str">
        <f>'Digital Plan - UPI'!T142</f>
        <v>-</v>
      </c>
      <c r="T192" s="266">
        <f>'Digital Plan - UPI'!U142</f>
        <v>179411.27577713999</v>
      </c>
      <c r="U192" s="266">
        <f>'Digital Plan - UPI'!V142</f>
        <v>0.85</v>
      </c>
      <c r="V192" s="272">
        <f>'Digital Plan - UPI'!X142</f>
        <v>200</v>
      </c>
      <c r="W192" s="273">
        <f>'Digital Plan - UPI'!Y142</f>
        <v>30499.916882113801</v>
      </c>
      <c r="X192" s="273">
        <f>'Digital Plan - UPI'!Z142</f>
        <v>200</v>
      </c>
      <c r="Y192" s="273">
        <f>'Digital Plan - UPI'!AA142</f>
        <v>20.000000000000004</v>
      </c>
      <c r="Z192" s="274">
        <f>'Digital Plan - UPI'!AB142</f>
        <v>607662</v>
      </c>
      <c r="AA192" s="275">
        <f>'Digital Plan - UPI'!AC142</f>
        <v>0.29524846999999999</v>
      </c>
      <c r="AB192" s="259"/>
      <c r="AC192" s="266">
        <f t="shared" si="62"/>
        <v>30499.916882113801</v>
      </c>
      <c r="AD192" s="266">
        <f t="shared" si="62"/>
        <v>30499.916882113801</v>
      </c>
      <c r="AE192" s="266">
        <f t="shared" si="63"/>
        <v>22874.937661585347</v>
      </c>
      <c r="AF192" s="266">
        <f t="shared" si="63"/>
        <v>22874.937661585347</v>
      </c>
      <c r="AG192" s="266">
        <f t="shared" si="64"/>
        <v>15249.9584410569</v>
      </c>
      <c r="AH192" s="266">
        <f t="shared" si="64"/>
        <v>15249.9584410569</v>
      </c>
      <c r="AI192" s="266">
        <f t="shared" si="65"/>
        <v>7624.9792205284502</v>
      </c>
      <c r="AJ192" s="266">
        <f t="shared" si="65"/>
        <v>7624.9792205284502</v>
      </c>
    </row>
    <row r="193" spans="1:36" x14ac:dyDescent="0.35">
      <c r="A193" s="277" t="str">
        <f>'Digital Plan - UPI'!B143</f>
        <v>Kochi</v>
      </c>
      <c r="B193" s="278">
        <f>'Digital Plan - UPI'!C143</f>
        <v>0</v>
      </c>
      <c r="C193" s="279" t="str">
        <f>'Digital Plan - UPI'!D143</f>
        <v>Total</v>
      </c>
      <c r="D193" s="280">
        <f>'Digital Plan - UPI'!E143</f>
        <v>0</v>
      </c>
      <c r="E193" s="405">
        <f>'Digital Plan - UPI'!F143</f>
        <v>0</v>
      </c>
      <c r="F193" s="405">
        <f>'Digital Plan - UPI'!G143</f>
        <v>0</v>
      </c>
      <c r="G193" s="280">
        <f>'Digital Plan - UPI'!H143</f>
        <v>0</v>
      </c>
      <c r="H193" s="281">
        <f>'Digital Plan - UPI'!I143</f>
        <v>0</v>
      </c>
      <c r="I193" s="282">
        <f>'Digital Plan - UPI'!J143</f>
        <v>0</v>
      </c>
      <c r="J193" s="283">
        <f>'Digital Plan - UPI'!K143</f>
        <v>0</v>
      </c>
      <c r="K193" s="284">
        <f>'Digital Plan - UPI'!L143</f>
        <v>0</v>
      </c>
      <c r="L193" s="284">
        <f>'Digital Plan - UPI'!M143</f>
        <v>0</v>
      </c>
      <c r="M193" s="284">
        <f>'Digital Plan - UPI'!N143</f>
        <v>0</v>
      </c>
      <c r="N193" s="284">
        <f>'Digital Plan - UPI'!O143</f>
        <v>3805292.599508815</v>
      </c>
      <c r="O193" s="284">
        <f>'Digital Plan - UPI'!P143</f>
        <v>0</v>
      </c>
      <c r="P193" s="285">
        <f>'Digital Plan - UPI'!Q143</f>
        <v>1.8432612376974625E-3</v>
      </c>
      <c r="Q193" s="284">
        <f>'Digital Plan - UPI'!R143</f>
        <v>7014.1483467716125</v>
      </c>
      <c r="R193" s="286">
        <f>'Digital Plan - UPI'!S143</f>
        <v>0</v>
      </c>
      <c r="S193" s="284">
        <f>'Digital Plan - UPI'!T143</f>
        <v>2685340.8834755416</v>
      </c>
      <c r="T193" s="284">
        <f>'Digital Plan - UPI'!U143</f>
        <v>484689.63707583246</v>
      </c>
      <c r="U193" s="284">
        <f>'Digital Plan - UPI'!V143</f>
        <v>7.8509881549488449</v>
      </c>
      <c r="V193" s="287">
        <f>'Digital Plan - UPI'!X143</f>
        <v>0</v>
      </c>
      <c r="W193" s="317">
        <f>'Digital Plan - UPI'!Y143</f>
        <v>423144.35946989787</v>
      </c>
      <c r="X193" s="288">
        <f>'Digital Plan - UPI'!Z143</f>
        <v>111.19890216182512</v>
      </c>
      <c r="Y193" s="288">
        <f>'Digital Plan - UPI'!AA143</f>
        <v>60.327261208362899</v>
      </c>
      <c r="Z193" s="284">
        <f>'Digital Plan - UPI'!AB143</f>
        <v>750402.26194999996</v>
      </c>
      <c r="AA193" s="289">
        <f>'Digital Plan - UPI'!AC143</f>
        <v>0.64590641800081328</v>
      </c>
      <c r="AB193" s="259"/>
      <c r="AC193" s="284"/>
      <c r="AD193" s="284"/>
      <c r="AE193" s="284"/>
      <c r="AF193" s="284"/>
      <c r="AG193" s="284"/>
      <c r="AH193" s="284"/>
      <c r="AI193" s="284"/>
      <c r="AJ193" s="284"/>
    </row>
    <row r="194" spans="1:36" x14ac:dyDescent="0.35">
      <c r="A194" s="322" t="e">
        <f>'Digital Plan - UPI'!#REF!</f>
        <v>#REF!</v>
      </c>
      <c r="B194" s="293" t="e">
        <f>'Digital Plan - UPI'!#REF!</f>
        <v>#REF!</v>
      </c>
      <c r="C194" s="294" t="e">
        <f>'Digital Plan - UPI'!#REF!</f>
        <v>#REF!</v>
      </c>
      <c r="D194" s="294" t="e">
        <f>'Digital Plan - UPI'!#REF!</f>
        <v>#REF!</v>
      </c>
      <c r="E194" s="406" t="e">
        <f>'Digital Plan - UPI'!#REF!</f>
        <v>#REF!</v>
      </c>
      <c r="F194" s="406" t="e">
        <f>'Digital Plan - UPI'!#REF!</f>
        <v>#REF!</v>
      </c>
      <c r="G194" s="296" t="e">
        <f>'Digital Plan - UPI'!#REF!</f>
        <v>#REF!</v>
      </c>
      <c r="H194" s="296" t="e">
        <f>'Digital Plan - UPI'!#REF!</f>
        <v>#REF!</v>
      </c>
      <c r="I194" s="297" t="e">
        <f>'Digital Plan - UPI'!#REF!</f>
        <v>#REF!</v>
      </c>
      <c r="J194" s="295" t="e">
        <f>'Digital Plan - UPI'!#REF!</f>
        <v>#REF!</v>
      </c>
      <c r="K194" s="298" t="e">
        <f>'Digital Plan - UPI'!#REF!</f>
        <v>#REF!</v>
      </c>
      <c r="L194" s="299" t="e">
        <f>'Digital Plan - UPI'!#REF!</f>
        <v>#REF!</v>
      </c>
      <c r="M194" s="299" t="e">
        <f>'Digital Plan - UPI'!#REF!</f>
        <v>#REF!</v>
      </c>
      <c r="N194" s="298" t="e">
        <f>'Digital Plan - UPI'!#REF!</f>
        <v>#REF!</v>
      </c>
      <c r="O194" s="300" t="e">
        <f>'Digital Plan - UPI'!#REF!</f>
        <v>#REF!</v>
      </c>
      <c r="P194" s="301" t="e">
        <f>'Digital Plan - UPI'!#REF!</f>
        <v>#REF!</v>
      </c>
      <c r="Q194" s="298" t="e">
        <f>'Digital Plan - UPI'!#REF!</f>
        <v>#REF!</v>
      </c>
      <c r="R194" s="302" t="e">
        <f>'Digital Plan - UPI'!#REF!</f>
        <v>#REF!</v>
      </c>
      <c r="S194" s="303" t="e">
        <f>'Digital Plan - UPI'!#REF!</f>
        <v>#REF!</v>
      </c>
      <c r="T194" s="298" t="e">
        <f>'Digital Plan - UPI'!#REF!</f>
        <v>#REF!</v>
      </c>
      <c r="U194" s="298" t="e">
        <f>'Digital Plan - UPI'!#REF!</f>
        <v>#REF!</v>
      </c>
      <c r="V194" s="304" t="e">
        <f>'Digital Plan - UPI'!#REF!</f>
        <v>#REF!</v>
      </c>
      <c r="W194" s="305" t="e">
        <f>'Digital Plan - UPI'!#REF!</f>
        <v>#REF!</v>
      </c>
      <c r="X194" s="305" t="e">
        <f>'Digital Plan - UPI'!#REF!</f>
        <v>#REF!</v>
      </c>
      <c r="Y194" s="305" t="e">
        <f>'Digital Plan - UPI'!#REF!</f>
        <v>#REF!</v>
      </c>
      <c r="Z194" s="306" t="e">
        <f>'Digital Plan - UPI'!#REF!</f>
        <v>#REF!</v>
      </c>
      <c r="AA194" s="307" t="e">
        <f>'Digital Plan - UPI'!#REF!</f>
        <v>#REF!</v>
      </c>
      <c r="AB194" s="259"/>
      <c r="AC194" s="298" t="e">
        <f>N194/2</f>
        <v>#REF!</v>
      </c>
      <c r="AD194" s="298" t="e">
        <f>N194/2</f>
        <v>#REF!</v>
      </c>
      <c r="AE194" s="298"/>
      <c r="AF194" s="298"/>
      <c r="AG194" s="298"/>
      <c r="AH194" s="298"/>
      <c r="AI194" s="298"/>
      <c r="AJ194" s="298"/>
    </row>
    <row r="195" spans="1:36" x14ac:dyDescent="0.35">
      <c r="A195" s="322" t="e">
        <f>'Digital Plan - UPI'!#REF!</f>
        <v>#REF!</v>
      </c>
      <c r="B195" s="293" t="e">
        <f>'Digital Plan - UPI'!#REF!</f>
        <v>#REF!</v>
      </c>
      <c r="C195" s="295" t="e">
        <f>'Digital Plan - UPI'!#REF!</f>
        <v>#REF!</v>
      </c>
      <c r="D195" s="295" t="e">
        <f>'Digital Plan - UPI'!#REF!</f>
        <v>#REF!</v>
      </c>
      <c r="E195" s="406" t="e">
        <f>'Digital Plan - UPI'!#REF!</f>
        <v>#REF!</v>
      </c>
      <c r="F195" s="407" t="e">
        <f>'Digital Plan - UPI'!#REF!</f>
        <v>#REF!</v>
      </c>
      <c r="G195" s="296" t="e">
        <f>'Digital Plan - UPI'!#REF!</f>
        <v>#REF!</v>
      </c>
      <c r="H195" s="296" t="e">
        <f>'Digital Plan - UPI'!#REF!</f>
        <v>#REF!</v>
      </c>
      <c r="I195" s="297" t="e">
        <f>'Digital Plan - UPI'!#REF!</f>
        <v>#REF!</v>
      </c>
      <c r="J195" s="295" t="e">
        <f>'Digital Plan - UPI'!#REF!</f>
        <v>#REF!</v>
      </c>
      <c r="K195" s="298" t="e">
        <f>'Digital Plan - UPI'!#REF!</f>
        <v>#REF!</v>
      </c>
      <c r="L195" s="299" t="e">
        <f>'Digital Plan - UPI'!#REF!</f>
        <v>#REF!</v>
      </c>
      <c r="M195" s="299" t="e">
        <f>'Digital Plan - UPI'!#REF!</f>
        <v>#REF!</v>
      </c>
      <c r="N195" s="298" t="e">
        <f>'Digital Plan - UPI'!#REF!</f>
        <v>#REF!</v>
      </c>
      <c r="O195" s="300" t="e">
        <f>'Digital Plan - UPI'!#REF!</f>
        <v>#REF!</v>
      </c>
      <c r="P195" s="301" t="e">
        <f>'Digital Plan - UPI'!#REF!</f>
        <v>#REF!</v>
      </c>
      <c r="Q195" s="298" t="e">
        <f>'Digital Plan - UPI'!#REF!</f>
        <v>#REF!</v>
      </c>
      <c r="R195" s="302" t="e">
        <f>'Digital Plan - UPI'!#REF!</f>
        <v>#REF!</v>
      </c>
      <c r="S195" s="303" t="e">
        <f>'Digital Plan - UPI'!#REF!</f>
        <v>#REF!</v>
      </c>
      <c r="T195" s="298" t="e">
        <f>'Digital Plan - UPI'!#REF!</f>
        <v>#REF!</v>
      </c>
      <c r="U195" s="298" t="e">
        <f>'Digital Plan - UPI'!#REF!</f>
        <v>#REF!</v>
      </c>
      <c r="V195" s="304" t="e">
        <f>'Digital Plan - UPI'!#REF!</f>
        <v>#REF!</v>
      </c>
      <c r="W195" s="305" t="e">
        <f>'Digital Plan - UPI'!#REF!</f>
        <v>#REF!</v>
      </c>
      <c r="X195" s="305" t="e">
        <f>'Digital Plan - UPI'!#REF!</f>
        <v>#REF!</v>
      </c>
      <c r="Y195" s="305" t="e">
        <f>'Digital Plan - UPI'!#REF!</f>
        <v>#REF!</v>
      </c>
      <c r="Z195" s="306" t="e">
        <f>'Digital Plan - UPI'!#REF!</f>
        <v>#REF!</v>
      </c>
      <c r="AA195" s="307" t="e">
        <f>'Digital Plan - UPI'!#REF!</f>
        <v>#REF!</v>
      </c>
      <c r="AB195" s="259"/>
      <c r="AC195" s="298" t="e">
        <f>N195/2</f>
        <v>#REF!</v>
      </c>
      <c r="AD195" s="298" t="e">
        <f>N195/2</f>
        <v>#REF!</v>
      </c>
      <c r="AE195" s="298"/>
      <c r="AF195" s="298"/>
      <c r="AG195" s="298"/>
      <c r="AH195" s="298"/>
      <c r="AI195" s="298"/>
      <c r="AJ195" s="298"/>
    </row>
    <row r="196" spans="1:36" x14ac:dyDescent="0.35">
      <c r="A196" s="322" t="str">
        <f>'Digital Plan - UPI'!B144</f>
        <v>Lucknow</v>
      </c>
      <c r="B196" s="293" t="str">
        <f>'Digital Plan - UPI'!C144</f>
        <v>Core - CTV</v>
      </c>
      <c r="C196" s="294" t="str">
        <f>'Digital Plan - UPI'!D144</f>
        <v>Connected TV PMP</v>
      </c>
      <c r="D196" s="294" t="str">
        <f>'Digital Plan - UPI'!E144</f>
        <v>Video</v>
      </c>
      <c r="E196" s="406" t="str">
        <f>'Digital Plan - UPI'!F144</f>
        <v xml:space="preserve">Entertainment </v>
      </c>
      <c r="F196" s="406" t="str">
        <f>'Digital Plan - UPI'!G144</f>
        <v>CTV</v>
      </c>
      <c r="G196" s="296" t="str">
        <f>'Digital Plan - UPI'!H144</f>
        <v>Instream</v>
      </c>
      <c r="H196" s="296" t="str">
        <f>'Digital Plan - UPI'!I144</f>
        <v xml:space="preserve">Video-6 Sec </v>
      </c>
      <c r="I196" s="297" t="str">
        <f>'Digital Plan - UPI'!J144</f>
        <v>Reff : Targeting Sheet</v>
      </c>
      <c r="J196" s="295" t="str">
        <f>'Digital Plan - UPI'!K144</f>
        <v>CPM</v>
      </c>
      <c r="K196" s="298">
        <f>'Digital Plan - UPI'!L144</f>
        <v>21</v>
      </c>
      <c r="L196" s="299">
        <f>'Digital Plan - UPI'!M144</f>
        <v>45460</v>
      </c>
      <c r="M196" s="299">
        <f>'Digital Plan - UPI'!N144</f>
        <v>45480</v>
      </c>
      <c r="N196" s="298">
        <f>'Digital Plan - UPI'!O144</f>
        <v>1129652.6146507009</v>
      </c>
      <c r="O196" s="300" t="str">
        <f>'Digital Plan - UPI'!P144</f>
        <v>-</v>
      </c>
      <c r="P196" s="301">
        <f>'Digital Plan - UPI'!Q144</f>
        <v>0</v>
      </c>
      <c r="Q196" s="298">
        <f>'Digital Plan - UPI'!R144</f>
        <v>0</v>
      </c>
      <c r="R196" s="302">
        <f>'Digital Plan - UPI'!S144</f>
        <v>0.85</v>
      </c>
      <c r="S196" s="303">
        <f>'Digital Plan - UPI'!T144</f>
        <v>960204.72245309572</v>
      </c>
      <c r="T196" s="298">
        <f>'Digital Plan - UPI'!U144</f>
        <v>276875.64084576</v>
      </c>
      <c r="U196" s="298">
        <f>'Digital Plan - UPI'!V144</f>
        <v>4.08</v>
      </c>
      <c r="V196" s="304">
        <f>'Digital Plan - UPI'!X144</f>
        <v>125</v>
      </c>
      <c r="W196" s="305">
        <f>'Digital Plan - UPI'!Y144</f>
        <v>141206.57683133762</v>
      </c>
      <c r="X196" s="305">
        <f>'Digital Plan - UPI'!Z144</f>
        <v>125</v>
      </c>
      <c r="Y196" s="305">
        <f>'Digital Plan - UPI'!AA144</f>
        <v>0</v>
      </c>
      <c r="Z196" s="306">
        <f>'Digital Plan - UPI'!AB144</f>
        <v>322359</v>
      </c>
      <c r="AA196" s="307">
        <f>'Digital Plan - UPI'!AC144</f>
        <v>0.85890464</v>
      </c>
      <c r="AB196" s="259"/>
      <c r="AC196" s="298"/>
      <c r="AD196" s="298"/>
      <c r="AE196" s="298">
        <f>$N196/3</f>
        <v>376550.87155023363</v>
      </c>
      <c r="AF196" s="298">
        <f t="shared" ref="AF196:AJ201" si="66">$N196/3</f>
        <v>376550.87155023363</v>
      </c>
      <c r="AG196" s="298">
        <f t="shared" si="66"/>
        <v>376550.87155023363</v>
      </c>
      <c r="AH196" s="298"/>
      <c r="AI196" s="298"/>
      <c r="AJ196" s="298"/>
    </row>
    <row r="197" spans="1:36" x14ac:dyDescent="0.35">
      <c r="A197" s="322" t="e">
        <f>'Digital Plan - UPI'!#REF!</f>
        <v>#REF!</v>
      </c>
      <c r="B197" s="293" t="e">
        <f>'Digital Plan - UPI'!#REF!</f>
        <v>#REF!</v>
      </c>
      <c r="C197" s="294" t="e">
        <f>'Digital Plan - UPI'!#REF!</f>
        <v>#REF!</v>
      </c>
      <c r="D197" s="294" t="e">
        <f>'Digital Plan - UPI'!#REF!</f>
        <v>#REF!</v>
      </c>
      <c r="E197" s="406" t="e">
        <f>'Digital Plan - UPI'!#REF!</f>
        <v>#REF!</v>
      </c>
      <c r="F197" s="406" t="e">
        <f>'Digital Plan - UPI'!#REF!</f>
        <v>#REF!</v>
      </c>
      <c r="G197" s="296" t="e">
        <f>'Digital Plan - UPI'!#REF!</f>
        <v>#REF!</v>
      </c>
      <c r="H197" s="296" t="e">
        <f>'Digital Plan - UPI'!#REF!</f>
        <v>#REF!</v>
      </c>
      <c r="I197" s="297" t="e">
        <f>'Digital Plan - UPI'!#REF!</f>
        <v>#REF!</v>
      </c>
      <c r="J197" s="295" t="e">
        <f>'Digital Plan - UPI'!#REF!</f>
        <v>#REF!</v>
      </c>
      <c r="K197" s="298" t="e">
        <f>'Digital Plan - UPI'!#REF!</f>
        <v>#REF!</v>
      </c>
      <c r="L197" s="299" t="e">
        <f>'Digital Plan - UPI'!#REF!</f>
        <v>#REF!</v>
      </c>
      <c r="M197" s="299" t="e">
        <f>'Digital Plan - UPI'!#REF!</f>
        <v>#REF!</v>
      </c>
      <c r="N197" s="298" t="e">
        <f>'Digital Plan - UPI'!#REF!</f>
        <v>#REF!</v>
      </c>
      <c r="O197" s="300" t="e">
        <f>'Digital Plan - UPI'!#REF!</f>
        <v>#REF!</v>
      </c>
      <c r="P197" s="301" t="e">
        <f>'Digital Plan - UPI'!#REF!</f>
        <v>#REF!</v>
      </c>
      <c r="Q197" s="298" t="e">
        <f>'Digital Plan - UPI'!#REF!</f>
        <v>#REF!</v>
      </c>
      <c r="R197" s="302" t="e">
        <f>'Digital Plan - UPI'!#REF!</f>
        <v>#REF!</v>
      </c>
      <c r="S197" s="303" t="e">
        <f>'Digital Plan - UPI'!#REF!</f>
        <v>#REF!</v>
      </c>
      <c r="T197" s="298" t="e">
        <f>'Digital Plan - UPI'!#REF!</f>
        <v>#REF!</v>
      </c>
      <c r="U197" s="298" t="e">
        <f>'Digital Plan - UPI'!#REF!</f>
        <v>#REF!</v>
      </c>
      <c r="V197" s="304" t="e">
        <f>'Digital Plan - UPI'!#REF!</f>
        <v>#REF!</v>
      </c>
      <c r="W197" s="305" t="e">
        <f>'Digital Plan - UPI'!#REF!</f>
        <v>#REF!</v>
      </c>
      <c r="X197" s="305" t="e">
        <f>'Digital Plan - UPI'!#REF!</f>
        <v>#REF!</v>
      </c>
      <c r="Y197" s="305" t="e">
        <f>'Digital Plan - UPI'!#REF!</f>
        <v>#REF!</v>
      </c>
      <c r="Z197" s="306" t="e">
        <f>'Digital Plan - UPI'!#REF!</f>
        <v>#REF!</v>
      </c>
      <c r="AA197" s="307" t="e">
        <f>'Digital Plan - UPI'!#REF!</f>
        <v>#REF!</v>
      </c>
      <c r="AB197" s="259"/>
      <c r="AC197" s="298"/>
      <c r="AD197" s="298"/>
      <c r="AE197" s="298"/>
      <c r="AF197" s="298"/>
      <c r="AG197" s="298"/>
      <c r="AH197" s="298" t="e">
        <f>$N197/3</f>
        <v>#REF!</v>
      </c>
      <c r="AI197" s="298" t="e">
        <f t="shared" si="66"/>
        <v>#REF!</v>
      </c>
      <c r="AJ197" s="298" t="e">
        <f t="shared" si="66"/>
        <v>#REF!</v>
      </c>
    </row>
    <row r="198" spans="1:36" x14ac:dyDescent="0.35">
      <c r="A198" s="322" t="str">
        <f>'Digital Plan - UPI'!B145</f>
        <v>Lucknow</v>
      </c>
      <c r="B198" s="293" t="str">
        <f>'Digital Plan - UPI'!C145</f>
        <v>Core - CTV</v>
      </c>
      <c r="C198" s="295" t="str">
        <f>'Digital Plan - UPI'!D145</f>
        <v xml:space="preserve">YouTube </v>
      </c>
      <c r="D198" s="295" t="str">
        <f>'Digital Plan - UPI'!E145</f>
        <v>Video</v>
      </c>
      <c r="E198" s="406" t="str">
        <f>'Digital Plan - UPI'!F145</f>
        <v xml:space="preserve">Entertainment </v>
      </c>
      <c r="F198" s="407" t="str">
        <f>'Digital Plan - UPI'!G145</f>
        <v>CTV</v>
      </c>
      <c r="G198" s="296" t="str">
        <f>'Digital Plan - UPI'!H145</f>
        <v>Instream</v>
      </c>
      <c r="H198" s="296" t="str">
        <f>'Digital Plan - UPI'!I145</f>
        <v xml:space="preserve">Bumper 6 secs  </v>
      </c>
      <c r="I198" s="297" t="str">
        <f>'Digital Plan - UPI'!J145</f>
        <v>Reff : Targeting Sheet</v>
      </c>
      <c r="J198" s="295" t="str">
        <f>'Digital Plan - UPI'!K145</f>
        <v>CPM</v>
      </c>
      <c r="K198" s="298">
        <f>'Digital Plan - UPI'!L145</f>
        <v>21</v>
      </c>
      <c r="L198" s="299">
        <f>'Digital Plan - UPI'!M145</f>
        <v>45460</v>
      </c>
      <c r="M198" s="299">
        <f>'Digital Plan - UPI'!N145</f>
        <v>45480</v>
      </c>
      <c r="N198" s="298">
        <f>'Digital Plan - UPI'!O145</f>
        <v>1916125.6363636367</v>
      </c>
      <c r="O198" s="300" t="str">
        <f>'Digital Plan - UPI'!P145</f>
        <v>-</v>
      </c>
      <c r="P198" s="301">
        <f>'Digital Plan - UPI'!Q145</f>
        <v>0</v>
      </c>
      <c r="Q198" s="298">
        <f>'Digital Plan - UPI'!R145</f>
        <v>0</v>
      </c>
      <c r="R198" s="302">
        <f>'Digital Plan - UPI'!S145</f>
        <v>0.8</v>
      </c>
      <c r="S198" s="303">
        <f>'Digital Plan - UPI'!T145</f>
        <v>1532900.5090909095</v>
      </c>
      <c r="T198" s="298">
        <f>'Digital Plan - UPI'!U145</f>
        <v>348386.47933884303</v>
      </c>
      <c r="U198" s="298">
        <f>'Digital Plan - UPI'!V145</f>
        <v>5.5</v>
      </c>
      <c r="V198" s="304">
        <f>'Digital Plan - UPI'!X145</f>
        <v>110</v>
      </c>
      <c r="W198" s="305">
        <f>'Digital Plan - UPI'!Y145</f>
        <v>210773.82000000004</v>
      </c>
      <c r="X198" s="305">
        <f>'Digital Plan - UPI'!Z145</f>
        <v>110</v>
      </c>
      <c r="Y198" s="305">
        <f>'Digital Plan - UPI'!AA145</f>
        <v>0</v>
      </c>
      <c r="Z198" s="306">
        <f>'Digital Plan - UPI'!AB145</f>
        <v>413282</v>
      </c>
      <c r="AA198" s="307">
        <f>'Digital Plan - UPI'!AC145</f>
        <v>0.84297520661157033</v>
      </c>
      <c r="AB198" s="259"/>
      <c r="AC198" s="298"/>
      <c r="AD198" s="298"/>
      <c r="AE198" s="298">
        <f>$N198/3</f>
        <v>638708.54545454553</v>
      </c>
      <c r="AF198" s="298">
        <f t="shared" si="66"/>
        <v>638708.54545454553</v>
      </c>
      <c r="AG198" s="298">
        <f t="shared" si="66"/>
        <v>638708.54545454553</v>
      </c>
      <c r="AH198" s="298"/>
      <c r="AI198" s="298"/>
      <c r="AJ198" s="298"/>
    </row>
    <row r="199" spans="1:36" x14ac:dyDescent="0.35">
      <c r="A199" s="322" t="e">
        <f>'Digital Plan - UPI'!#REF!</f>
        <v>#REF!</v>
      </c>
      <c r="B199" s="293" t="e">
        <f>'Digital Plan - UPI'!#REF!</f>
        <v>#REF!</v>
      </c>
      <c r="C199" s="295" t="e">
        <f>'Digital Plan - UPI'!#REF!</f>
        <v>#REF!</v>
      </c>
      <c r="D199" s="295" t="e">
        <f>'Digital Plan - UPI'!#REF!</f>
        <v>#REF!</v>
      </c>
      <c r="E199" s="406" t="e">
        <f>'Digital Plan - UPI'!#REF!</f>
        <v>#REF!</v>
      </c>
      <c r="F199" s="407" t="e">
        <f>'Digital Plan - UPI'!#REF!</f>
        <v>#REF!</v>
      </c>
      <c r="G199" s="296" t="e">
        <f>'Digital Plan - UPI'!#REF!</f>
        <v>#REF!</v>
      </c>
      <c r="H199" s="296" t="e">
        <f>'Digital Plan - UPI'!#REF!</f>
        <v>#REF!</v>
      </c>
      <c r="I199" s="297" t="e">
        <f>'Digital Plan - UPI'!#REF!</f>
        <v>#REF!</v>
      </c>
      <c r="J199" s="295" t="e">
        <f>'Digital Plan - UPI'!#REF!</f>
        <v>#REF!</v>
      </c>
      <c r="K199" s="298" t="e">
        <f>'Digital Plan - UPI'!#REF!</f>
        <v>#REF!</v>
      </c>
      <c r="L199" s="299" t="e">
        <f>'Digital Plan - UPI'!#REF!</f>
        <v>#REF!</v>
      </c>
      <c r="M199" s="299" t="e">
        <f>'Digital Plan - UPI'!#REF!</f>
        <v>#REF!</v>
      </c>
      <c r="N199" s="298" t="e">
        <f>'Digital Plan - UPI'!#REF!</f>
        <v>#REF!</v>
      </c>
      <c r="O199" s="300" t="e">
        <f>'Digital Plan - UPI'!#REF!</f>
        <v>#REF!</v>
      </c>
      <c r="P199" s="301" t="e">
        <f>'Digital Plan - UPI'!#REF!</f>
        <v>#REF!</v>
      </c>
      <c r="Q199" s="298" t="e">
        <f>'Digital Plan - UPI'!#REF!</f>
        <v>#REF!</v>
      </c>
      <c r="R199" s="302" t="e">
        <f>'Digital Plan - UPI'!#REF!</f>
        <v>#REF!</v>
      </c>
      <c r="S199" s="303" t="e">
        <f>'Digital Plan - UPI'!#REF!</f>
        <v>#REF!</v>
      </c>
      <c r="T199" s="298" t="e">
        <f>'Digital Plan - UPI'!#REF!</f>
        <v>#REF!</v>
      </c>
      <c r="U199" s="298" t="e">
        <f>'Digital Plan - UPI'!#REF!</f>
        <v>#REF!</v>
      </c>
      <c r="V199" s="304" t="e">
        <f>'Digital Plan - UPI'!#REF!</f>
        <v>#REF!</v>
      </c>
      <c r="W199" s="305" t="e">
        <f>'Digital Plan - UPI'!#REF!</f>
        <v>#REF!</v>
      </c>
      <c r="X199" s="305" t="e">
        <f>'Digital Plan - UPI'!#REF!</f>
        <v>#REF!</v>
      </c>
      <c r="Y199" s="305" t="e">
        <f>'Digital Plan - UPI'!#REF!</f>
        <v>#REF!</v>
      </c>
      <c r="Z199" s="306" t="e">
        <f>'Digital Plan - UPI'!#REF!</f>
        <v>#REF!</v>
      </c>
      <c r="AA199" s="307" t="e">
        <f>'Digital Plan - UPI'!#REF!</f>
        <v>#REF!</v>
      </c>
      <c r="AB199" s="259"/>
      <c r="AC199" s="298"/>
      <c r="AD199" s="298"/>
      <c r="AE199" s="298"/>
      <c r="AF199" s="298"/>
      <c r="AG199" s="298"/>
      <c r="AH199" s="298" t="e">
        <f>$N199/3</f>
        <v>#REF!</v>
      </c>
      <c r="AI199" s="298" t="e">
        <f t="shared" si="66"/>
        <v>#REF!</v>
      </c>
      <c r="AJ199" s="298" t="e">
        <f t="shared" si="66"/>
        <v>#REF!</v>
      </c>
    </row>
    <row r="200" spans="1:36" x14ac:dyDescent="0.35">
      <c r="A200" s="322" t="str">
        <f>'Digital Plan - UPI'!B146</f>
        <v>Lucknow</v>
      </c>
      <c r="B200" s="293" t="str">
        <f>'Digital Plan - UPI'!C146</f>
        <v>Core</v>
      </c>
      <c r="C200" s="264" t="str">
        <f>'Digital Plan - UPI'!D146</f>
        <v>Meta</v>
      </c>
      <c r="D200" s="264" t="str">
        <f>'Digital Plan - UPI'!E146</f>
        <v>Video</v>
      </c>
      <c r="E200" s="404" t="str">
        <f>'Digital Plan - UPI'!F146</f>
        <v xml:space="preserve">Entertainment </v>
      </c>
      <c r="F200" s="404" t="str">
        <f>'Digital Plan - UPI'!G146</f>
        <v xml:space="preserve">Mobile </v>
      </c>
      <c r="G200" s="265" t="str">
        <f>'Digital Plan - UPI'!H146</f>
        <v xml:space="preserve">Instream </v>
      </c>
      <c r="H200" s="265" t="str">
        <f>'Digital Plan - UPI'!I146</f>
        <v>Instream - 6 Sec</v>
      </c>
      <c r="I200" s="308" t="str">
        <f>'Digital Plan - UPI'!J146</f>
        <v>Reff : Targeting Sheet</v>
      </c>
      <c r="J200" s="263" t="str">
        <f>'Digital Plan - UPI'!K146</f>
        <v>CPM</v>
      </c>
      <c r="K200" s="266">
        <f>'Digital Plan - UPI'!L146</f>
        <v>21</v>
      </c>
      <c r="L200" s="267">
        <f>'Digital Plan - UPI'!M146</f>
        <v>45460</v>
      </c>
      <c r="M200" s="267">
        <f>'Digital Plan - UPI'!N146</f>
        <v>45480</v>
      </c>
      <c r="N200" s="266">
        <f>'Digital Plan - UPI'!O146</f>
        <v>284544.81</v>
      </c>
      <c r="O200" s="268" t="str">
        <f>'Digital Plan - UPI'!P146</f>
        <v>-</v>
      </c>
      <c r="P200" s="269">
        <f>'Digital Plan - UPI'!Q146</f>
        <v>1E-3</v>
      </c>
      <c r="Q200" s="266">
        <f>'Digital Plan - UPI'!R146</f>
        <v>284.54480999999998</v>
      </c>
      <c r="R200" s="270">
        <f>'Digital Plan - UPI'!S146</f>
        <v>0.7</v>
      </c>
      <c r="S200" s="271">
        <f>'Digital Plan - UPI'!T146</f>
        <v>199181.367</v>
      </c>
      <c r="T200" s="266">
        <f>'Digital Plan - UPI'!U146</f>
        <v>284544.81</v>
      </c>
      <c r="U200" s="266">
        <f>'Digital Plan - UPI'!V146</f>
        <v>1</v>
      </c>
      <c r="V200" s="272">
        <f>'Digital Plan - UPI'!X146</f>
        <v>70</v>
      </c>
      <c r="W200" s="273">
        <f>'Digital Plan - UPI'!Y146</f>
        <v>19918.136699999999</v>
      </c>
      <c r="X200" s="273">
        <f>'Digital Plan - UPI'!Z146</f>
        <v>69.999999999999986</v>
      </c>
      <c r="Y200" s="273">
        <f>'Digital Plan - UPI'!AA146</f>
        <v>70</v>
      </c>
      <c r="Z200" s="274">
        <f>'Digital Plan - UPI'!AB146</f>
        <v>632321.79999999993</v>
      </c>
      <c r="AA200" s="275">
        <f>'Digital Plan - UPI'!AC146</f>
        <v>0.45</v>
      </c>
      <c r="AB200" s="259"/>
      <c r="AC200" s="266"/>
      <c r="AD200" s="266"/>
      <c r="AE200" s="266">
        <f>$N200/3</f>
        <v>94848.27</v>
      </c>
      <c r="AF200" s="266">
        <f t="shared" si="66"/>
        <v>94848.27</v>
      </c>
      <c r="AG200" s="266">
        <f t="shared" si="66"/>
        <v>94848.27</v>
      </c>
      <c r="AH200" s="266"/>
      <c r="AI200" s="266"/>
      <c r="AJ200" s="266"/>
    </row>
    <row r="201" spans="1:36" x14ac:dyDescent="0.35">
      <c r="A201" s="322" t="str">
        <f>'Digital Plan - UPI'!B147</f>
        <v>Lucknow</v>
      </c>
      <c r="B201" s="293" t="str">
        <f>'Digital Plan - UPI'!C147</f>
        <v>Core</v>
      </c>
      <c r="C201" s="264" t="str">
        <f>'Digital Plan - UPI'!D147</f>
        <v xml:space="preserve">YouTube </v>
      </c>
      <c r="D201" s="264" t="str">
        <f>'Digital Plan - UPI'!E147</f>
        <v>Video</v>
      </c>
      <c r="E201" s="404" t="str">
        <f>'Digital Plan - UPI'!F147</f>
        <v xml:space="preserve">Entertainment </v>
      </c>
      <c r="F201" s="404" t="str">
        <f>'Digital Plan - UPI'!G147</f>
        <v xml:space="preserve">Mobile </v>
      </c>
      <c r="G201" s="265" t="str">
        <f>'Digital Plan - UPI'!H147</f>
        <v xml:space="preserve">Instream </v>
      </c>
      <c r="H201" s="265" t="str">
        <f>'Digital Plan - UPI'!I147</f>
        <v xml:space="preserve">Bumper 6 secs  </v>
      </c>
      <c r="I201" s="308" t="str">
        <f>'Digital Plan - UPI'!J147</f>
        <v>Reff : Targeting Sheet</v>
      </c>
      <c r="J201" s="263" t="str">
        <f>'Digital Plan - UPI'!K147</f>
        <v>CPM</v>
      </c>
      <c r="K201" s="266">
        <f>'Digital Plan - UPI'!L147</f>
        <v>21</v>
      </c>
      <c r="L201" s="267">
        <f>'Digital Plan - UPI'!M147</f>
        <v>45460</v>
      </c>
      <c r="M201" s="267">
        <f>'Digital Plan - UPI'!N147</f>
        <v>45480</v>
      </c>
      <c r="N201" s="266">
        <f>'Digital Plan - UPI'!O147</f>
        <v>460293.07500000007</v>
      </c>
      <c r="O201" s="268" t="str">
        <f>'Digital Plan - UPI'!P147</f>
        <v>-</v>
      </c>
      <c r="P201" s="269">
        <f>'Digital Plan - UPI'!Q147</f>
        <v>1E-3</v>
      </c>
      <c r="Q201" s="266">
        <f>'Digital Plan - UPI'!R147</f>
        <v>460.2930750000001</v>
      </c>
      <c r="R201" s="270">
        <f>'Digital Plan - UPI'!S147</f>
        <v>0.8</v>
      </c>
      <c r="S201" s="271">
        <f>'Digital Plan - UPI'!T147</f>
        <v>368234.46000000008</v>
      </c>
      <c r="T201" s="266">
        <f>'Digital Plan - UPI'!U147</f>
        <v>328780.76785714296</v>
      </c>
      <c r="U201" s="266">
        <f>'Digital Plan - UPI'!V147</f>
        <v>1.4</v>
      </c>
      <c r="V201" s="272">
        <f>'Digital Plan - UPI'!X147</f>
        <v>80</v>
      </c>
      <c r="W201" s="273">
        <f>'Digital Plan - UPI'!Y147</f>
        <v>36823.446000000004</v>
      </c>
      <c r="X201" s="273">
        <f>'Digital Plan - UPI'!Z147</f>
        <v>80</v>
      </c>
      <c r="Y201" s="273">
        <f>'Digital Plan - UPI'!AA147</f>
        <v>79.999999999999986</v>
      </c>
      <c r="Z201" s="274">
        <f>'Digital Plan - UPI'!AB147</f>
        <v>743908</v>
      </c>
      <c r="AA201" s="275">
        <f>'Digital Plan - UPI'!AC147</f>
        <v>0.44196428571428586</v>
      </c>
      <c r="AB201" s="259"/>
      <c r="AC201" s="266"/>
      <c r="AD201" s="266"/>
      <c r="AE201" s="266"/>
      <c r="AF201" s="266"/>
      <c r="AG201" s="266"/>
      <c r="AH201" s="266">
        <f>$N201/3</f>
        <v>153431.02500000002</v>
      </c>
      <c r="AI201" s="266">
        <f t="shared" si="66"/>
        <v>153431.02500000002</v>
      </c>
      <c r="AJ201" s="266">
        <f t="shared" si="66"/>
        <v>153431.02500000002</v>
      </c>
    </row>
    <row r="202" spans="1:36" x14ac:dyDescent="0.35">
      <c r="A202" s="322" t="str">
        <f>'Digital Plan - UPI'!B148</f>
        <v>Lucknow</v>
      </c>
      <c r="B202" s="293" t="str">
        <f>'Digital Plan - UPI'!C148</f>
        <v>Core</v>
      </c>
      <c r="C202" s="263" t="str">
        <f>'Digital Plan - UPI'!D148</f>
        <v xml:space="preserve">DSP </v>
      </c>
      <c r="D202" s="263" t="str">
        <f>'Digital Plan - UPI'!E148</f>
        <v>Static</v>
      </c>
      <c r="E202" s="404" t="str">
        <f>'Digital Plan - UPI'!F148</f>
        <v xml:space="preserve">Network </v>
      </c>
      <c r="F202" s="404" t="str">
        <f>'Digital Plan - UPI'!G148</f>
        <v>Mobile</v>
      </c>
      <c r="G202" s="265" t="str">
        <f>'Digital Plan - UPI'!H148</f>
        <v>ROS</v>
      </c>
      <c r="H202" s="265" t="str">
        <f>'Digital Plan - UPI'!I148</f>
        <v>Large Formats</v>
      </c>
      <c r="I202" s="309" t="str">
        <f>'Digital Plan - UPI'!J148</f>
        <v>Reff : Targeting Sheet</v>
      </c>
      <c r="J202" s="263" t="str">
        <f>'Digital Plan - UPI'!K148</f>
        <v>CPM</v>
      </c>
      <c r="K202" s="266">
        <f>'Digital Plan - UPI'!L148</f>
        <v>21</v>
      </c>
      <c r="L202" s="267">
        <f>'Digital Plan - UPI'!M148</f>
        <v>45460</v>
      </c>
      <c r="M202" s="267">
        <f>'Digital Plan - UPI'!N148</f>
        <v>45480</v>
      </c>
      <c r="N202" s="266">
        <f>'Digital Plan - UPI'!O148</f>
        <v>137048.93229827192</v>
      </c>
      <c r="O202" s="268" t="str">
        <f>'Digital Plan - UPI'!P148</f>
        <v>-</v>
      </c>
      <c r="P202" s="269">
        <f>'Digital Plan - UPI'!Q148</f>
        <v>1.4999999999999999E-2</v>
      </c>
      <c r="Q202" s="266">
        <f>'Digital Plan - UPI'!R148</f>
        <v>2055.7339844740786</v>
      </c>
      <c r="R202" s="268" t="str">
        <f>'Digital Plan - UPI'!S148</f>
        <v>-</v>
      </c>
      <c r="S202" s="271" t="str">
        <f>'Digital Plan - UPI'!T148</f>
        <v>-</v>
      </c>
      <c r="T202" s="266">
        <f>'Digital Plan - UPI'!U148</f>
        <v>161234.03799796698</v>
      </c>
      <c r="U202" s="266">
        <f>'Digital Plan - UPI'!V148</f>
        <v>0.85</v>
      </c>
      <c r="V202" s="272">
        <f>'Digital Plan - UPI'!X148</f>
        <v>105</v>
      </c>
      <c r="W202" s="273">
        <f>'Digital Plan - UPI'!Y148</f>
        <v>14390.137891318553</v>
      </c>
      <c r="X202" s="273">
        <f>'Digital Plan - UPI'!Z148</f>
        <v>105.00000000000001</v>
      </c>
      <c r="Y202" s="273">
        <f>'Digital Plan - UPI'!AA148</f>
        <v>7.0000000000000009</v>
      </c>
      <c r="Z202" s="274">
        <f>'Digital Plan - UPI'!AB148</f>
        <v>600705.71</v>
      </c>
      <c r="AA202" s="275">
        <f>'Digital Plan - UPI'!AC148</f>
        <v>0.26840769999999997</v>
      </c>
      <c r="AB202" s="259"/>
      <c r="AC202" s="266">
        <f t="shared" ref="AC202:AD204" si="67">$N202*20%</f>
        <v>27409.786459654384</v>
      </c>
      <c r="AD202" s="266">
        <f t="shared" si="67"/>
        <v>27409.786459654384</v>
      </c>
      <c r="AE202" s="266">
        <f t="shared" ref="AE202:AF204" si="68">$N202*15%</f>
        <v>20557.339844740785</v>
      </c>
      <c r="AF202" s="266">
        <f t="shared" si="68"/>
        <v>20557.339844740785</v>
      </c>
      <c r="AG202" s="266">
        <f t="shared" ref="AG202:AH204" si="69">$N202*10%</f>
        <v>13704.893229827192</v>
      </c>
      <c r="AH202" s="266">
        <f t="shared" si="69"/>
        <v>13704.893229827192</v>
      </c>
      <c r="AI202" s="266">
        <f t="shared" ref="AI202:AJ204" si="70">$N202*5%</f>
        <v>6852.446614913596</v>
      </c>
      <c r="AJ202" s="266">
        <f t="shared" si="70"/>
        <v>6852.446614913596</v>
      </c>
    </row>
    <row r="203" spans="1:36" x14ac:dyDescent="0.35">
      <c r="A203" s="322" t="str">
        <f>'Digital Plan - UPI'!B149</f>
        <v>Lucknow</v>
      </c>
      <c r="B203" s="293" t="str">
        <f>'Digital Plan - UPI'!C149</f>
        <v>Core</v>
      </c>
      <c r="C203" s="310" t="str">
        <f>'Digital Plan - UPI'!D149</f>
        <v>Mediakart</v>
      </c>
      <c r="D203" s="263" t="str">
        <f>'Digital Plan - UPI'!E149</f>
        <v>Static</v>
      </c>
      <c r="E203" s="408" t="str">
        <f>'Digital Plan - UPI'!F149</f>
        <v xml:space="preserve">Network </v>
      </c>
      <c r="F203" s="404" t="str">
        <f>'Digital Plan - UPI'!G149</f>
        <v xml:space="preserve">Mobile </v>
      </c>
      <c r="G203" s="265" t="str">
        <f>'Digital Plan - UPI'!H149</f>
        <v>ROS</v>
      </c>
      <c r="H203" s="265" t="str">
        <f>'Digital Plan - UPI'!I149</f>
        <v>Interstitial Static banner</v>
      </c>
      <c r="I203" s="309" t="str">
        <f>'Digital Plan - UPI'!J149</f>
        <v>Reff : Targeting Sheet</v>
      </c>
      <c r="J203" s="263" t="str">
        <f>'Digital Plan - UPI'!K149</f>
        <v xml:space="preserve">CPM </v>
      </c>
      <c r="K203" s="266">
        <f>'Digital Plan - UPI'!L149</f>
        <v>21</v>
      </c>
      <c r="L203" s="267">
        <f>'Digital Plan - UPI'!M149</f>
        <v>45460</v>
      </c>
      <c r="M203" s="267">
        <f>'Digital Plan - UPI'!N149</f>
        <v>45480</v>
      </c>
      <c r="N203" s="266">
        <f>'Digital Plan - UPI'!O149</f>
        <v>162550.94</v>
      </c>
      <c r="O203" s="268" t="str">
        <f>'Digital Plan - UPI'!P149</f>
        <v>-</v>
      </c>
      <c r="P203" s="269">
        <f>'Digital Plan - UPI'!Q149</f>
        <v>1.4999999999999999E-2</v>
      </c>
      <c r="Q203" s="266">
        <f>'Digital Plan - UPI'!R149</f>
        <v>2438.2640999999999</v>
      </c>
      <c r="R203" s="268" t="str">
        <f>'Digital Plan - UPI'!S149</f>
        <v>-</v>
      </c>
      <c r="S203" s="271" t="str">
        <f>'Digital Plan - UPI'!T149</f>
        <v>-</v>
      </c>
      <c r="T203" s="266">
        <f>'Digital Plan - UPI'!U149</f>
        <v>191236.40000000002</v>
      </c>
      <c r="U203" s="266">
        <f>'Digital Plan - UPI'!V149</f>
        <v>0.85</v>
      </c>
      <c r="V203" s="272">
        <f>'Digital Plan - UPI'!X149</f>
        <v>120</v>
      </c>
      <c r="W203" s="273">
        <f>'Digital Plan - UPI'!Y149</f>
        <v>19506.112799999999</v>
      </c>
      <c r="X203" s="273">
        <f>'Digital Plan - UPI'!Z149</f>
        <v>120</v>
      </c>
      <c r="Y203" s="273">
        <f>'Digital Plan - UPI'!AA149</f>
        <v>8</v>
      </c>
      <c r="Z203" s="274">
        <f>'Digital Plan - UPI'!AB149</f>
        <v>478091</v>
      </c>
      <c r="AA203" s="275">
        <f>'Digital Plan - UPI'!AC149</f>
        <v>0.4</v>
      </c>
      <c r="AB203" s="259"/>
      <c r="AC203" s="266">
        <f t="shared" si="67"/>
        <v>32510.188000000002</v>
      </c>
      <c r="AD203" s="266">
        <f t="shared" si="67"/>
        <v>32510.188000000002</v>
      </c>
      <c r="AE203" s="266">
        <f t="shared" si="68"/>
        <v>24382.641</v>
      </c>
      <c r="AF203" s="266">
        <f t="shared" si="68"/>
        <v>24382.641</v>
      </c>
      <c r="AG203" s="266">
        <f t="shared" si="69"/>
        <v>16255.094000000001</v>
      </c>
      <c r="AH203" s="266">
        <f t="shared" si="69"/>
        <v>16255.094000000001</v>
      </c>
      <c r="AI203" s="266">
        <f t="shared" si="70"/>
        <v>8127.5470000000005</v>
      </c>
      <c r="AJ203" s="266">
        <f t="shared" si="70"/>
        <v>8127.5470000000005</v>
      </c>
    </row>
    <row r="204" spans="1:36" x14ac:dyDescent="0.35">
      <c r="A204" s="322" t="str">
        <f>'Digital Plan - UPI'!B150</f>
        <v>Lucknow</v>
      </c>
      <c r="B204" s="293" t="str">
        <f>'Digital Plan - UPI'!C150</f>
        <v>Core</v>
      </c>
      <c r="C204" s="310" t="str">
        <f>'Digital Plan - UPI'!D150</f>
        <v>Dailyhunt</v>
      </c>
      <c r="D204" s="311" t="str">
        <f>'Digital Plan - UPI'!E150</f>
        <v>Static</v>
      </c>
      <c r="E204" s="408" t="str">
        <f>'Digital Plan - UPI'!F150</f>
        <v>News</v>
      </c>
      <c r="F204" s="404" t="str">
        <f>'Digital Plan - UPI'!G150</f>
        <v xml:space="preserve">Mobile </v>
      </c>
      <c r="G204" s="310" t="str">
        <f>'Digital Plan - UPI'!H150</f>
        <v>ROS</v>
      </c>
      <c r="H204" s="263" t="str">
        <f>'Digital Plan - UPI'!I150</f>
        <v>Page Insert - Innovation</v>
      </c>
      <c r="I204" s="309" t="str">
        <f>'Digital Plan - UPI'!J150</f>
        <v>Reff : Targeting Sheet</v>
      </c>
      <c r="J204" s="263" t="str">
        <f>'Digital Plan - UPI'!K150</f>
        <v>CPM</v>
      </c>
      <c r="K204" s="266">
        <f>'Digital Plan - UPI'!L150</f>
        <v>21</v>
      </c>
      <c r="L204" s="267">
        <f>'Digital Plan - UPI'!M150</f>
        <v>45460</v>
      </c>
      <c r="M204" s="267">
        <f>'Digital Plan - UPI'!N150</f>
        <v>45480</v>
      </c>
      <c r="N204" s="266">
        <f>'Digital Plan - UPI'!O150</f>
        <v>127180.108993014</v>
      </c>
      <c r="O204" s="268" t="str">
        <f>'Digital Plan - UPI'!P150</f>
        <v>-</v>
      </c>
      <c r="P204" s="312">
        <f>'Digital Plan - UPI'!Q150</f>
        <v>0.01</v>
      </c>
      <c r="Q204" s="266">
        <f>'Digital Plan - UPI'!R150</f>
        <v>1271.8010899301401</v>
      </c>
      <c r="R204" s="268" t="str">
        <f>'Digital Plan - UPI'!S150</f>
        <v>-</v>
      </c>
      <c r="S204" s="271" t="str">
        <f>'Digital Plan - UPI'!T150</f>
        <v>-</v>
      </c>
      <c r="T204" s="266">
        <f>'Digital Plan - UPI'!U150</f>
        <v>149623.65763884</v>
      </c>
      <c r="U204" s="266">
        <f>'Digital Plan - UPI'!V150</f>
        <v>0.85</v>
      </c>
      <c r="V204" s="272">
        <f>'Digital Plan - UPI'!X150</f>
        <v>200</v>
      </c>
      <c r="W204" s="273">
        <f>'Digital Plan - UPI'!Y150</f>
        <v>25436.0217986028</v>
      </c>
      <c r="X204" s="273">
        <f>'Digital Plan - UPI'!Z150</f>
        <v>200</v>
      </c>
      <c r="Y204" s="273">
        <f>'Digital Plan - UPI'!AA150</f>
        <v>20</v>
      </c>
      <c r="Z204" s="274">
        <f>'Digital Plan - UPI'!AB150</f>
        <v>506772</v>
      </c>
      <c r="AA204" s="275">
        <f>'Digital Plan - UPI'!AC150</f>
        <v>0.29524846999999999</v>
      </c>
      <c r="AB204" s="259"/>
      <c r="AC204" s="266">
        <f t="shared" si="67"/>
        <v>25436.0217986028</v>
      </c>
      <c r="AD204" s="266">
        <f t="shared" si="67"/>
        <v>25436.0217986028</v>
      </c>
      <c r="AE204" s="266">
        <f t="shared" si="68"/>
        <v>19077.0163489521</v>
      </c>
      <c r="AF204" s="266">
        <f t="shared" si="68"/>
        <v>19077.0163489521</v>
      </c>
      <c r="AG204" s="266">
        <f t="shared" si="69"/>
        <v>12718.0108993014</v>
      </c>
      <c r="AH204" s="266">
        <f t="shared" si="69"/>
        <v>12718.0108993014</v>
      </c>
      <c r="AI204" s="266">
        <f t="shared" si="70"/>
        <v>6359.0054496507</v>
      </c>
      <c r="AJ204" s="266">
        <f t="shared" si="70"/>
        <v>6359.0054496507</v>
      </c>
    </row>
    <row r="205" spans="1:36" x14ac:dyDescent="0.35">
      <c r="A205" s="277" t="str">
        <f>'Digital Plan - UPI'!B151</f>
        <v>Lucknow</v>
      </c>
      <c r="B205" s="278">
        <f>'Digital Plan - UPI'!C151</f>
        <v>0</v>
      </c>
      <c r="C205" s="279" t="str">
        <f>'Digital Plan - UPI'!D151</f>
        <v>Total</v>
      </c>
      <c r="D205" s="280">
        <f>'Digital Plan - UPI'!E151</f>
        <v>0</v>
      </c>
      <c r="E205" s="405">
        <f>'Digital Plan - UPI'!F151</f>
        <v>0</v>
      </c>
      <c r="F205" s="405">
        <f>'Digital Plan - UPI'!G151</f>
        <v>0</v>
      </c>
      <c r="G205" s="280">
        <f>'Digital Plan - UPI'!H151</f>
        <v>0</v>
      </c>
      <c r="H205" s="281">
        <f>'Digital Plan - UPI'!I151</f>
        <v>0</v>
      </c>
      <c r="I205" s="282">
        <f>'Digital Plan - UPI'!J151</f>
        <v>0</v>
      </c>
      <c r="J205" s="283">
        <f>'Digital Plan - UPI'!K151</f>
        <v>0</v>
      </c>
      <c r="K205" s="284">
        <f>'Digital Plan - UPI'!L151</f>
        <v>0</v>
      </c>
      <c r="L205" s="284">
        <f>'Digital Plan - UPI'!M151</f>
        <v>0</v>
      </c>
      <c r="M205" s="284">
        <f>'Digital Plan - UPI'!N151</f>
        <v>0</v>
      </c>
      <c r="N205" s="284">
        <f>'Digital Plan - UPI'!O151</f>
        <v>4217396.1173056243</v>
      </c>
      <c r="O205" s="284">
        <f>'Digital Plan - UPI'!P151</f>
        <v>0</v>
      </c>
      <c r="P205" s="285">
        <f>'Digital Plan - UPI'!Q151</f>
        <v>1.5437575409832933E-3</v>
      </c>
      <c r="Q205" s="284">
        <f>'Digital Plan - UPI'!R151</f>
        <v>6510.6370594042191</v>
      </c>
      <c r="R205" s="286">
        <f>'Digital Plan - UPI'!S151</f>
        <v>0</v>
      </c>
      <c r="S205" s="284">
        <f>'Digital Plan - UPI'!T151</f>
        <v>3060521.0585440053</v>
      </c>
      <c r="T205" s="284">
        <f>'Digital Plan - UPI'!U151</f>
        <v>529384.87020300538</v>
      </c>
      <c r="U205" s="284">
        <f>'Digital Plan - UPI'!V151</f>
        <v>7.9665973749653292</v>
      </c>
      <c r="V205" s="287">
        <f>'Digital Plan - UPI'!X151</f>
        <v>0</v>
      </c>
      <c r="W205" s="317">
        <f>'Digital Plan - UPI'!Y151</f>
        <v>468054.25202125893</v>
      </c>
      <c r="X205" s="288">
        <f>'Digital Plan - UPI'!Z151</f>
        <v>110.98180939197279</v>
      </c>
      <c r="Y205" s="288">
        <f>'Digital Plan - UPI'!AA151</f>
        <v>71.890699443180154</v>
      </c>
      <c r="Z205" s="284">
        <f>'Digital Plan - UPI'!AB151</f>
        <v>802978.63020000001</v>
      </c>
      <c r="AA205" s="289">
        <f>'Digital Plan - UPI'!AC151</f>
        <v>0.65927641196522269</v>
      </c>
      <c r="AB205" s="259"/>
      <c r="AC205" s="284"/>
      <c r="AD205" s="284"/>
      <c r="AE205" s="284"/>
      <c r="AF205" s="284"/>
      <c r="AG205" s="284"/>
      <c r="AH205" s="284"/>
      <c r="AI205" s="284"/>
      <c r="AJ205" s="284"/>
    </row>
    <row r="206" spans="1:36" x14ac:dyDescent="0.35">
      <c r="A206" s="322" t="e">
        <f>'Digital Plan - UPI'!#REF!</f>
        <v>#REF!</v>
      </c>
      <c r="B206" s="293" t="e">
        <f>'Digital Plan - UPI'!#REF!</f>
        <v>#REF!</v>
      </c>
      <c r="C206" s="294" t="e">
        <f>'Digital Plan - UPI'!#REF!</f>
        <v>#REF!</v>
      </c>
      <c r="D206" s="294" t="e">
        <f>'Digital Plan - UPI'!#REF!</f>
        <v>#REF!</v>
      </c>
      <c r="E206" s="406" t="e">
        <f>'Digital Plan - UPI'!#REF!</f>
        <v>#REF!</v>
      </c>
      <c r="F206" s="406" t="e">
        <f>'Digital Plan - UPI'!#REF!</f>
        <v>#REF!</v>
      </c>
      <c r="G206" s="296" t="e">
        <f>'Digital Plan - UPI'!#REF!</f>
        <v>#REF!</v>
      </c>
      <c r="H206" s="296" t="e">
        <f>'Digital Plan - UPI'!#REF!</f>
        <v>#REF!</v>
      </c>
      <c r="I206" s="297" t="e">
        <f>'Digital Plan - UPI'!#REF!</f>
        <v>#REF!</v>
      </c>
      <c r="J206" s="295" t="e">
        <f>'Digital Plan - UPI'!#REF!</f>
        <v>#REF!</v>
      </c>
      <c r="K206" s="298" t="e">
        <f>'Digital Plan - UPI'!#REF!</f>
        <v>#REF!</v>
      </c>
      <c r="L206" s="299" t="e">
        <f>'Digital Plan - UPI'!#REF!</f>
        <v>#REF!</v>
      </c>
      <c r="M206" s="299" t="e">
        <f>'Digital Plan - UPI'!#REF!</f>
        <v>#REF!</v>
      </c>
      <c r="N206" s="298" t="e">
        <f>'Digital Plan - UPI'!#REF!</f>
        <v>#REF!</v>
      </c>
      <c r="O206" s="300" t="e">
        <f>'Digital Plan - UPI'!#REF!</f>
        <v>#REF!</v>
      </c>
      <c r="P206" s="301" t="e">
        <f>'Digital Plan - UPI'!#REF!</f>
        <v>#REF!</v>
      </c>
      <c r="Q206" s="298" t="e">
        <f>'Digital Plan - UPI'!#REF!</f>
        <v>#REF!</v>
      </c>
      <c r="R206" s="302" t="e">
        <f>'Digital Plan - UPI'!#REF!</f>
        <v>#REF!</v>
      </c>
      <c r="S206" s="303" t="e">
        <f>'Digital Plan - UPI'!#REF!</f>
        <v>#REF!</v>
      </c>
      <c r="T206" s="298" t="e">
        <f>'Digital Plan - UPI'!#REF!</f>
        <v>#REF!</v>
      </c>
      <c r="U206" s="298" t="e">
        <f>'Digital Plan - UPI'!#REF!</f>
        <v>#REF!</v>
      </c>
      <c r="V206" s="304" t="e">
        <f>'Digital Plan - UPI'!#REF!</f>
        <v>#REF!</v>
      </c>
      <c r="W206" s="305" t="e">
        <f>'Digital Plan - UPI'!#REF!</f>
        <v>#REF!</v>
      </c>
      <c r="X206" s="305" t="e">
        <f>'Digital Plan - UPI'!#REF!</f>
        <v>#REF!</v>
      </c>
      <c r="Y206" s="305" t="e">
        <f>'Digital Plan - UPI'!#REF!</f>
        <v>#REF!</v>
      </c>
      <c r="Z206" s="306" t="e">
        <f>'Digital Plan - UPI'!#REF!</f>
        <v>#REF!</v>
      </c>
      <c r="AA206" s="307" t="e">
        <f>'Digital Plan - UPI'!#REF!</f>
        <v>#REF!</v>
      </c>
      <c r="AB206" s="259"/>
      <c r="AC206" s="298" t="e">
        <f>N206/2</f>
        <v>#REF!</v>
      </c>
      <c r="AD206" s="298" t="e">
        <f>N206/2</f>
        <v>#REF!</v>
      </c>
      <c r="AE206" s="298"/>
      <c r="AF206" s="298"/>
      <c r="AG206" s="298"/>
      <c r="AH206" s="298"/>
      <c r="AI206" s="298"/>
      <c r="AJ206" s="298"/>
    </row>
    <row r="207" spans="1:36" x14ac:dyDescent="0.35">
      <c r="A207" s="322" t="e">
        <f>'Digital Plan - UPI'!#REF!</f>
        <v>#REF!</v>
      </c>
      <c r="B207" s="293" t="e">
        <f>'Digital Plan - UPI'!#REF!</f>
        <v>#REF!</v>
      </c>
      <c r="C207" s="295" t="e">
        <f>'Digital Plan - UPI'!#REF!</f>
        <v>#REF!</v>
      </c>
      <c r="D207" s="295" t="e">
        <f>'Digital Plan - UPI'!#REF!</f>
        <v>#REF!</v>
      </c>
      <c r="E207" s="406" t="e">
        <f>'Digital Plan - UPI'!#REF!</f>
        <v>#REF!</v>
      </c>
      <c r="F207" s="407" t="e">
        <f>'Digital Plan - UPI'!#REF!</f>
        <v>#REF!</v>
      </c>
      <c r="G207" s="296" t="e">
        <f>'Digital Plan - UPI'!#REF!</f>
        <v>#REF!</v>
      </c>
      <c r="H207" s="296" t="e">
        <f>'Digital Plan - UPI'!#REF!</f>
        <v>#REF!</v>
      </c>
      <c r="I207" s="297" t="e">
        <f>'Digital Plan - UPI'!#REF!</f>
        <v>#REF!</v>
      </c>
      <c r="J207" s="295" t="e">
        <f>'Digital Plan - UPI'!#REF!</f>
        <v>#REF!</v>
      </c>
      <c r="K207" s="298" t="e">
        <f>'Digital Plan - UPI'!#REF!</f>
        <v>#REF!</v>
      </c>
      <c r="L207" s="299" t="e">
        <f>'Digital Plan - UPI'!#REF!</f>
        <v>#REF!</v>
      </c>
      <c r="M207" s="299" t="e">
        <f>'Digital Plan - UPI'!#REF!</f>
        <v>#REF!</v>
      </c>
      <c r="N207" s="298" t="e">
        <f>'Digital Plan - UPI'!#REF!</f>
        <v>#REF!</v>
      </c>
      <c r="O207" s="300" t="e">
        <f>'Digital Plan - UPI'!#REF!</f>
        <v>#REF!</v>
      </c>
      <c r="P207" s="301" t="e">
        <f>'Digital Plan - UPI'!#REF!</f>
        <v>#REF!</v>
      </c>
      <c r="Q207" s="298" t="e">
        <f>'Digital Plan - UPI'!#REF!</f>
        <v>#REF!</v>
      </c>
      <c r="R207" s="302" t="e">
        <f>'Digital Plan - UPI'!#REF!</f>
        <v>#REF!</v>
      </c>
      <c r="S207" s="303" t="e">
        <f>'Digital Plan - UPI'!#REF!</f>
        <v>#REF!</v>
      </c>
      <c r="T207" s="298" t="e">
        <f>'Digital Plan - UPI'!#REF!</f>
        <v>#REF!</v>
      </c>
      <c r="U207" s="298" t="e">
        <f>'Digital Plan - UPI'!#REF!</f>
        <v>#REF!</v>
      </c>
      <c r="V207" s="304" t="e">
        <f>'Digital Plan - UPI'!#REF!</f>
        <v>#REF!</v>
      </c>
      <c r="W207" s="305" t="e">
        <f>'Digital Plan - UPI'!#REF!</f>
        <v>#REF!</v>
      </c>
      <c r="X207" s="305" t="e">
        <f>'Digital Plan - UPI'!#REF!</f>
        <v>#REF!</v>
      </c>
      <c r="Y207" s="305" t="e">
        <f>'Digital Plan - UPI'!#REF!</f>
        <v>#REF!</v>
      </c>
      <c r="Z207" s="306" t="e">
        <f>'Digital Plan - UPI'!#REF!</f>
        <v>#REF!</v>
      </c>
      <c r="AA207" s="307" t="e">
        <f>'Digital Plan - UPI'!#REF!</f>
        <v>#REF!</v>
      </c>
      <c r="AB207" s="259"/>
      <c r="AC207" s="298" t="e">
        <f>N207/2</f>
        <v>#REF!</v>
      </c>
      <c r="AD207" s="298" t="e">
        <f>N207/2</f>
        <v>#REF!</v>
      </c>
      <c r="AE207" s="298"/>
      <c r="AF207" s="298"/>
      <c r="AG207" s="298"/>
      <c r="AH207" s="298"/>
      <c r="AI207" s="298"/>
      <c r="AJ207" s="298"/>
    </row>
    <row r="208" spans="1:36" x14ac:dyDescent="0.35">
      <c r="A208" s="322" t="str">
        <f>'Digital Plan - UPI'!B152</f>
        <v>Patna</v>
      </c>
      <c r="B208" s="293" t="str">
        <f>'Digital Plan - UPI'!C152</f>
        <v>Core - CTV</v>
      </c>
      <c r="C208" s="294" t="str">
        <f>'Digital Plan - UPI'!D152</f>
        <v>Connected TV PMP</v>
      </c>
      <c r="D208" s="294" t="str">
        <f>'Digital Plan - UPI'!E152</f>
        <v>Video</v>
      </c>
      <c r="E208" s="406" t="str">
        <f>'Digital Plan - UPI'!F152</f>
        <v xml:space="preserve">Entertainment </v>
      </c>
      <c r="F208" s="406" t="str">
        <f>'Digital Plan - UPI'!G152</f>
        <v>CTV</v>
      </c>
      <c r="G208" s="296" t="str">
        <f>'Digital Plan - UPI'!H152</f>
        <v>Instream</v>
      </c>
      <c r="H208" s="296" t="str">
        <f>'Digital Plan - UPI'!I152</f>
        <v xml:space="preserve">Video-6 Sec </v>
      </c>
      <c r="I208" s="297" t="str">
        <f>'Digital Plan - UPI'!J152</f>
        <v>Reff : Targeting Sheet</v>
      </c>
      <c r="J208" s="295" t="str">
        <f>'Digital Plan - UPI'!K152</f>
        <v>CPM</v>
      </c>
      <c r="K208" s="298">
        <f>'Digital Plan - UPI'!L152</f>
        <v>21</v>
      </c>
      <c r="L208" s="299">
        <f>'Digital Plan - UPI'!M152</f>
        <v>45460</v>
      </c>
      <c r="M208" s="299">
        <f>'Digital Plan - UPI'!N152</f>
        <v>45480</v>
      </c>
      <c r="N208" s="298">
        <f>'Digital Plan - UPI'!O152</f>
        <v>1064948.648337024</v>
      </c>
      <c r="O208" s="300" t="str">
        <f>'Digital Plan - UPI'!P152</f>
        <v>-</v>
      </c>
      <c r="P208" s="301">
        <f>'Digital Plan - UPI'!Q152</f>
        <v>0</v>
      </c>
      <c r="Q208" s="298">
        <f>'Digital Plan - UPI'!R152</f>
        <v>0</v>
      </c>
      <c r="R208" s="302">
        <f>'Digital Plan - UPI'!S152</f>
        <v>0.85</v>
      </c>
      <c r="S208" s="303">
        <f>'Digital Plan - UPI'!T152</f>
        <v>905206.35108647041</v>
      </c>
      <c r="T208" s="298">
        <f>'Digital Plan - UPI'!U152</f>
        <v>261016.82557280001</v>
      </c>
      <c r="U208" s="298">
        <f>'Digital Plan - UPI'!V152</f>
        <v>4.08</v>
      </c>
      <c r="V208" s="304">
        <f>'Digital Plan - UPI'!X152</f>
        <v>125</v>
      </c>
      <c r="W208" s="305">
        <f>'Digital Plan - UPI'!Y152</f>
        <v>133118.581042128</v>
      </c>
      <c r="X208" s="305">
        <f>'Digital Plan - UPI'!Z152</f>
        <v>125</v>
      </c>
      <c r="Y208" s="305">
        <f>'Digital Plan - UPI'!AA152</f>
        <v>0</v>
      </c>
      <c r="Z208" s="306">
        <f>'Digital Plan - UPI'!AB152</f>
        <v>303895</v>
      </c>
      <c r="AA208" s="307">
        <f>'Digital Plan - UPI'!AC152</f>
        <v>0.85890464</v>
      </c>
      <c r="AB208" s="259"/>
      <c r="AC208" s="298"/>
      <c r="AD208" s="298"/>
      <c r="AE208" s="298">
        <f>$N208/3</f>
        <v>354982.88277900801</v>
      </c>
      <c r="AF208" s="298">
        <f t="shared" ref="AF208:AJ213" si="71">$N208/3</f>
        <v>354982.88277900801</v>
      </c>
      <c r="AG208" s="298">
        <f t="shared" si="71"/>
        <v>354982.88277900801</v>
      </c>
      <c r="AH208" s="298"/>
      <c r="AI208" s="298"/>
      <c r="AJ208" s="298"/>
    </row>
    <row r="209" spans="1:36" x14ac:dyDescent="0.35">
      <c r="A209" s="322" t="e">
        <f>'Digital Plan - UPI'!#REF!</f>
        <v>#REF!</v>
      </c>
      <c r="B209" s="293" t="e">
        <f>'Digital Plan - UPI'!#REF!</f>
        <v>#REF!</v>
      </c>
      <c r="C209" s="294" t="e">
        <f>'Digital Plan - UPI'!#REF!</f>
        <v>#REF!</v>
      </c>
      <c r="D209" s="294" t="e">
        <f>'Digital Plan - UPI'!#REF!</f>
        <v>#REF!</v>
      </c>
      <c r="E209" s="406" t="e">
        <f>'Digital Plan - UPI'!#REF!</f>
        <v>#REF!</v>
      </c>
      <c r="F209" s="406" t="e">
        <f>'Digital Plan - UPI'!#REF!</f>
        <v>#REF!</v>
      </c>
      <c r="G209" s="296" t="e">
        <f>'Digital Plan - UPI'!#REF!</f>
        <v>#REF!</v>
      </c>
      <c r="H209" s="296" t="e">
        <f>'Digital Plan - UPI'!#REF!</f>
        <v>#REF!</v>
      </c>
      <c r="I209" s="297" t="e">
        <f>'Digital Plan - UPI'!#REF!</f>
        <v>#REF!</v>
      </c>
      <c r="J209" s="295" t="e">
        <f>'Digital Plan - UPI'!#REF!</f>
        <v>#REF!</v>
      </c>
      <c r="K209" s="298" t="e">
        <f>'Digital Plan - UPI'!#REF!</f>
        <v>#REF!</v>
      </c>
      <c r="L209" s="299" t="e">
        <f>'Digital Plan - UPI'!#REF!</f>
        <v>#REF!</v>
      </c>
      <c r="M209" s="299" t="e">
        <f>'Digital Plan - UPI'!#REF!</f>
        <v>#REF!</v>
      </c>
      <c r="N209" s="298" t="e">
        <f>'Digital Plan - UPI'!#REF!</f>
        <v>#REF!</v>
      </c>
      <c r="O209" s="300" t="e">
        <f>'Digital Plan - UPI'!#REF!</f>
        <v>#REF!</v>
      </c>
      <c r="P209" s="301" t="e">
        <f>'Digital Plan - UPI'!#REF!</f>
        <v>#REF!</v>
      </c>
      <c r="Q209" s="298" t="e">
        <f>'Digital Plan - UPI'!#REF!</f>
        <v>#REF!</v>
      </c>
      <c r="R209" s="302" t="e">
        <f>'Digital Plan - UPI'!#REF!</f>
        <v>#REF!</v>
      </c>
      <c r="S209" s="303" t="e">
        <f>'Digital Plan - UPI'!#REF!</f>
        <v>#REF!</v>
      </c>
      <c r="T209" s="298" t="e">
        <f>'Digital Plan - UPI'!#REF!</f>
        <v>#REF!</v>
      </c>
      <c r="U209" s="298" t="e">
        <f>'Digital Plan - UPI'!#REF!</f>
        <v>#REF!</v>
      </c>
      <c r="V209" s="304" t="e">
        <f>'Digital Plan - UPI'!#REF!</f>
        <v>#REF!</v>
      </c>
      <c r="W209" s="305" t="e">
        <f>'Digital Plan - UPI'!#REF!</f>
        <v>#REF!</v>
      </c>
      <c r="X209" s="305" t="e">
        <f>'Digital Plan - UPI'!#REF!</f>
        <v>#REF!</v>
      </c>
      <c r="Y209" s="305" t="e">
        <f>'Digital Plan - UPI'!#REF!</f>
        <v>#REF!</v>
      </c>
      <c r="Z209" s="306" t="e">
        <f>'Digital Plan - UPI'!#REF!</f>
        <v>#REF!</v>
      </c>
      <c r="AA209" s="307" t="e">
        <f>'Digital Plan - UPI'!#REF!</f>
        <v>#REF!</v>
      </c>
      <c r="AB209" s="259"/>
      <c r="AC209" s="298"/>
      <c r="AD209" s="298"/>
      <c r="AE209" s="298"/>
      <c r="AF209" s="298"/>
      <c r="AG209" s="298"/>
      <c r="AH209" s="298" t="e">
        <f>$N209/3</f>
        <v>#REF!</v>
      </c>
      <c r="AI209" s="298" t="e">
        <f t="shared" si="71"/>
        <v>#REF!</v>
      </c>
      <c r="AJ209" s="298" t="e">
        <f t="shared" si="71"/>
        <v>#REF!</v>
      </c>
    </row>
    <row r="210" spans="1:36" x14ac:dyDescent="0.35">
      <c r="A210" s="322" t="str">
        <f>'Digital Plan - UPI'!B153</f>
        <v>Patna</v>
      </c>
      <c r="B210" s="293" t="str">
        <f>'Digital Plan - UPI'!C153</f>
        <v>Core - CTV</v>
      </c>
      <c r="C210" s="295" t="str">
        <f>'Digital Plan - UPI'!D153</f>
        <v xml:space="preserve">YouTube </v>
      </c>
      <c r="D210" s="295" t="str">
        <f>'Digital Plan - UPI'!E153</f>
        <v>Video</v>
      </c>
      <c r="E210" s="406" t="str">
        <f>'Digital Plan - UPI'!F153</f>
        <v xml:space="preserve">Entertainment </v>
      </c>
      <c r="F210" s="407" t="str">
        <f>'Digital Plan - UPI'!G153</f>
        <v>CTV</v>
      </c>
      <c r="G210" s="296" t="str">
        <f>'Digital Plan - UPI'!H153</f>
        <v>Instream</v>
      </c>
      <c r="H210" s="296" t="str">
        <f>'Digital Plan - UPI'!I153</f>
        <v xml:space="preserve">Bumper 6 secs  </v>
      </c>
      <c r="I210" s="297" t="str">
        <f>'Digital Plan - UPI'!J153</f>
        <v>Reff : Targeting Sheet</v>
      </c>
      <c r="J210" s="295" t="str">
        <f>'Digital Plan - UPI'!K153</f>
        <v>CPM</v>
      </c>
      <c r="K210" s="298">
        <f>'Digital Plan - UPI'!L153</f>
        <v>21</v>
      </c>
      <c r="L210" s="299">
        <f>'Digital Plan - UPI'!M153</f>
        <v>45460</v>
      </c>
      <c r="M210" s="299">
        <f>'Digital Plan - UPI'!N153</f>
        <v>45480</v>
      </c>
      <c r="N210" s="298">
        <f>'Digital Plan - UPI'!O153</f>
        <v>1939378.3723079998</v>
      </c>
      <c r="O210" s="300" t="str">
        <f>'Digital Plan - UPI'!P153</f>
        <v>-</v>
      </c>
      <c r="P210" s="301">
        <f>'Digital Plan - UPI'!Q153</f>
        <v>0</v>
      </c>
      <c r="Q210" s="298">
        <f>'Digital Plan - UPI'!R153</f>
        <v>0</v>
      </c>
      <c r="R210" s="302">
        <f>'Digital Plan - UPI'!S153</f>
        <v>0.8</v>
      </c>
      <c r="S210" s="303">
        <f>'Digital Plan - UPI'!T153</f>
        <v>1551502.6978463999</v>
      </c>
      <c r="T210" s="298">
        <f>'Digital Plan - UPI'!U153</f>
        <v>349437.54455999995</v>
      </c>
      <c r="U210" s="298">
        <f>'Digital Plan - UPI'!V153</f>
        <v>5.55</v>
      </c>
      <c r="V210" s="304">
        <f>'Digital Plan - UPI'!X153</f>
        <v>110</v>
      </c>
      <c r="W210" s="305">
        <f>'Digital Plan - UPI'!Y153</f>
        <v>213331.62095387999</v>
      </c>
      <c r="X210" s="305">
        <f>'Digital Plan - UPI'!Z153</f>
        <v>110.00000000000001</v>
      </c>
      <c r="Y210" s="305">
        <f>'Digital Plan - UPI'!AA153</f>
        <v>0</v>
      </c>
      <c r="Z210" s="306">
        <f>'Digital Plan - UPI'!AB153</f>
        <v>389610</v>
      </c>
      <c r="AA210" s="307">
        <f>'Digital Plan - UPI'!AC153</f>
        <v>0.89689059459459441</v>
      </c>
      <c r="AB210" s="259"/>
      <c r="AC210" s="298"/>
      <c r="AD210" s="298"/>
      <c r="AE210" s="298">
        <f>$N210/3</f>
        <v>646459.45743599988</v>
      </c>
      <c r="AF210" s="298">
        <f t="shared" si="71"/>
        <v>646459.45743599988</v>
      </c>
      <c r="AG210" s="298">
        <f t="shared" si="71"/>
        <v>646459.45743599988</v>
      </c>
      <c r="AH210" s="298"/>
      <c r="AI210" s="298"/>
      <c r="AJ210" s="298"/>
    </row>
    <row r="211" spans="1:36" x14ac:dyDescent="0.35">
      <c r="A211" s="322" t="e">
        <f>'Digital Plan - UPI'!#REF!</f>
        <v>#REF!</v>
      </c>
      <c r="B211" s="293" t="e">
        <f>'Digital Plan - UPI'!#REF!</f>
        <v>#REF!</v>
      </c>
      <c r="C211" s="295" t="e">
        <f>'Digital Plan - UPI'!#REF!</f>
        <v>#REF!</v>
      </c>
      <c r="D211" s="295" t="e">
        <f>'Digital Plan - UPI'!#REF!</f>
        <v>#REF!</v>
      </c>
      <c r="E211" s="406" t="e">
        <f>'Digital Plan - UPI'!#REF!</f>
        <v>#REF!</v>
      </c>
      <c r="F211" s="407" t="e">
        <f>'Digital Plan - UPI'!#REF!</f>
        <v>#REF!</v>
      </c>
      <c r="G211" s="296" t="e">
        <f>'Digital Plan - UPI'!#REF!</f>
        <v>#REF!</v>
      </c>
      <c r="H211" s="296" t="e">
        <f>'Digital Plan - UPI'!#REF!</f>
        <v>#REF!</v>
      </c>
      <c r="I211" s="297" t="e">
        <f>'Digital Plan - UPI'!#REF!</f>
        <v>#REF!</v>
      </c>
      <c r="J211" s="295" t="e">
        <f>'Digital Plan - UPI'!#REF!</f>
        <v>#REF!</v>
      </c>
      <c r="K211" s="298" t="e">
        <f>'Digital Plan - UPI'!#REF!</f>
        <v>#REF!</v>
      </c>
      <c r="L211" s="299" t="e">
        <f>'Digital Plan - UPI'!#REF!</f>
        <v>#REF!</v>
      </c>
      <c r="M211" s="299" t="e">
        <f>'Digital Plan - UPI'!#REF!</f>
        <v>#REF!</v>
      </c>
      <c r="N211" s="298" t="e">
        <f>'Digital Plan - UPI'!#REF!</f>
        <v>#REF!</v>
      </c>
      <c r="O211" s="300" t="e">
        <f>'Digital Plan - UPI'!#REF!</f>
        <v>#REF!</v>
      </c>
      <c r="P211" s="301" t="e">
        <f>'Digital Plan - UPI'!#REF!</f>
        <v>#REF!</v>
      </c>
      <c r="Q211" s="298" t="e">
        <f>'Digital Plan - UPI'!#REF!</f>
        <v>#REF!</v>
      </c>
      <c r="R211" s="302" t="e">
        <f>'Digital Plan - UPI'!#REF!</f>
        <v>#REF!</v>
      </c>
      <c r="S211" s="303" t="e">
        <f>'Digital Plan - UPI'!#REF!</f>
        <v>#REF!</v>
      </c>
      <c r="T211" s="298" t="e">
        <f>'Digital Plan - UPI'!#REF!</f>
        <v>#REF!</v>
      </c>
      <c r="U211" s="298" t="e">
        <f>'Digital Plan - UPI'!#REF!</f>
        <v>#REF!</v>
      </c>
      <c r="V211" s="304" t="e">
        <f>'Digital Plan - UPI'!#REF!</f>
        <v>#REF!</v>
      </c>
      <c r="W211" s="305" t="e">
        <f>'Digital Plan - UPI'!#REF!</f>
        <v>#REF!</v>
      </c>
      <c r="X211" s="305" t="e">
        <f>'Digital Plan - UPI'!#REF!</f>
        <v>#REF!</v>
      </c>
      <c r="Y211" s="305" t="e">
        <f>'Digital Plan - UPI'!#REF!</f>
        <v>#REF!</v>
      </c>
      <c r="Z211" s="306" t="e">
        <f>'Digital Plan - UPI'!#REF!</f>
        <v>#REF!</v>
      </c>
      <c r="AA211" s="307" t="e">
        <f>'Digital Plan - UPI'!#REF!</f>
        <v>#REF!</v>
      </c>
      <c r="AB211" s="259"/>
      <c r="AC211" s="298"/>
      <c r="AD211" s="298"/>
      <c r="AE211" s="298"/>
      <c r="AF211" s="298"/>
      <c r="AG211" s="298"/>
      <c r="AH211" s="298" t="e">
        <f>$N211/3</f>
        <v>#REF!</v>
      </c>
      <c r="AI211" s="298" t="e">
        <f t="shared" si="71"/>
        <v>#REF!</v>
      </c>
      <c r="AJ211" s="298" t="e">
        <f t="shared" si="71"/>
        <v>#REF!</v>
      </c>
    </row>
    <row r="212" spans="1:36" x14ac:dyDescent="0.35">
      <c r="A212" s="322" t="str">
        <f>'Digital Plan - UPI'!B154</f>
        <v>Patna</v>
      </c>
      <c r="B212" s="293" t="str">
        <f>'Digital Plan - UPI'!C154</f>
        <v>Core</v>
      </c>
      <c r="C212" s="264" t="str">
        <f>'Digital Plan - UPI'!D154</f>
        <v>Meta</v>
      </c>
      <c r="D212" s="264" t="str">
        <f>'Digital Plan - UPI'!E154</f>
        <v>Video</v>
      </c>
      <c r="E212" s="404" t="str">
        <f>'Digital Plan - UPI'!F154</f>
        <v xml:space="preserve">Entertainment </v>
      </c>
      <c r="F212" s="404" t="str">
        <f>'Digital Plan - UPI'!G154</f>
        <v xml:space="preserve">Mobile </v>
      </c>
      <c r="G212" s="265" t="str">
        <f>'Digital Plan - UPI'!H154</f>
        <v xml:space="preserve">Instream </v>
      </c>
      <c r="H212" s="265" t="str">
        <f>'Digital Plan - UPI'!I154</f>
        <v>Instream - 6 Sec</v>
      </c>
      <c r="I212" s="308" t="str">
        <f>'Digital Plan - UPI'!J154</f>
        <v>Reff : Targeting Sheet</v>
      </c>
      <c r="J212" s="263" t="str">
        <f>'Digital Plan - UPI'!K154</f>
        <v>CPM</v>
      </c>
      <c r="K212" s="266">
        <f>'Digital Plan - UPI'!L154</f>
        <v>21</v>
      </c>
      <c r="L212" s="267">
        <f>'Digital Plan - UPI'!M154</f>
        <v>45460</v>
      </c>
      <c r="M212" s="267">
        <f>'Digital Plan - UPI'!N154</f>
        <v>45480</v>
      </c>
      <c r="N212" s="266">
        <f>'Digital Plan - UPI'!O154</f>
        <v>311258.25728399999</v>
      </c>
      <c r="O212" s="268" t="str">
        <f>'Digital Plan - UPI'!P154</f>
        <v>-</v>
      </c>
      <c r="P212" s="269">
        <f>'Digital Plan - UPI'!Q154</f>
        <v>1E-3</v>
      </c>
      <c r="Q212" s="266">
        <f>'Digital Plan - UPI'!R154</f>
        <v>311.25825728400002</v>
      </c>
      <c r="R212" s="270">
        <f>'Digital Plan - UPI'!S154</f>
        <v>0.7</v>
      </c>
      <c r="S212" s="271">
        <f>'Digital Plan - UPI'!T154</f>
        <v>217880.78009879999</v>
      </c>
      <c r="T212" s="266">
        <f>'Digital Plan - UPI'!U154</f>
        <v>311258.25728399999</v>
      </c>
      <c r="U212" s="266">
        <f>'Digital Plan - UPI'!V154</f>
        <v>1</v>
      </c>
      <c r="V212" s="272">
        <f>'Digital Plan - UPI'!X154</f>
        <v>70</v>
      </c>
      <c r="W212" s="273">
        <f>'Digital Plan - UPI'!Y154</f>
        <v>21788.078009879999</v>
      </c>
      <c r="X212" s="273">
        <f>'Digital Plan - UPI'!Z154</f>
        <v>69.999999999999986</v>
      </c>
      <c r="Y212" s="273">
        <f>'Digital Plan - UPI'!AA154</f>
        <v>69.999999999999986</v>
      </c>
      <c r="Z212" s="274">
        <f>'Digital Plan - UPI'!AB154</f>
        <v>637806</v>
      </c>
      <c r="AA212" s="275">
        <f>'Digital Plan - UPI'!AC154</f>
        <v>0.488014</v>
      </c>
      <c r="AB212" s="259"/>
      <c r="AC212" s="266"/>
      <c r="AD212" s="266"/>
      <c r="AE212" s="266">
        <f>$N212/3</f>
        <v>103752.75242799999</v>
      </c>
      <c r="AF212" s="266">
        <f t="shared" si="71"/>
        <v>103752.75242799999</v>
      </c>
      <c r="AG212" s="266">
        <f t="shared" si="71"/>
        <v>103752.75242799999</v>
      </c>
      <c r="AH212" s="266"/>
      <c r="AI212" s="266"/>
      <c r="AJ212" s="266"/>
    </row>
    <row r="213" spans="1:36" x14ac:dyDescent="0.35">
      <c r="A213" s="322" t="str">
        <f>'Digital Plan - UPI'!B155</f>
        <v>Patna</v>
      </c>
      <c r="B213" s="293" t="str">
        <f>'Digital Plan - UPI'!C155</f>
        <v>Core</v>
      </c>
      <c r="C213" s="264" t="str">
        <f>'Digital Plan - UPI'!D155</f>
        <v xml:space="preserve">YouTube </v>
      </c>
      <c r="D213" s="264" t="str">
        <f>'Digital Plan - UPI'!E155</f>
        <v>Video</v>
      </c>
      <c r="E213" s="404" t="str">
        <f>'Digital Plan - UPI'!F155</f>
        <v xml:space="preserve">Entertainment </v>
      </c>
      <c r="F213" s="404" t="str">
        <f>'Digital Plan - UPI'!G155</f>
        <v xml:space="preserve">Mobile </v>
      </c>
      <c r="G213" s="265" t="str">
        <f>'Digital Plan - UPI'!H155</f>
        <v xml:space="preserve">Instream </v>
      </c>
      <c r="H213" s="265" t="str">
        <f>'Digital Plan - UPI'!I155</f>
        <v xml:space="preserve">Bumper 6 secs  </v>
      </c>
      <c r="I213" s="308" t="str">
        <f>'Digital Plan - UPI'!J155</f>
        <v>Reff : Targeting Sheet</v>
      </c>
      <c r="J213" s="263" t="str">
        <f>'Digital Plan - UPI'!K155</f>
        <v>CPM</v>
      </c>
      <c r="K213" s="266">
        <f>'Digital Plan - UPI'!L155</f>
        <v>21</v>
      </c>
      <c r="L213" s="267">
        <f>'Digital Plan - UPI'!M155</f>
        <v>45460</v>
      </c>
      <c r="M213" s="267">
        <f>'Digital Plan - UPI'!N155</f>
        <v>45480</v>
      </c>
      <c r="N213" s="266">
        <f>'Digital Plan - UPI'!O155</f>
        <v>464285.25</v>
      </c>
      <c r="O213" s="268" t="str">
        <f>'Digital Plan - UPI'!P155</f>
        <v>-</v>
      </c>
      <c r="P213" s="269">
        <f>'Digital Plan - UPI'!Q155</f>
        <v>1E-3</v>
      </c>
      <c r="Q213" s="266">
        <f>'Digital Plan - UPI'!R155</f>
        <v>464.28525000000002</v>
      </c>
      <c r="R213" s="270">
        <f>'Digital Plan - UPI'!S155</f>
        <v>0.8</v>
      </c>
      <c r="S213" s="271">
        <f>'Digital Plan - UPI'!T155</f>
        <v>371428.2</v>
      </c>
      <c r="T213" s="266">
        <f>'Digital Plan - UPI'!U155</f>
        <v>331632.32142857148</v>
      </c>
      <c r="U213" s="266">
        <f>'Digital Plan - UPI'!V155</f>
        <v>1.4</v>
      </c>
      <c r="V213" s="272">
        <f>'Digital Plan - UPI'!X155</f>
        <v>80</v>
      </c>
      <c r="W213" s="273">
        <f>'Digital Plan - UPI'!Y155</f>
        <v>37142.82</v>
      </c>
      <c r="X213" s="273">
        <f>'Digital Plan - UPI'!Z155</f>
        <v>80</v>
      </c>
      <c r="Y213" s="273">
        <f>'Digital Plan - UPI'!AA155</f>
        <v>80</v>
      </c>
      <c r="Z213" s="274">
        <f>'Digital Plan - UPI'!AB155</f>
        <v>750360</v>
      </c>
      <c r="AA213" s="275">
        <f>'Digital Plan - UPI'!AC155</f>
        <v>0.44196428571428575</v>
      </c>
      <c r="AB213" s="259"/>
      <c r="AC213" s="266"/>
      <c r="AD213" s="266"/>
      <c r="AE213" s="266"/>
      <c r="AF213" s="266"/>
      <c r="AG213" s="266"/>
      <c r="AH213" s="266">
        <f>$N213/3</f>
        <v>154761.75</v>
      </c>
      <c r="AI213" s="266">
        <f t="shared" si="71"/>
        <v>154761.75</v>
      </c>
      <c r="AJ213" s="266">
        <f t="shared" si="71"/>
        <v>154761.75</v>
      </c>
    </row>
    <row r="214" spans="1:36" x14ac:dyDescent="0.35">
      <c r="A214" s="322" t="str">
        <f>'Digital Plan - UPI'!B156</f>
        <v>Patna</v>
      </c>
      <c r="B214" s="293" t="str">
        <f>'Digital Plan - UPI'!C156</f>
        <v>Core</v>
      </c>
      <c r="C214" s="263" t="str">
        <f>'Digital Plan - UPI'!D156</f>
        <v xml:space="preserve">DSP </v>
      </c>
      <c r="D214" s="263" t="str">
        <f>'Digital Plan - UPI'!E156</f>
        <v>Static</v>
      </c>
      <c r="E214" s="404" t="str">
        <f>'Digital Plan - UPI'!F156</f>
        <v xml:space="preserve">Network </v>
      </c>
      <c r="F214" s="404" t="str">
        <f>'Digital Plan - UPI'!G156</f>
        <v>Mobile</v>
      </c>
      <c r="G214" s="265" t="str">
        <f>'Digital Plan - UPI'!H156</f>
        <v>ROS</v>
      </c>
      <c r="H214" s="265" t="str">
        <f>'Digital Plan - UPI'!I156</f>
        <v>Large Formats</v>
      </c>
      <c r="I214" s="309" t="str">
        <f>'Digital Plan - UPI'!J156</f>
        <v>Reff : Targeting Sheet</v>
      </c>
      <c r="J214" s="263" t="str">
        <f>'Digital Plan - UPI'!K156</f>
        <v>CPM</v>
      </c>
      <c r="K214" s="266">
        <f>'Digital Plan - UPI'!L156</f>
        <v>21</v>
      </c>
      <c r="L214" s="267">
        <f>'Digital Plan - UPI'!M156</f>
        <v>45460</v>
      </c>
      <c r="M214" s="267">
        <f>'Digital Plan - UPI'!N156</f>
        <v>45480</v>
      </c>
      <c r="N214" s="266">
        <f>'Digital Plan - UPI'!O156</f>
        <v>138237.57351625647</v>
      </c>
      <c r="O214" s="268" t="str">
        <f>'Digital Plan - UPI'!P156</f>
        <v>-</v>
      </c>
      <c r="P214" s="269">
        <f>'Digital Plan - UPI'!Q156</f>
        <v>1.4999999999999999E-2</v>
      </c>
      <c r="Q214" s="266">
        <f>'Digital Plan - UPI'!R156</f>
        <v>2073.5636027438468</v>
      </c>
      <c r="R214" s="268" t="str">
        <f>'Digital Plan - UPI'!S156</f>
        <v>-</v>
      </c>
      <c r="S214" s="271" t="str">
        <f>'Digital Plan - UPI'!T156</f>
        <v>-</v>
      </c>
      <c r="T214" s="266">
        <f>'Digital Plan - UPI'!U156</f>
        <v>162632.43943088996</v>
      </c>
      <c r="U214" s="266">
        <f>'Digital Plan - UPI'!V156</f>
        <v>0.85</v>
      </c>
      <c r="V214" s="272">
        <f>'Digital Plan - UPI'!X156</f>
        <v>105</v>
      </c>
      <c r="W214" s="273">
        <f>'Digital Plan - UPI'!Y156</f>
        <v>14514.945219206929</v>
      </c>
      <c r="X214" s="273">
        <f>'Digital Plan - UPI'!Z156</f>
        <v>105</v>
      </c>
      <c r="Y214" s="273">
        <f>'Digital Plan - UPI'!AA156</f>
        <v>7.0000000000000009</v>
      </c>
      <c r="Z214" s="274">
        <f>'Digital Plan - UPI'!AB156</f>
        <v>605915.69999999995</v>
      </c>
      <c r="AA214" s="275">
        <f>'Digital Plan - UPI'!AC156</f>
        <v>0.26840769999999997</v>
      </c>
      <c r="AB214" s="259"/>
      <c r="AC214" s="266">
        <f t="shared" ref="AC214:AD216" si="72">$N214*20%</f>
        <v>27647.514703251294</v>
      </c>
      <c r="AD214" s="266">
        <f t="shared" si="72"/>
        <v>27647.514703251294</v>
      </c>
      <c r="AE214" s="266">
        <f t="shared" ref="AE214:AF216" si="73">$N214*15%</f>
        <v>20735.636027438468</v>
      </c>
      <c r="AF214" s="266">
        <f t="shared" si="73"/>
        <v>20735.636027438468</v>
      </c>
      <c r="AG214" s="266">
        <f t="shared" ref="AG214:AH216" si="74">$N214*10%</f>
        <v>13823.757351625647</v>
      </c>
      <c r="AH214" s="266">
        <f t="shared" si="74"/>
        <v>13823.757351625647</v>
      </c>
      <c r="AI214" s="266">
        <f t="shared" ref="AI214:AJ216" si="75">$N214*5%</f>
        <v>6911.8786758128235</v>
      </c>
      <c r="AJ214" s="266">
        <f t="shared" si="75"/>
        <v>6911.8786758128235</v>
      </c>
    </row>
    <row r="215" spans="1:36" x14ac:dyDescent="0.35">
      <c r="A215" s="322" t="str">
        <f>'Digital Plan - UPI'!B157</f>
        <v>Patna</v>
      </c>
      <c r="B215" s="293" t="str">
        <f>'Digital Plan - UPI'!C157</f>
        <v>Core</v>
      </c>
      <c r="C215" s="310" t="str">
        <f>'Digital Plan - UPI'!D157</f>
        <v>Mediakart</v>
      </c>
      <c r="D215" s="263" t="str">
        <f>'Digital Plan - UPI'!E157</f>
        <v>Static</v>
      </c>
      <c r="E215" s="408" t="str">
        <f>'Digital Plan - UPI'!F157</f>
        <v xml:space="preserve">Network </v>
      </c>
      <c r="F215" s="404" t="str">
        <f>'Digital Plan - UPI'!G157</f>
        <v xml:space="preserve">Mobile </v>
      </c>
      <c r="G215" s="265" t="str">
        <f>'Digital Plan - UPI'!H157</f>
        <v>ROS</v>
      </c>
      <c r="H215" s="265" t="str">
        <f>'Digital Plan - UPI'!I157</f>
        <v>Interstitial Static banner</v>
      </c>
      <c r="I215" s="309" t="str">
        <f>'Digital Plan - UPI'!J157</f>
        <v>Reff : Targeting Sheet</v>
      </c>
      <c r="J215" s="263" t="str">
        <f>'Digital Plan - UPI'!K157</f>
        <v xml:space="preserve">CPM </v>
      </c>
      <c r="K215" s="266">
        <f>'Digital Plan - UPI'!L157</f>
        <v>21</v>
      </c>
      <c r="L215" s="267">
        <f>'Digital Plan - UPI'!M157</f>
        <v>45460</v>
      </c>
      <c r="M215" s="267">
        <f>'Digital Plan - UPI'!N157</f>
        <v>45480</v>
      </c>
      <c r="N215" s="266">
        <f>'Digital Plan - UPI'!O157</f>
        <v>252312.92214981597</v>
      </c>
      <c r="O215" s="268" t="str">
        <f>'Digital Plan - UPI'!P157</f>
        <v>-</v>
      </c>
      <c r="P215" s="269">
        <f>'Digital Plan - UPI'!Q157</f>
        <v>1.4999999999999999E-2</v>
      </c>
      <c r="Q215" s="266">
        <f>'Digital Plan - UPI'!R157</f>
        <v>3784.6938322472397</v>
      </c>
      <c r="R215" s="268" t="str">
        <f>'Digital Plan - UPI'!S157</f>
        <v>-</v>
      </c>
      <c r="S215" s="271" t="str">
        <f>'Digital Plan - UPI'!T157</f>
        <v>-</v>
      </c>
      <c r="T215" s="266">
        <f>'Digital Plan - UPI'!U157</f>
        <v>296838.73194095999</v>
      </c>
      <c r="U215" s="266">
        <f>'Digital Plan - UPI'!V157</f>
        <v>0.85</v>
      </c>
      <c r="V215" s="272">
        <f>'Digital Plan - UPI'!X157</f>
        <v>120</v>
      </c>
      <c r="W215" s="273">
        <f>'Digital Plan - UPI'!Y157</f>
        <v>30277.550657977914</v>
      </c>
      <c r="X215" s="273">
        <f>'Digital Plan - UPI'!Z157</f>
        <v>119.99999999999999</v>
      </c>
      <c r="Y215" s="273">
        <f>'Digital Plan - UPI'!AA157</f>
        <v>7.9999999999999991</v>
      </c>
      <c r="Z215" s="274">
        <f>'Digital Plan - UPI'!AB157</f>
        <v>691203</v>
      </c>
      <c r="AA215" s="275">
        <f>'Digital Plan - UPI'!AC157</f>
        <v>0.42945232</v>
      </c>
      <c r="AB215" s="259"/>
      <c r="AC215" s="266">
        <f t="shared" si="72"/>
        <v>50462.584429963201</v>
      </c>
      <c r="AD215" s="266">
        <f t="shared" si="72"/>
        <v>50462.584429963201</v>
      </c>
      <c r="AE215" s="266">
        <f t="shared" si="73"/>
        <v>37846.938322472393</v>
      </c>
      <c r="AF215" s="266">
        <f t="shared" si="73"/>
        <v>37846.938322472393</v>
      </c>
      <c r="AG215" s="266">
        <f t="shared" si="74"/>
        <v>25231.2922149816</v>
      </c>
      <c r="AH215" s="266">
        <f t="shared" si="74"/>
        <v>25231.2922149816</v>
      </c>
      <c r="AI215" s="266">
        <f t="shared" si="75"/>
        <v>12615.6461074908</v>
      </c>
      <c r="AJ215" s="266">
        <f t="shared" si="75"/>
        <v>12615.6461074908</v>
      </c>
    </row>
    <row r="216" spans="1:36" x14ac:dyDescent="0.35">
      <c r="A216" s="322" t="str">
        <f>'Digital Plan - UPI'!B158</f>
        <v>Patna</v>
      </c>
      <c r="B216" s="293" t="str">
        <f>'Digital Plan - UPI'!C158</f>
        <v>Core</v>
      </c>
      <c r="C216" s="310" t="str">
        <f>'Digital Plan - UPI'!D158</f>
        <v>Dailyhunt</v>
      </c>
      <c r="D216" s="311" t="str">
        <f>'Digital Plan - UPI'!E158</f>
        <v>Static</v>
      </c>
      <c r="E216" s="408" t="str">
        <f>'Digital Plan - UPI'!F158</f>
        <v>News</v>
      </c>
      <c r="F216" s="404" t="str">
        <f>'Digital Plan - UPI'!G158</f>
        <v xml:space="preserve">Mobile </v>
      </c>
      <c r="G216" s="310" t="str">
        <f>'Digital Plan - UPI'!H158</f>
        <v>ROS</v>
      </c>
      <c r="H216" s="263" t="str">
        <f>'Digital Plan - UPI'!I158</f>
        <v>Page Insert - Innovation</v>
      </c>
      <c r="I216" s="309" t="str">
        <f>'Digital Plan - UPI'!J158</f>
        <v>Reff : Targeting Sheet</v>
      </c>
      <c r="J216" s="263" t="str">
        <f>'Digital Plan - UPI'!K158</f>
        <v>CPM</v>
      </c>
      <c r="K216" s="266">
        <f>'Digital Plan - UPI'!L158</f>
        <v>21</v>
      </c>
      <c r="L216" s="267">
        <f>'Digital Plan - UPI'!M158</f>
        <v>45460</v>
      </c>
      <c r="M216" s="267">
        <f>'Digital Plan - UPI'!N158</f>
        <v>45480</v>
      </c>
      <c r="N216" s="266">
        <f>'Digital Plan - UPI'!O158</f>
        <v>47374.447552013997</v>
      </c>
      <c r="O216" s="268" t="str">
        <f>'Digital Plan - UPI'!P158</f>
        <v>-</v>
      </c>
      <c r="P216" s="312">
        <f>'Digital Plan - UPI'!Q158</f>
        <v>0.01</v>
      </c>
      <c r="Q216" s="266">
        <f>'Digital Plan - UPI'!R158</f>
        <v>473.74447552013999</v>
      </c>
      <c r="R216" s="268" t="str">
        <f>'Digital Plan - UPI'!S158</f>
        <v>-</v>
      </c>
      <c r="S216" s="271" t="str">
        <f>'Digital Plan - UPI'!T158</f>
        <v>-</v>
      </c>
      <c r="T216" s="266">
        <f>'Digital Plan - UPI'!U158</f>
        <v>55734.644178839997</v>
      </c>
      <c r="U216" s="266">
        <f>'Digital Plan - UPI'!V158</f>
        <v>0.85</v>
      </c>
      <c r="V216" s="272">
        <f>'Digital Plan - UPI'!X158</f>
        <v>200</v>
      </c>
      <c r="W216" s="273">
        <f>'Digital Plan - UPI'!Y158</f>
        <v>9474.8895104027979</v>
      </c>
      <c r="X216" s="273">
        <f>'Digital Plan - UPI'!Z158</f>
        <v>199.99999999999994</v>
      </c>
      <c r="Y216" s="273">
        <f>'Digital Plan - UPI'!AA158</f>
        <v>19.999999999999996</v>
      </c>
      <c r="Z216" s="274">
        <f>'Digital Plan - UPI'!AB158</f>
        <v>188772</v>
      </c>
      <c r="AA216" s="275">
        <f>'Digital Plan - UPI'!AC158</f>
        <v>0.29524846999999999</v>
      </c>
      <c r="AB216" s="259"/>
      <c r="AC216" s="266">
        <f t="shared" si="72"/>
        <v>9474.8895104027997</v>
      </c>
      <c r="AD216" s="266">
        <f t="shared" si="72"/>
        <v>9474.8895104027997</v>
      </c>
      <c r="AE216" s="266">
        <f t="shared" si="73"/>
        <v>7106.1671328020993</v>
      </c>
      <c r="AF216" s="266">
        <f t="shared" si="73"/>
        <v>7106.1671328020993</v>
      </c>
      <c r="AG216" s="266">
        <f t="shared" si="74"/>
        <v>4737.4447552013999</v>
      </c>
      <c r="AH216" s="266">
        <f t="shared" si="74"/>
        <v>4737.4447552013999</v>
      </c>
      <c r="AI216" s="266">
        <f t="shared" si="75"/>
        <v>2368.7223776006999</v>
      </c>
      <c r="AJ216" s="266">
        <f t="shared" si="75"/>
        <v>2368.7223776006999</v>
      </c>
    </row>
    <row r="217" spans="1:36" x14ac:dyDescent="0.35">
      <c r="A217" s="277" t="str">
        <f>'Digital Plan - UPI'!B159</f>
        <v>Patna</v>
      </c>
      <c r="B217" s="278">
        <f>'Digital Plan - UPI'!C159</f>
        <v>0</v>
      </c>
      <c r="C217" s="279" t="str">
        <f>'Digital Plan - UPI'!D159</f>
        <v>Total</v>
      </c>
      <c r="D217" s="280">
        <f>'Digital Plan - UPI'!E159</f>
        <v>0</v>
      </c>
      <c r="E217" s="405">
        <f>'Digital Plan - UPI'!F159</f>
        <v>0</v>
      </c>
      <c r="F217" s="405">
        <f>'Digital Plan - UPI'!G159</f>
        <v>0</v>
      </c>
      <c r="G217" s="280">
        <f>'Digital Plan - UPI'!H159</f>
        <v>0</v>
      </c>
      <c r="H217" s="281">
        <f>'Digital Plan - UPI'!I159</f>
        <v>0</v>
      </c>
      <c r="I217" s="282">
        <f>'Digital Plan - UPI'!J159</f>
        <v>0</v>
      </c>
      <c r="J217" s="283">
        <f>'Digital Plan - UPI'!K159</f>
        <v>0</v>
      </c>
      <c r="K217" s="284">
        <f>'Digital Plan - UPI'!L159</f>
        <v>0</v>
      </c>
      <c r="L217" s="284">
        <f>'Digital Plan - UPI'!M159</f>
        <v>0</v>
      </c>
      <c r="M217" s="284">
        <f>'Digital Plan - UPI'!N159</f>
        <v>0</v>
      </c>
      <c r="N217" s="284">
        <f>'Digital Plan - UPI'!O159</f>
        <v>4217795.4711471107</v>
      </c>
      <c r="O217" s="284">
        <f>'Digital Plan - UPI'!P159</f>
        <v>0</v>
      </c>
      <c r="P217" s="285">
        <f>'Digital Plan - UPI'!Q159</f>
        <v>1.6851327823779452E-3</v>
      </c>
      <c r="Q217" s="284">
        <f>'Digital Plan - UPI'!R159</f>
        <v>7107.545417795227</v>
      </c>
      <c r="R217" s="286">
        <f>'Digital Plan - UPI'!S159</f>
        <v>0</v>
      </c>
      <c r="S217" s="284">
        <f>'Digital Plan - UPI'!T159</f>
        <v>3046018.0290316707</v>
      </c>
      <c r="T217" s="284">
        <f>'Digital Plan - UPI'!U159</f>
        <v>518431.7190143452</v>
      </c>
      <c r="U217" s="284">
        <f>'Digital Plan - UPI'!V159</f>
        <v>8.135681742556347</v>
      </c>
      <c r="V217" s="287">
        <f>'Digital Plan - UPI'!X159</f>
        <v>0</v>
      </c>
      <c r="W217" s="317">
        <f>'Digital Plan - UPI'!Y159</f>
        <v>459648.48539347562</v>
      </c>
      <c r="X217" s="288">
        <f>'Digital Plan - UPI'!Z159</f>
        <v>108.97837236011479</v>
      </c>
      <c r="Y217" s="288">
        <f>'Digital Plan - UPI'!AA159</f>
        <v>64.670495702025264</v>
      </c>
      <c r="Z217" s="284">
        <f>'Digital Plan - UPI'!AB159</f>
        <v>806704.03399999999</v>
      </c>
      <c r="AA217" s="289">
        <f>'Digital Plan - UPI'!AC159</f>
        <v>0.64265417943149294</v>
      </c>
      <c r="AB217" s="259"/>
      <c r="AC217" s="284"/>
      <c r="AD217" s="284"/>
      <c r="AE217" s="284"/>
      <c r="AF217" s="284"/>
      <c r="AG217" s="284"/>
      <c r="AH217" s="284"/>
      <c r="AI217" s="284"/>
      <c r="AJ217" s="284"/>
    </row>
    <row r="218" spans="1:36" x14ac:dyDescent="0.35">
      <c r="A218" s="322" t="e">
        <f>'Digital Plan - UPI'!#REF!</f>
        <v>#REF!</v>
      </c>
      <c r="B218" s="293" t="e">
        <f>'Digital Plan - UPI'!#REF!</f>
        <v>#REF!</v>
      </c>
      <c r="C218" s="294" t="e">
        <f>'Digital Plan - UPI'!#REF!</f>
        <v>#REF!</v>
      </c>
      <c r="D218" s="294" t="e">
        <f>'Digital Plan - UPI'!#REF!</f>
        <v>#REF!</v>
      </c>
      <c r="E218" s="406" t="e">
        <f>'Digital Plan - UPI'!#REF!</f>
        <v>#REF!</v>
      </c>
      <c r="F218" s="406" t="e">
        <f>'Digital Plan - UPI'!#REF!</f>
        <v>#REF!</v>
      </c>
      <c r="G218" s="296" t="e">
        <f>'Digital Plan - UPI'!#REF!</f>
        <v>#REF!</v>
      </c>
      <c r="H218" s="296" t="e">
        <f>'Digital Plan - UPI'!#REF!</f>
        <v>#REF!</v>
      </c>
      <c r="I218" s="297" t="e">
        <f>'Digital Plan - UPI'!#REF!</f>
        <v>#REF!</v>
      </c>
      <c r="J218" s="295" t="e">
        <f>'Digital Plan - UPI'!#REF!</f>
        <v>#REF!</v>
      </c>
      <c r="K218" s="298" t="e">
        <f>'Digital Plan - UPI'!#REF!</f>
        <v>#REF!</v>
      </c>
      <c r="L218" s="299" t="e">
        <f>'Digital Plan - UPI'!#REF!</f>
        <v>#REF!</v>
      </c>
      <c r="M218" s="299" t="e">
        <f>'Digital Plan - UPI'!#REF!</f>
        <v>#REF!</v>
      </c>
      <c r="N218" s="298" t="e">
        <f>'Digital Plan - UPI'!#REF!</f>
        <v>#REF!</v>
      </c>
      <c r="O218" s="300" t="e">
        <f>'Digital Plan - UPI'!#REF!</f>
        <v>#REF!</v>
      </c>
      <c r="P218" s="301" t="e">
        <f>'Digital Plan - UPI'!#REF!</f>
        <v>#REF!</v>
      </c>
      <c r="Q218" s="298" t="e">
        <f>'Digital Plan - UPI'!#REF!</f>
        <v>#REF!</v>
      </c>
      <c r="R218" s="302" t="e">
        <f>'Digital Plan - UPI'!#REF!</f>
        <v>#REF!</v>
      </c>
      <c r="S218" s="303" t="e">
        <f>'Digital Plan - UPI'!#REF!</f>
        <v>#REF!</v>
      </c>
      <c r="T218" s="298" t="e">
        <f>'Digital Plan - UPI'!#REF!</f>
        <v>#REF!</v>
      </c>
      <c r="U218" s="298" t="e">
        <f>'Digital Plan - UPI'!#REF!</f>
        <v>#REF!</v>
      </c>
      <c r="V218" s="304" t="e">
        <f>'Digital Plan - UPI'!#REF!</f>
        <v>#REF!</v>
      </c>
      <c r="W218" s="305" t="e">
        <f>'Digital Plan - UPI'!#REF!</f>
        <v>#REF!</v>
      </c>
      <c r="X218" s="305" t="e">
        <f>'Digital Plan - UPI'!#REF!</f>
        <v>#REF!</v>
      </c>
      <c r="Y218" s="305" t="e">
        <f>'Digital Plan - UPI'!#REF!</f>
        <v>#REF!</v>
      </c>
      <c r="Z218" s="306" t="e">
        <f>'Digital Plan - UPI'!#REF!</f>
        <v>#REF!</v>
      </c>
      <c r="AA218" s="307" t="e">
        <f>'Digital Plan - UPI'!#REF!</f>
        <v>#REF!</v>
      </c>
      <c r="AB218" s="259"/>
      <c r="AC218" s="298" t="e">
        <f>N218/2</f>
        <v>#REF!</v>
      </c>
      <c r="AD218" s="298" t="e">
        <f>N218/2</f>
        <v>#REF!</v>
      </c>
      <c r="AE218" s="298"/>
      <c r="AF218" s="298"/>
      <c r="AG218" s="298"/>
      <c r="AH218" s="298"/>
      <c r="AI218" s="298"/>
      <c r="AJ218" s="298"/>
    </row>
    <row r="219" spans="1:36" x14ac:dyDescent="0.35">
      <c r="A219" s="322" t="e">
        <f>'Digital Plan - UPI'!#REF!</f>
        <v>#REF!</v>
      </c>
      <c r="B219" s="293" t="e">
        <f>'Digital Plan - UPI'!#REF!</f>
        <v>#REF!</v>
      </c>
      <c r="C219" s="295" t="e">
        <f>'Digital Plan - UPI'!#REF!</f>
        <v>#REF!</v>
      </c>
      <c r="D219" s="295" t="e">
        <f>'Digital Plan - UPI'!#REF!</f>
        <v>#REF!</v>
      </c>
      <c r="E219" s="406" t="e">
        <f>'Digital Plan - UPI'!#REF!</f>
        <v>#REF!</v>
      </c>
      <c r="F219" s="407" t="e">
        <f>'Digital Plan - UPI'!#REF!</f>
        <v>#REF!</v>
      </c>
      <c r="G219" s="296" t="e">
        <f>'Digital Plan - UPI'!#REF!</f>
        <v>#REF!</v>
      </c>
      <c r="H219" s="296" t="e">
        <f>'Digital Plan - UPI'!#REF!</f>
        <v>#REF!</v>
      </c>
      <c r="I219" s="297" t="e">
        <f>'Digital Plan - UPI'!#REF!</f>
        <v>#REF!</v>
      </c>
      <c r="J219" s="295" t="e">
        <f>'Digital Plan - UPI'!#REF!</f>
        <v>#REF!</v>
      </c>
      <c r="K219" s="298" t="e">
        <f>'Digital Plan - UPI'!#REF!</f>
        <v>#REF!</v>
      </c>
      <c r="L219" s="299" t="e">
        <f>'Digital Plan - UPI'!#REF!</f>
        <v>#REF!</v>
      </c>
      <c r="M219" s="299" t="e">
        <f>'Digital Plan - UPI'!#REF!</f>
        <v>#REF!</v>
      </c>
      <c r="N219" s="298" t="e">
        <f>'Digital Plan - UPI'!#REF!</f>
        <v>#REF!</v>
      </c>
      <c r="O219" s="300" t="e">
        <f>'Digital Plan - UPI'!#REF!</f>
        <v>#REF!</v>
      </c>
      <c r="P219" s="301" t="e">
        <f>'Digital Plan - UPI'!#REF!</f>
        <v>#REF!</v>
      </c>
      <c r="Q219" s="298" t="e">
        <f>'Digital Plan - UPI'!#REF!</f>
        <v>#REF!</v>
      </c>
      <c r="R219" s="302" t="e">
        <f>'Digital Plan - UPI'!#REF!</f>
        <v>#REF!</v>
      </c>
      <c r="S219" s="303" t="e">
        <f>'Digital Plan - UPI'!#REF!</f>
        <v>#REF!</v>
      </c>
      <c r="T219" s="298" t="e">
        <f>'Digital Plan - UPI'!#REF!</f>
        <v>#REF!</v>
      </c>
      <c r="U219" s="298" t="e">
        <f>'Digital Plan - UPI'!#REF!</f>
        <v>#REF!</v>
      </c>
      <c r="V219" s="304" t="e">
        <f>'Digital Plan - UPI'!#REF!</f>
        <v>#REF!</v>
      </c>
      <c r="W219" s="305" t="e">
        <f>'Digital Plan - UPI'!#REF!</f>
        <v>#REF!</v>
      </c>
      <c r="X219" s="305" t="e">
        <f>'Digital Plan - UPI'!#REF!</f>
        <v>#REF!</v>
      </c>
      <c r="Y219" s="305" t="e">
        <f>'Digital Plan - UPI'!#REF!</f>
        <v>#REF!</v>
      </c>
      <c r="Z219" s="306" t="e">
        <f>'Digital Plan - UPI'!#REF!</f>
        <v>#REF!</v>
      </c>
      <c r="AA219" s="307" t="e">
        <f>'Digital Plan - UPI'!#REF!</f>
        <v>#REF!</v>
      </c>
      <c r="AB219" s="259"/>
      <c r="AC219" s="298" t="e">
        <f>N219/2</f>
        <v>#REF!</v>
      </c>
      <c r="AD219" s="298" t="e">
        <f>N219/2</f>
        <v>#REF!</v>
      </c>
      <c r="AE219" s="298"/>
      <c r="AF219" s="298"/>
      <c r="AG219" s="298"/>
      <c r="AH219" s="298"/>
      <c r="AI219" s="298"/>
      <c r="AJ219" s="298"/>
    </row>
    <row r="220" spans="1:36" x14ac:dyDescent="0.35">
      <c r="A220" s="322" t="str">
        <f>'Digital Plan - UPI'!B160</f>
        <v>Surat</v>
      </c>
      <c r="B220" s="293" t="str">
        <f>'Digital Plan - UPI'!C160</f>
        <v>Core - CTV</v>
      </c>
      <c r="C220" s="294" t="str">
        <f>'Digital Plan - UPI'!D160</f>
        <v>Connected TV PMP</v>
      </c>
      <c r="D220" s="294" t="str">
        <f>'Digital Plan - UPI'!E160</f>
        <v>Video</v>
      </c>
      <c r="E220" s="406" t="str">
        <f>'Digital Plan - UPI'!F160</f>
        <v xml:space="preserve">Entertainment </v>
      </c>
      <c r="F220" s="406" t="str">
        <f>'Digital Plan - UPI'!G160</f>
        <v>CTV</v>
      </c>
      <c r="G220" s="296" t="str">
        <f>'Digital Plan - UPI'!H160</f>
        <v>Instream</v>
      </c>
      <c r="H220" s="296" t="str">
        <f>'Digital Plan - UPI'!I160</f>
        <v xml:space="preserve">Video-6 Sec </v>
      </c>
      <c r="I220" s="297" t="str">
        <f>'Digital Plan - UPI'!J160</f>
        <v>Reff : Targeting Sheet</v>
      </c>
      <c r="J220" s="295" t="str">
        <f>'Digital Plan - UPI'!K160</f>
        <v>CPM</v>
      </c>
      <c r="K220" s="298">
        <f>'Digital Plan - UPI'!L160</f>
        <v>21</v>
      </c>
      <c r="L220" s="299">
        <f>'Digital Plan - UPI'!M160</f>
        <v>45460</v>
      </c>
      <c r="M220" s="299">
        <f>'Digital Plan - UPI'!N160</f>
        <v>45480</v>
      </c>
      <c r="N220" s="298">
        <f>'Digital Plan - UPI'!O160</f>
        <v>488521.25346393604</v>
      </c>
      <c r="O220" s="300" t="str">
        <f>'Digital Plan - UPI'!P160</f>
        <v>-</v>
      </c>
      <c r="P220" s="301">
        <f>'Digital Plan - UPI'!Q160</f>
        <v>0</v>
      </c>
      <c r="Q220" s="298">
        <f>'Digital Plan - UPI'!R160</f>
        <v>0</v>
      </c>
      <c r="R220" s="302">
        <f>'Digital Plan - UPI'!S160</f>
        <v>0.85</v>
      </c>
      <c r="S220" s="303">
        <f>'Digital Plan - UPI'!T160</f>
        <v>415243.06544434564</v>
      </c>
      <c r="T220" s="298">
        <f>'Digital Plan - UPI'!U160</f>
        <v>119735.6013392</v>
      </c>
      <c r="U220" s="298">
        <f>'Digital Plan - UPI'!V160</f>
        <v>4.08</v>
      </c>
      <c r="V220" s="304">
        <f>'Digital Plan - UPI'!X160</f>
        <v>125</v>
      </c>
      <c r="W220" s="305">
        <f>'Digital Plan - UPI'!Y160</f>
        <v>61065.156682992005</v>
      </c>
      <c r="X220" s="305">
        <f>'Digital Plan - UPI'!Z160</f>
        <v>125</v>
      </c>
      <c r="Y220" s="305">
        <f>'Digital Plan - UPI'!AA160</f>
        <v>0</v>
      </c>
      <c r="Z220" s="306">
        <f>'Digital Plan - UPI'!AB160</f>
        <v>139405</v>
      </c>
      <c r="AA220" s="307">
        <f>'Digital Plan - UPI'!AC160</f>
        <v>0.85890464</v>
      </c>
      <c r="AB220" s="259"/>
      <c r="AC220" s="298"/>
      <c r="AD220" s="298"/>
      <c r="AE220" s="298">
        <f>$N220/3</f>
        <v>162840.417821312</v>
      </c>
      <c r="AF220" s="298">
        <f t="shared" ref="AF220:AJ225" si="76">$N220/3</f>
        <v>162840.417821312</v>
      </c>
      <c r="AG220" s="298">
        <f t="shared" si="76"/>
        <v>162840.417821312</v>
      </c>
      <c r="AH220" s="298"/>
      <c r="AI220" s="298"/>
      <c r="AJ220" s="298"/>
    </row>
    <row r="221" spans="1:36" x14ac:dyDescent="0.35">
      <c r="A221" s="322" t="e">
        <f>'Digital Plan - UPI'!#REF!</f>
        <v>#REF!</v>
      </c>
      <c r="B221" s="293" t="e">
        <f>'Digital Plan - UPI'!#REF!</f>
        <v>#REF!</v>
      </c>
      <c r="C221" s="294" t="e">
        <f>'Digital Plan - UPI'!#REF!</f>
        <v>#REF!</v>
      </c>
      <c r="D221" s="294" t="e">
        <f>'Digital Plan - UPI'!#REF!</f>
        <v>#REF!</v>
      </c>
      <c r="E221" s="406" t="e">
        <f>'Digital Plan - UPI'!#REF!</f>
        <v>#REF!</v>
      </c>
      <c r="F221" s="406" t="e">
        <f>'Digital Plan - UPI'!#REF!</f>
        <v>#REF!</v>
      </c>
      <c r="G221" s="296" t="e">
        <f>'Digital Plan - UPI'!#REF!</f>
        <v>#REF!</v>
      </c>
      <c r="H221" s="296" t="e">
        <f>'Digital Plan - UPI'!#REF!</f>
        <v>#REF!</v>
      </c>
      <c r="I221" s="297" t="e">
        <f>'Digital Plan - UPI'!#REF!</f>
        <v>#REF!</v>
      </c>
      <c r="J221" s="295" t="e">
        <f>'Digital Plan - UPI'!#REF!</f>
        <v>#REF!</v>
      </c>
      <c r="K221" s="298" t="e">
        <f>'Digital Plan - UPI'!#REF!</f>
        <v>#REF!</v>
      </c>
      <c r="L221" s="299" t="e">
        <f>'Digital Plan - UPI'!#REF!</f>
        <v>#REF!</v>
      </c>
      <c r="M221" s="299" t="e">
        <f>'Digital Plan - UPI'!#REF!</f>
        <v>#REF!</v>
      </c>
      <c r="N221" s="298" t="e">
        <f>'Digital Plan - UPI'!#REF!</f>
        <v>#REF!</v>
      </c>
      <c r="O221" s="300" t="e">
        <f>'Digital Plan - UPI'!#REF!</f>
        <v>#REF!</v>
      </c>
      <c r="P221" s="301" t="e">
        <f>'Digital Plan - UPI'!#REF!</f>
        <v>#REF!</v>
      </c>
      <c r="Q221" s="298" t="e">
        <f>'Digital Plan - UPI'!#REF!</f>
        <v>#REF!</v>
      </c>
      <c r="R221" s="302" t="e">
        <f>'Digital Plan - UPI'!#REF!</f>
        <v>#REF!</v>
      </c>
      <c r="S221" s="303" t="e">
        <f>'Digital Plan - UPI'!#REF!</f>
        <v>#REF!</v>
      </c>
      <c r="T221" s="298" t="e">
        <f>'Digital Plan - UPI'!#REF!</f>
        <v>#REF!</v>
      </c>
      <c r="U221" s="298" t="e">
        <f>'Digital Plan - UPI'!#REF!</f>
        <v>#REF!</v>
      </c>
      <c r="V221" s="304" t="e">
        <f>'Digital Plan - UPI'!#REF!</f>
        <v>#REF!</v>
      </c>
      <c r="W221" s="305" t="e">
        <f>'Digital Plan - UPI'!#REF!</f>
        <v>#REF!</v>
      </c>
      <c r="X221" s="305" t="e">
        <f>'Digital Plan - UPI'!#REF!</f>
        <v>#REF!</v>
      </c>
      <c r="Y221" s="305" t="e">
        <f>'Digital Plan - UPI'!#REF!</f>
        <v>#REF!</v>
      </c>
      <c r="Z221" s="306" t="e">
        <f>'Digital Plan - UPI'!#REF!</f>
        <v>#REF!</v>
      </c>
      <c r="AA221" s="307" t="e">
        <f>'Digital Plan - UPI'!#REF!</f>
        <v>#REF!</v>
      </c>
      <c r="AB221" s="259"/>
      <c r="AC221" s="298"/>
      <c r="AD221" s="298"/>
      <c r="AE221" s="298"/>
      <c r="AF221" s="298"/>
      <c r="AG221" s="298"/>
      <c r="AH221" s="298" t="e">
        <f>$N221/3</f>
        <v>#REF!</v>
      </c>
      <c r="AI221" s="298" t="e">
        <f t="shared" si="76"/>
        <v>#REF!</v>
      </c>
      <c r="AJ221" s="298" t="e">
        <f t="shared" si="76"/>
        <v>#REF!</v>
      </c>
    </row>
    <row r="222" spans="1:36" x14ac:dyDescent="0.35">
      <c r="A222" s="322" t="str">
        <f>'Digital Plan - UPI'!B161</f>
        <v>Surat</v>
      </c>
      <c r="B222" s="293" t="str">
        <f>'Digital Plan - UPI'!C161</f>
        <v>Core - CTV</v>
      </c>
      <c r="C222" s="295" t="str">
        <f>'Digital Plan - UPI'!D161</f>
        <v xml:space="preserve">YouTube </v>
      </c>
      <c r="D222" s="295" t="str">
        <f>'Digital Plan - UPI'!E161</f>
        <v>Video</v>
      </c>
      <c r="E222" s="406" t="str">
        <f>'Digital Plan - UPI'!F161</f>
        <v xml:space="preserve">Entertainment </v>
      </c>
      <c r="F222" s="407" t="str">
        <f>'Digital Plan - UPI'!G161</f>
        <v>CTV</v>
      </c>
      <c r="G222" s="296" t="str">
        <f>'Digital Plan - UPI'!H161</f>
        <v>Instream</v>
      </c>
      <c r="H222" s="296" t="str">
        <f>'Digital Plan - UPI'!I161</f>
        <v xml:space="preserve">Bumper 6 secs  </v>
      </c>
      <c r="I222" s="297" t="str">
        <f>'Digital Plan - UPI'!J161</f>
        <v>Reff : Targeting Sheet</v>
      </c>
      <c r="J222" s="295" t="str">
        <f>'Digital Plan - UPI'!K161</f>
        <v>CPM</v>
      </c>
      <c r="K222" s="298">
        <f>'Digital Plan - UPI'!L161</f>
        <v>21</v>
      </c>
      <c r="L222" s="299">
        <f>'Digital Plan - UPI'!M161</f>
        <v>45460</v>
      </c>
      <c r="M222" s="299">
        <f>'Digital Plan - UPI'!N161</f>
        <v>45480</v>
      </c>
      <c r="N222" s="298">
        <f>'Digital Plan - UPI'!O161</f>
        <v>5072220.3583440008</v>
      </c>
      <c r="O222" s="300" t="str">
        <f>'Digital Plan - UPI'!P161</f>
        <v>-</v>
      </c>
      <c r="P222" s="301">
        <f>'Digital Plan - UPI'!Q161</f>
        <v>0</v>
      </c>
      <c r="Q222" s="298">
        <f>'Digital Plan - UPI'!R161</f>
        <v>0</v>
      </c>
      <c r="R222" s="302">
        <f>'Digital Plan - UPI'!S161</f>
        <v>0.8</v>
      </c>
      <c r="S222" s="303">
        <f>'Digital Plan - UPI'!T161</f>
        <v>4057776.2866752008</v>
      </c>
      <c r="T222" s="298">
        <f>'Digital Plan - UPI'!U161</f>
        <v>913913.57808000012</v>
      </c>
      <c r="U222" s="298">
        <f>'Digital Plan - UPI'!V161</f>
        <v>5.55</v>
      </c>
      <c r="V222" s="304">
        <f>'Digital Plan - UPI'!X161</f>
        <v>110</v>
      </c>
      <c r="W222" s="305">
        <f>'Digital Plan - UPI'!Y161</f>
        <v>557944.23941784003</v>
      </c>
      <c r="X222" s="305">
        <f>'Digital Plan - UPI'!Z161</f>
        <v>109.99999999999999</v>
      </c>
      <c r="Y222" s="305">
        <f>'Digital Plan - UPI'!AA161</f>
        <v>0</v>
      </c>
      <c r="Z222" s="306">
        <f>'Digital Plan - UPI'!AB161</f>
        <v>1018980</v>
      </c>
      <c r="AA222" s="307">
        <f>'Digital Plan - UPI'!AC161</f>
        <v>0.89689059459459475</v>
      </c>
      <c r="AB222" s="259"/>
      <c r="AC222" s="298"/>
      <c r="AD222" s="298"/>
      <c r="AE222" s="298">
        <f>$N222/3</f>
        <v>1690740.1194480003</v>
      </c>
      <c r="AF222" s="298">
        <f t="shared" si="76"/>
        <v>1690740.1194480003</v>
      </c>
      <c r="AG222" s="298">
        <f t="shared" si="76"/>
        <v>1690740.1194480003</v>
      </c>
      <c r="AH222" s="298"/>
      <c r="AI222" s="298"/>
      <c r="AJ222" s="298"/>
    </row>
    <row r="223" spans="1:36" x14ac:dyDescent="0.35">
      <c r="A223" s="322" t="e">
        <f>'Digital Plan - UPI'!#REF!</f>
        <v>#REF!</v>
      </c>
      <c r="B223" s="293" t="e">
        <f>'Digital Plan - UPI'!#REF!</f>
        <v>#REF!</v>
      </c>
      <c r="C223" s="295" t="e">
        <f>'Digital Plan - UPI'!#REF!</f>
        <v>#REF!</v>
      </c>
      <c r="D223" s="295" t="e">
        <f>'Digital Plan - UPI'!#REF!</f>
        <v>#REF!</v>
      </c>
      <c r="E223" s="406" t="e">
        <f>'Digital Plan - UPI'!#REF!</f>
        <v>#REF!</v>
      </c>
      <c r="F223" s="407" t="e">
        <f>'Digital Plan - UPI'!#REF!</f>
        <v>#REF!</v>
      </c>
      <c r="G223" s="296" t="e">
        <f>'Digital Plan - UPI'!#REF!</f>
        <v>#REF!</v>
      </c>
      <c r="H223" s="296" t="e">
        <f>'Digital Plan - UPI'!#REF!</f>
        <v>#REF!</v>
      </c>
      <c r="I223" s="297" t="e">
        <f>'Digital Plan - UPI'!#REF!</f>
        <v>#REF!</v>
      </c>
      <c r="J223" s="295" t="e">
        <f>'Digital Plan - UPI'!#REF!</f>
        <v>#REF!</v>
      </c>
      <c r="K223" s="298" t="e">
        <f>'Digital Plan - UPI'!#REF!</f>
        <v>#REF!</v>
      </c>
      <c r="L223" s="299" t="e">
        <f>'Digital Plan - UPI'!#REF!</f>
        <v>#REF!</v>
      </c>
      <c r="M223" s="299" t="e">
        <f>'Digital Plan - UPI'!#REF!</f>
        <v>#REF!</v>
      </c>
      <c r="N223" s="298" t="e">
        <f>'Digital Plan - UPI'!#REF!</f>
        <v>#REF!</v>
      </c>
      <c r="O223" s="300" t="e">
        <f>'Digital Plan - UPI'!#REF!</f>
        <v>#REF!</v>
      </c>
      <c r="P223" s="301" t="e">
        <f>'Digital Plan - UPI'!#REF!</f>
        <v>#REF!</v>
      </c>
      <c r="Q223" s="298" t="e">
        <f>'Digital Plan - UPI'!#REF!</f>
        <v>#REF!</v>
      </c>
      <c r="R223" s="302" t="e">
        <f>'Digital Plan - UPI'!#REF!</f>
        <v>#REF!</v>
      </c>
      <c r="S223" s="303" t="e">
        <f>'Digital Plan - UPI'!#REF!</f>
        <v>#REF!</v>
      </c>
      <c r="T223" s="298" t="e">
        <f>'Digital Plan - UPI'!#REF!</f>
        <v>#REF!</v>
      </c>
      <c r="U223" s="298" t="e">
        <f>'Digital Plan - UPI'!#REF!</f>
        <v>#REF!</v>
      </c>
      <c r="V223" s="304" t="e">
        <f>'Digital Plan - UPI'!#REF!</f>
        <v>#REF!</v>
      </c>
      <c r="W223" s="305" t="e">
        <f>'Digital Plan - UPI'!#REF!</f>
        <v>#REF!</v>
      </c>
      <c r="X223" s="305" t="e">
        <f>'Digital Plan - UPI'!#REF!</f>
        <v>#REF!</v>
      </c>
      <c r="Y223" s="305" t="e">
        <f>'Digital Plan - UPI'!#REF!</f>
        <v>#REF!</v>
      </c>
      <c r="Z223" s="306" t="e">
        <f>'Digital Plan - UPI'!#REF!</f>
        <v>#REF!</v>
      </c>
      <c r="AA223" s="307" t="e">
        <f>'Digital Plan - UPI'!#REF!</f>
        <v>#REF!</v>
      </c>
      <c r="AB223" s="259"/>
      <c r="AC223" s="298"/>
      <c r="AD223" s="298"/>
      <c r="AE223" s="298"/>
      <c r="AF223" s="298"/>
      <c r="AG223" s="298"/>
      <c r="AH223" s="298" t="e">
        <f>$N223/3</f>
        <v>#REF!</v>
      </c>
      <c r="AI223" s="298" t="e">
        <f t="shared" si="76"/>
        <v>#REF!</v>
      </c>
      <c r="AJ223" s="298" t="e">
        <f t="shared" si="76"/>
        <v>#REF!</v>
      </c>
    </row>
    <row r="224" spans="1:36" x14ac:dyDescent="0.35">
      <c r="A224" s="322" t="str">
        <f>'Digital Plan - UPI'!B162</f>
        <v>Surat</v>
      </c>
      <c r="B224" s="293" t="str">
        <f>'Digital Plan - UPI'!C162</f>
        <v>Core</v>
      </c>
      <c r="C224" s="264" t="str">
        <f>'Digital Plan - UPI'!D162</f>
        <v>Meta</v>
      </c>
      <c r="D224" s="264" t="str">
        <f>'Digital Plan - UPI'!E162</f>
        <v>Video</v>
      </c>
      <c r="E224" s="404" t="str">
        <f>'Digital Plan - UPI'!F162</f>
        <v xml:space="preserve">Entertainment </v>
      </c>
      <c r="F224" s="404" t="str">
        <f>'Digital Plan - UPI'!G162</f>
        <v xml:space="preserve">Mobile </v>
      </c>
      <c r="G224" s="265" t="str">
        <f>'Digital Plan - UPI'!H162</f>
        <v xml:space="preserve">Instream </v>
      </c>
      <c r="H224" s="265" t="str">
        <f>'Digital Plan - UPI'!I162</f>
        <v>Instream - 6 Sec</v>
      </c>
      <c r="I224" s="308" t="str">
        <f>'Digital Plan - UPI'!J162</f>
        <v>Reff : Targeting Sheet</v>
      </c>
      <c r="J224" s="263" t="str">
        <f>'Digital Plan - UPI'!K162</f>
        <v>CPM</v>
      </c>
      <c r="K224" s="266">
        <f>'Digital Plan - UPI'!L162</f>
        <v>21</v>
      </c>
      <c r="L224" s="267">
        <f>'Digital Plan - UPI'!M162</f>
        <v>45460</v>
      </c>
      <c r="M224" s="267">
        <f>'Digital Plan - UPI'!N162</f>
        <v>45480</v>
      </c>
      <c r="N224" s="266">
        <f>'Digital Plan - UPI'!O162</f>
        <v>779519.70000000007</v>
      </c>
      <c r="O224" s="268" t="str">
        <f>'Digital Plan - UPI'!P162</f>
        <v>-</v>
      </c>
      <c r="P224" s="269">
        <f>'Digital Plan - UPI'!Q162</f>
        <v>1E-3</v>
      </c>
      <c r="Q224" s="266">
        <f>'Digital Plan - UPI'!R162</f>
        <v>779.51970000000006</v>
      </c>
      <c r="R224" s="270">
        <f>'Digital Plan - UPI'!S162</f>
        <v>0.7</v>
      </c>
      <c r="S224" s="271">
        <f>'Digital Plan - UPI'!T162</f>
        <v>545663.79</v>
      </c>
      <c r="T224" s="266">
        <f>'Digital Plan - UPI'!U162</f>
        <v>779519.70000000007</v>
      </c>
      <c r="U224" s="266">
        <f>'Digital Plan - UPI'!V162</f>
        <v>1</v>
      </c>
      <c r="V224" s="272">
        <f>'Digital Plan - UPI'!X162</f>
        <v>70</v>
      </c>
      <c r="W224" s="273">
        <f>'Digital Plan - UPI'!Y162</f>
        <v>54566.379000000001</v>
      </c>
      <c r="X224" s="273">
        <f>'Digital Plan - UPI'!Z162</f>
        <v>69.999999999999986</v>
      </c>
      <c r="Y224" s="273">
        <f>'Digital Plan - UPI'!AA162</f>
        <v>70</v>
      </c>
      <c r="Z224" s="274">
        <f>'Digital Plan - UPI'!AB162</f>
        <v>1732266</v>
      </c>
      <c r="AA224" s="275">
        <f>'Digital Plan - UPI'!AC162</f>
        <v>0.45</v>
      </c>
      <c r="AB224" s="259"/>
      <c r="AC224" s="266"/>
      <c r="AD224" s="266"/>
      <c r="AE224" s="266">
        <f>$N224/3</f>
        <v>259839.90000000002</v>
      </c>
      <c r="AF224" s="266">
        <f t="shared" si="76"/>
        <v>259839.90000000002</v>
      </c>
      <c r="AG224" s="266">
        <f t="shared" si="76"/>
        <v>259839.90000000002</v>
      </c>
      <c r="AH224" s="266"/>
      <c r="AI224" s="266"/>
      <c r="AJ224" s="266"/>
    </row>
    <row r="225" spans="1:36" x14ac:dyDescent="0.35">
      <c r="A225" s="322" t="str">
        <f>'Digital Plan - UPI'!B163</f>
        <v>Surat</v>
      </c>
      <c r="B225" s="293" t="str">
        <f>'Digital Plan - UPI'!C163</f>
        <v>Core</v>
      </c>
      <c r="C225" s="264" t="str">
        <f>'Digital Plan - UPI'!D163</f>
        <v xml:space="preserve">YouTube </v>
      </c>
      <c r="D225" s="264" t="str">
        <f>'Digital Plan - UPI'!E163</f>
        <v>Video</v>
      </c>
      <c r="E225" s="404" t="str">
        <f>'Digital Plan - UPI'!F163</f>
        <v xml:space="preserve">Entertainment </v>
      </c>
      <c r="F225" s="404" t="str">
        <f>'Digital Plan - UPI'!G163</f>
        <v xml:space="preserve">Mobile </v>
      </c>
      <c r="G225" s="265" t="str">
        <f>'Digital Plan - UPI'!H163</f>
        <v xml:space="preserve">Instream </v>
      </c>
      <c r="H225" s="265" t="str">
        <f>'Digital Plan - UPI'!I163</f>
        <v xml:space="preserve">Bumper 6 secs  </v>
      </c>
      <c r="I225" s="308" t="str">
        <f>'Digital Plan - UPI'!J163</f>
        <v>Reff : Targeting Sheet</v>
      </c>
      <c r="J225" s="263" t="str">
        <f>'Digital Plan - UPI'!K163</f>
        <v>CPM</v>
      </c>
      <c r="K225" s="266">
        <f>'Digital Plan - UPI'!L163</f>
        <v>21</v>
      </c>
      <c r="L225" s="267">
        <f>'Digital Plan - UPI'!M163</f>
        <v>45460</v>
      </c>
      <c r="M225" s="267">
        <f>'Digital Plan - UPI'!N163</f>
        <v>45480</v>
      </c>
      <c r="N225" s="266">
        <f>'Digital Plan - UPI'!O163</f>
        <v>1120878</v>
      </c>
      <c r="O225" s="268" t="str">
        <f>'Digital Plan - UPI'!P163</f>
        <v>-</v>
      </c>
      <c r="P225" s="269">
        <f>'Digital Plan - UPI'!Q163</f>
        <v>1E-3</v>
      </c>
      <c r="Q225" s="266">
        <f>'Digital Plan - UPI'!R163</f>
        <v>1120.8779999999999</v>
      </c>
      <c r="R225" s="270">
        <f>'Digital Plan - UPI'!S163</f>
        <v>0.8</v>
      </c>
      <c r="S225" s="271">
        <f>'Digital Plan - UPI'!T163</f>
        <v>896702.4</v>
      </c>
      <c r="T225" s="266">
        <f>'Digital Plan - UPI'!U163</f>
        <v>800627.14285714296</v>
      </c>
      <c r="U225" s="266">
        <f>'Digital Plan - UPI'!V163</f>
        <v>1.4</v>
      </c>
      <c r="V225" s="272">
        <f>'Digital Plan - UPI'!X163</f>
        <v>80</v>
      </c>
      <c r="W225" s="273">
        <f>'Digital Plan - UPI'!Y163</f>
        <v>89670.239999999991</v>
      </c>
      <c r="X225" s="273">
        <f>'Digital Plan - UPI'!Z163</f>
        <v>79.999999999999986</v>
      </c>
      <c r="Y225" s="273">
        <f>'Digital Plan - UPI'!AA163</f>
        <v>80</v>
      </c>
      <c r="Z225" s="274">
        <f>'Digital Plan - UPI'!AB163</f>
        <v>2037960</v>
      </c>
      <c r="AA225" s="275">
        <f>'Digital Plan - UPI'!AC163</f>
        <v>0.3928571428571429</v>
      </c>
      <c r="AB225" s="259"/>
      <c r="AC225" s="266"/>
      <c r="AD225" s="266"/>
      <c r="AE225" s="266"/>
      <c r="AF225" s="266"/>
      <c r="AG225" s="266"/>
      <c r="AH225" s="266">
        <f>$N225/3</f>
        <v>373626</v>
      </c>
      <c r="AI225" s="266">
        <f t="shared" si="76"/>
        <v>373626</v>
      </c>
      <c r="AJ225" s="266">
        <f t="shared" si="76"/>
        <v>373626</v>
      </c>
    </row>
    <row r="226" spans="1:36" x14ac:dyDescent="0.35">
      <c r="A226" s="322" t="str">
        <f>'Digital Plan - UPI'!B164</f>
        <v>Surat</v>
      </c>
      <c r="B226" s="293" t="str">
        <f>'Digital Plan - UPI'!C164</f>
        <v>Core</v>
      </c>
      <c r="C226" s="263" t="str">
        <f>'Digital Plan - UPI'!D164</f>
        <v xml:space="preserve">DSP </v>
      </c>
      <c r="D226" s="263" t="str">
        <f>'Digital Plan - UPI'!E164</f>
        <v>Static</v>
      </c>
      <c r="E226" s="404" t="str">
        <f>'Digital Plan - UPI'!F164</f>
        <v xml:space="preserve">Network </v>
      </c>
      <c r="F226" s="404" t="str">
        <f>'Digital Plan - UPI'!G164</f>
        <v>Mobile</v>
      </c>
      <c r="G226" s="265" t="str">
        <f>'Digital Plan - UPI'!H164</f>
        <v>ROS</v>
      </c>
      <c r="H226" s="265" t="str">
        <f>'Digital Plan - UPI'!I164</f>
        <v>Large Formats</v>
      </c>
      <c r="I226" s="309" t="str">
        <f>'Digital Plan - UPI'!J164</f>
        <v>Reff : Targeting Sheet</v>
      </c>
      <c r="J226" s="263" t="str">
        <f>'Digital Plan - UPI'!K164</f>
        <v>CPM</v>
      </c>
      <c r="K226" s="266">
        <f>'Digital Plan - UPI'!L164</f>
        <v>21</v>
      </c>
      <c r="L226" s="267">
        <f>'Digital Plan - UPI'!M164</f>
        <v>45460</v>
      </c>
      <c r="M226" s="267">
        <f>'Digital Plan - UPI'!N164</f>
        <v>45480</v>
      </c>
      <c r="N226" s="266">
        <f>'Digital Plan - UPI'!O164</f>
        <v>375449.97777492146</v>
      </c>
      <c r="O226" s="268" t="str">
        <f>'Digital Plan - UPI'!P164</f>
        <v>-</v>
      </c>
      <c r="P226" s="269">
        <f>'Digital Plan - UPI'!Q164</f>
        <v>1.4999999999999999E-2</v>
      </c>
      <c r="Q226" s="266">
        <f>'Digital Plan - UPI'!R164</f>
        <v>5631.7496666238212</v>
      </c>
      <c r="R226" s="268" t="str">
        <f>'Digital Plan - UPI'!S164</f>
        <v>-</v>
      </c>
      <c r="S226" s="271" t="str">
        <f>'Digital Plan - UPI'!T164</f>
        <v>-</v>
      </c>
      <c r="T226" s="266">
        <f>'Digital Plan - UPI'!U164</f>
        <v>441705.85620578995</v>
      </c>
      <c r="U226" s="266">
        <f>'Digital Plan - UPI'!V164</f>
        <v>0.85</v>
      </c>
      <c r="V226" s="272">
        <f>'Digital Plan - UPI'!X164</f>
        <v>105</v>
      </c>
      <c r="W226" s="273">
        <f>'Digital Plan - UPI'!Y164</f>
        <v>39422.247666366755</v>
      </c>
      <c r="X226" s="273">
        <f>'Digital Plan - UPI'!Z164</f>
        <v>105.00000000000001</v>
      </c>
      <c r="Y226" s="273">
        <f>'Digital Plan - UPI'!AA164</f>
        <v>7.0000000000000009</v>
      </c>
      <c r="Z226" s="274">
        <f>'Digital Plan - UPI'!AB164</f>
        <v>1645652.7</v>
      </c>
      <c r="AA226" s="275">
        <f>'Digital Plan - UPI'!AC164</f>
        <v>0.26840769999999997</v>
      </c>
      <c r="AB226" s="259"/>
      <c r="AC226" s="266">
        <f t="shared" ref="AC226:AD228" si="77">$N226*20%</f>
        <v>75089.9955549843</v>
      </c>
      <c r="AD226" s="266">
        <f t="shared" si="77"/>
        <v>75089.9955549843</v>
      </c>
      <c r="AE226" s="266">
        <f t="shared" ref="AE226:AF228" si="78">$N226*15%</f>
        <v>56317.496666238214</v>
      </c>
      <c r="AF226" s="266">
        <f t="shared" si="78"/>
        <v>56317.496666238214</v>
      </c>
      <c r="AG226" s="266">
        <f t="shared" ref="AG226:AH228" si="79">$N226*10%</f>
        <v>37544.99777749215</v>
      </c>
      <c r="AH226" s="266">
        <f t="shared" si="79"/>
        <v>37544.99777749215</v>
      </c>
      <c r="AI226" s="266">
        <f t="shared" ref="AI226:AJ228" si="80">$N226*5%</f>
        <v>18772.498888746075</v>
      </c>
      <c r="AJ226" s="266">
        <f t="shared" si="80"/>
        <v>18772.498888746075</v>
      </c>
    </row>
    <row r="227" spans="1:36" x14ac:dyDescent="0.35">
      <c r="A227" s="322" t="str">
        <f>'Digital Plan - UPI'!B165</f>
        <v>Surat</v>
      </c>
      <c r="B227" s="293" t="str">
        <f>'Digital Plan - UPI'!C165</f>
        <v>Core</v>
      </c>
      <c r="C227" s="310" t="str">
        <f>'Digital Plan - UPI'!D165</f>
        <v>Mediakart</v>
      </c>
      <c r="D227" s="263" t="str">
        <f>'Digital Plan - UPI'!E165</f>
        <v>Static</v>
      </c>
      <c r="E227" s="408" t="str">
        <f>'Digital Plan - UPI'!F165</f>
        <v xml:space="preserve">Network </v>
      </c>
      <c r="F227" s="404" t="str">
        <f>'Digital Plan - UPI'!G165</f>
        <v xml:space="preserve">Mobile </v>
      </c>
      <c r="G227" s="265" t="str">
        <f>'Digital Plan - UPI'!H165</f>
        <v>ROS</v>
      </c>
      <c r="H227" s="265" t="str">
        <f>'Digital Plan - UPI'!I165</f>
        <v>Interstitial Static banner</v>
      </c>
      <c r="I227" s="309" t="str">
        <f>'Digital Plan - UPI'!J165</f>
        <v>Reff : Targeting Sheet</v>
      </c>
      <c r="J227" s="263" t="str">
        <f>'Digital Plan - UPI'!K165</f>
        <v xml:space="preserve">CPM </v>
      </c>
      <c r="K227" s="266">
        <f>'Digital Plan - UPI'!L165</f>
        <v>21</v>
      </c>
      <c r="L227" s="267">
        <f>'Digital Plan - UPI'!M165</f>
        <v>45460</v>
      </c>
      <c r="M227" s="267">
        <f>'Digital Plan - UPI'!N165</f>
        <v>45480</v>
      </c>
      <c r="N227" s="266">
        <f>'Digital Plan - UPI'!O165</f>
        <v>329907.93482838396</v>
      </c>
      <c r="O227" s="268" t="str">
        <f>'Digital Plan - UPI'!P165</f>
        <v>-</v>
      </c>
      <c r="P227" s="269">
        <f>'Digital Plan - UPI'!Q165</f>
        <v>1.4999999999999999E-2</v>
      </c>
      <c r="Q227" s="266">
        <f>'Digital Plan - UPI'!R165</f>
        <v>4948.6190224257589</v>
      </c>
      <c r="R227" s="268" t="str">
        <f>'Digital Plan - UPI'!S165</f>
        <v>-</v>
      </c>
      <c r="S227" s="271" t="str">
        <f>'Digital Plan - UPI'!T165</f>
        <v>-</v>
      </c>
      <c r="T227" s="266">
        <f>'Digital Plan - UPI'!U165</f>
        <v>388126.98215103999</v>
      </c>
      <c r="U227" s="266">
        <f>'Digital Plan - UPI'!V165</f>
        <v>0.85</v>
      </c>
      <c r="V227" s="272">
        <f>'Digital Plan - UPI'!X165</f>
        <v>120</v>
      </c>
      <c r="W227" s="273">
        <f>'Digital Plan - UPI'!Y165</f>
        <v>39588.952179406078</v>
      </c>
      <c r="X227" s="273">
        <f>'Digital Plan - UPI'!Z165</f>
        <v>120.00000000000001</v>
      </c>
      <c r="Y227" s="273">
        <f>'Digital Plan - UPI'!AA165</f>
        <v>8.0000000000000018</v>
      </c>
      <c r="Z227" s="274">
        <f>'Digital Plan - UPI'!AB165</f>
        <v>903772</v>
      </c>
      <c r="AA227" s="275">
        <f>'Digital Plan - UPI'!AC165</f>
        <v>0.42945232</v>
      </c>
      <c r="AB227" s="259"/>
      <c r="AC227" s="266">
        <f t="shared" si="77"/>
        <v>65981.58696567679</v>
      </c>
      <c r="AD227" s="266">
        <f t="shared" si="77"/>
        <v>65981.58696567679</v>
      </c>
      <c r="AE227" s="266">
        <f t="shared" si="78"/>
        <v>49486.190224257596</v>
      </c>
      <c r="AF227" s="266">
        <f t="shared" si="78"/>
        <v>49486.190224257596</v>
      </c>
      <c r="AG227" s="266">
        <f t="shared" si="79"/>
        <v>32990.793482838395</v>
      </c>
      <c r="AH227" s="266">
        <f t="shared" si="79"/>
        <v>32990.793482838395</v>
      </c>
      <c r="AI227" s="266">
        <f t="shared" si="80"/>
        <v>16495.396741419197</v>
      </c>
      <c r="AJ227" s="266">
        <f t="shared" si="80"/>
        <v>16495.396741419197</v>
      </c>
    </row>
    <row r="228" spans="1:36" x14ac:dyDescent="0.35">
      <c r="A228" s="322" t="str">
        <f>'Digital Plan - UPI'!B166</f>
        <v>Surat</v>
      </c>
      <c r="B228" s="293" t="str">
        <f>'Digital Plan - UPI'!C166</f>
        <v>Core</v>
      </c>
      <c r="C228" s="310" t="str">
        <f>'Digital Plan - UPI'!D166</f>
        <v>Dailyhunt</v>
      </c>
      <c r="D228" s="311" t="str">
        <f>'Digital Plan - UPI'!E166</f>
        <v>Static</v>
      </c>
      <c r="E228" s="408" t="str">
        <f>'Digital Plan - UPI'!F166</f>
        <v>News</v>
      </c>
      <c r="F228" s="404" t="str">
        <f>'Digital Plan - UPI'!G166</f>
        <v xml:space="preserve">Mobile </v>
      </c>
      <c r="G228" s="310" t="str">
        <f>'Digital Plan - UPI'!H166</f>
        <v>ROS</v>
      </c>
      <c r="H228" s="263" t="str">
        <f>'Digital Plan - UPI'!I166</f>
        <v>Page Insert - Innovation</v>
      </c>
      <c r="I228" s="309" t="str">
        <f>'Digital Plan - UPI'!J166</f>
        <v>Reff : Targeting Sheet</v>
      </c>
      <c r="J228" s="263" t="str">
        <f>'Digital Plan - UPI'!K166</f>
        <v>CPM</v>
      </c>
      <c r="K228" s="266">
        <f>'Digital Plan - UPI'!L166</f>
        <v>21</v>
      </c>
      <c r="L228" s="267">
        <f>'Digital Plan - UPI'!M166</f>
        <v>45460</v>
      </c>
      <c r="M228" s="267">
        <f>'Digital Plan - UPI'!N166</f>
        <v>45480</v>
      </c>
      <c r="N228" s="266">
        <f>'Digital Plan - UPI'!O166</f>
        <v>295448.08749056701</v>
      </c>
      <c r="O228" s="268" t="str">
        <f>'Digital Plan - UPI'!P166</f>
        <v>-</v>
      </c>
      <c r="P228" s="312">
        <f>'Digital Plan - UPI'!Q166</f>
        <v>0.01</v>
      </c>
      <c r="Q228" s="266">
        <f>'Digital Plan - UPI'!R166</f>
        <v>2954.4808749056701</v>
      </c>
      <c r="R228" s="268" t="str">
        <f>'Digital Plan - UPI'!S166</f>
        <v>-</v>
      </c>
      <c r="S228" s="271" t="str">
        <f>'Digital Plan - UPI'!T166</f>
        <v>-</v>
      </c>
      <c r="T228" s="266">
        <f>'Digital Plan - UPI'!U166</f>
        <v>347585.98528302001</v>
      </c>
      <c r="U228" s="266">
        <f>'Digital Plan - UPI'!V166</f>
        <v>0.85</v>
      </c>
      <c r="V228" s="272">
        <f>'Digital Plan - UPI'!X166</f>
        <v>200</v>
      </c>
      <c r="W228" s="273">
        <f>'Digital Plan - UPI'!Y166</f>
        <v>59089.617498113403</v>
      </c>
      <c r="X228" s="273">
        <f>'Digital Plan - UPI'!Z166</f>
        <v>200</v>
      </c>
      <c r="Y228" s="273">
        <f>'Digital Plan - UPI'!AA166</f>
        <v>20</v>
      </c>
      <c r="Z228" s="274">
        <f>'Digital Plan - UPI'!AB166</f>
        <v>1177266</v>
      </c>
      <c r="AA228" s="275">
        <f>'Digital Plan - UPI'!AC166</f>
        <v>0.29524846999999999</v>
      </c>
      <c r="AB228" s="259"/>
      <c r="AC228" s="266">
        <f t="shared" si="77"/>
        <v>59089.617498113403</v>
      </c>
      <c r="AD228" s="266">
        <f t="shared" si="77"/>
        <v>59089.617498113403</v>
      </c>
      <c r="AE228" s="266">
        <f t="shared" si="78"/>
        <v>44317.213123585047</v>
      </c>
      <c r="AF228" s="266">
        <f t="shared" si="78"/>
        <v>44317.213123585047</v>
      </c>
      <c r="AG228" s="266">
        <f t="shared" si="79"/>
        <v>29544.808749056701</v>
      </c>
      <c r="AH228" s="266">
        <f t="shared" si="79"/>
        <v>29544.808749056701</v>
      </c>
      <c r="AI228" s="266">
        <f t="shared" si="80"/>
        <v>14772.404374528351</v>
      </c>
      <c r="AJ228" s="266">
        <f t="shared" si="80"/>
        <v>14772.404374528351</v>
      </c>
    </row>
    <row r="229" spans="1:36" x14ac:dyDescent="0.35">
      <c r="A229" s="277" t="str">
        <f>'Digital Plan - UPI'!B167</f>
        <v>Surat</v>
      </c>
      <c r="B229" s="278">
        <f>'Digital Plan - UPI'!C167</f>
        <v>0</v>
      </c>
      <c r="C229" s="279" t="str">
        <f>'Digital Plan - UPI'!D167</f>
        <v>Total</v>
      </c>
      <c r="D229" s="280">
        <f>'Digital Plan - UPI'!E167</f>
        <v>0</v>
      </c>
      <c r="E229" s="405">
        <f>'Digital Plan - UPI'!F167</f>
        <v>0</v>
      </c>
      <c r="F229" s="405">
        <f>'Digital Plan - UPI'!G167</f>
        <v>0</v>
      </c>
      <c r="G229" s="280">
        <f>'Digital Plan - UPI'!H167</f>
        <v>0</v>
      </c>
      <c r="H229" s="281">
        <f>'Digital Plan - UPI'!I167</f>
        <v>0</v>
      </c>
      <c r="I229" s="282">
        <f>'Digital Plan - UPI'!J167</f>
        <v>0</v>
      </c>
      <c r="J229" s="283">
        <f>'Digital Plan - UPI'!K167</f>
        <v>0</v>
      </c>
      <c r="K229" s="284">
        <f>'Digital Plan - UPI'!L167</f>
        <v>0</v>
      </c>
      <c r="L229" s="284">
        <f>'Digital Plan - UPI'!M167</f>
        <v>0</v>
      </c>
      <c r="M229" s="284">
        <f>'Digital Plan - UPI'!N167</f>
        <v>0</v>
      </c>
      <c r="N229" s="284">
        <f>'Digital Plan - UPI'!O167</f>
        <v>8461945.3119018096</v>
      </c>
      <c r="O229" s="284">
        <f>'Digital Plan - UPI'!P167</f>
        <v>0</v>
      </c>
      <c r="P229" s="285">
        <f>'Digital Plan - UPI'!Q167</f>
        <v>1.8240778798517432E-3</v>
      </c>
      <c r="Q229" s="284">
        <f>'Digital Plan - UPI'!R167</f>
        <v>15435.247263955251</v>
      </c>
      <c r="R229" s="286">
        <f>'Digital Plan - UPI'!S167</f>
        <v>0</v>
      </c>
      <c r="S229" s="284">
        <f>'Digital Plan - UPI'!T167</f>
        <v>5915385.5421195468</v>
      </c>
      <c r="T229" s="284">
        <f>'Digital Plan - UPI'!U167</f>
        <v>1398744.6834689528</v>
      </c>
      <c r="U229" s="284">
        <f>'Digital Plan - UPI'!V167</f>
        <v>6.0496711171875814</v>
      </c>
      <c r="V229" s="287">
        <f>'Digital Plan - UPI'!X167</f>
        <v>0</v>
      </c>
      <c r="W229" s="317">
        <f>'Digital Plan - UPI'!Y167</f>
        <v>901346.83244471822</v>
      </c>
      <c r="X229" s="288">
        <f>'Digital Plan - UPI'!Z167</f>
        <v>106.51768585374394</v>
      </c>
      <c r="Y229" s="288">
        <f>'Digital Plan - UPI'!AA167</f>
        <v>58.395360762996283</v>
      </c>
      <c r="Z229" s="284">
        <f>'Digital Plan - UPI'!AB167</f>
        <v>2170306.8339999998</v>
      </c>
      <c r="AA229" s="289">
        <f>'Digital Plan - UPI'!AC167</f>
        <v>0.64449167350728298</v>
      </c>
      <c r="AB229" s="259"/>
      <c r="AC229" s="284"/>
      <c r="AD229" s="284"/>
      <c r="AE229" s="284"/>
      <c r="AF229" s="284"/>
      <c r="AG229" s="284"/>
      <c r="AH229" s="284"/>
      <c r="AI229" s="284"/>
      <c r="AJ229" s="284"/>
    </row>
    <row r="230" spans="1:36" x14ac:dyDescent="0.35">
      <c r="A230" s="322" t="e">
        <f>'Digital Plan - UPI'!#REF!</f>
        <v>#REF!</v>
      </c>
      <c r="B230" s="293" t="e">
        <f>'Digital Plan - UPI'!#REF!</f>
        <v>#REF!</v>
      </c>
      <c r="C230" s="294" t="e">
        <f>'Digital Plan - UPI'!#REF!</f>
        <v>#REF!</v>
      </c>
      <c r="D230" s="294" t="e">
        <f>'Digital Plan - UPI'!#REF!</f>
        <v>#REF!</v>
      </c>
      <c r="E230" s="406" t="e">
        <f>'Digital Plan - UPI'!#REF!</f>
        <v>#REF!</v>
      </c>
      <c r="F230" s="406" t="e">
        <f>'Digital Plan - UPI'!#REF!</f>
        <v>#REF!</v>
      </c>
      <c r="G230" s="296" t="e">
        <f>'Digital Plan - UPI'!#REF!</f>
        <v>#REF!</v>
      </c>
      <c r="H230" s="296" t="e">
        <f>'Digital Plan - UPI'!#REF!</f>
        <v>#REF!</v>
      </c>
      <c r="I230" s="297" t="e">
        <f>'Digital Plan - UPI'!#REF!</f>
        <v>#REF!</v>
      </c>
      <c r="J230" s="295" t="e">
        <f>'Digital Plan - UPI'!#REF!</f>
        <v>#REF!</v>
      </c>
      <c r="K230" s="298" t="e">
        <f>'Digital Plan - UPI'!#REF!</f>
        <v>#REF!</v>
      </c>
      <c r="L230" s="299" t="e">
        <f>'Digital Plan - UPI'!#REF!</f>
        <v>#REF!</v>
      </c>
      <c r="M230" s="299" t="e">
        <f>'Digital Plan - UPI'!#REF!</f>
        <v>#REF!</v>
      </c>
      <c r="N230" s="298" t="e">
        <f>'Digital Plan - UPI'!#REF!</f>
        <v>#REF!</v>
      </c>
      <c r="O230" s="300" t="e">
        <f>'Digital Plan - UPI'!#REF!</f>
        <v>#REF!</v>
      </c>
      <c r="P230" s="301" t="e">
        <f>'Digital Plan - UPI'!#REF!</f>
        <v>#REF!</v>
      </c>
      <c r="Q230" s="298" t="e">
        <f>'Digital Plan - UPI'!#REF!</f>
        <v>#REF!</v>
      </c>
      <c r="R230" s="302" t="e">
        <f>'Digital Plan - UPI'!#REF!</f>
        <v>#REF!</v>
      </c>
      <c r="S230" s="303" t="e">
        <f>'Digital Plan - UPI'!#REF!</f>
        <v>#REF!</v>
      </c>
      <c r="T230" s="298" t="e">
        <f>'Digital Plan - UPI'!#REF!</f>
        <v>#REF!</v>
      </c>
      <c r="U230" s="298" t="e">
        <f>'Digital Plan - UPI'!#REF!</f>
        <v>#REF!</v>
      </c>
      <c r="V230" s="304" t="e">
        <f>'Digital Plan - UPI'!#REF!</f>
        <v>#REF!</v>
      </c>
      <c r="W230" s="305" t="e">
        <f>'Digital Plan - UPI'!#REF!</f>
        <v>#REF!</v>
      </c>
      <c r="X230" s="305" t="e">
        <f>'Digital Plan - UPI'!#REF!</f>
        <v>#REF!</v>
      </c>
      <c r="Y230" s="305" t="e">
        <f>'Digital Plan - UPI'!#REF!</f>
        <v>#REF!</v>
      </c>
      <c r="Z230" s="306" t="e">
        <f>'Digital Plan - UPI'!#REF!</f>
        <v>#REF!</v>
      </c>
      <c r="AA230" s="307" t="e">
        <f>'Digital Plan - UPI'!#REF!</f>
        <v>#REF!</v>
      </c>
      <c r="AB230" s="259"/>
      <c r="AC230" s="298" t="e">
        <f>N230/2</f>
        <v>#REF!</v>
      </c>
      <c r="AD230" s="298" t="e">
        <f>N230/2</f>
        <v>#REF!</v>
      </c>
      <c r="AE230" s="298"/>
      <c r="AF230" s="298"/>
      <c r="AG230" s="298"/>
      <c r="AH230" s="298"/>
      <c r="AI230" s="298"/>
      <c r="AJ230" s="298"/>
    </row>
    <row r="231" spans="1:36" x14ac:dyDescent="0.35">
      <c r="A231" s="322" t="e">
        <f>'Digital Plan - UPI'!#REF!</f>
        <v>#REF!</v>
      </c>
      <c r="B231" s="293" t="e">
        <f>'Digital Plan - UPI'!#REF!</f>
        <v>#REF!</v>
      </c>
      <c r="C231" s="295" t="e">
        <f>'Digital Plan - UPI'!#REF!</f>
        <v>#REF!</v>
      </c>
      <c r="D231" s="295" t="e">
        <f>'Digital Plan - UPI'!#REF!</f>
        <v>#REF!</v>
      </c>
      <c r="E231" s="406" t="e">
        <f>'Digital Plan - UPI'!#REF!</f>
        <v>#REF!</v>
      </c>
      <c r="F231" s="407" t="e">
        <f>'Digital Plan - UPI'!#REF!</f>
        <v>#REF!</v>
      </c>
      <c r="G231" s="296" t="e">
        <f>'Digital Plan - UPI'!#REF!</f>
        <v>#REF!</v>
      </c>
      <c r="H231" s="296" t="e">
        <f>'Digital Plan - UPI'!#REF!</f>
        <v>#REF!</v>
      </c>
      <c r="I231" s="297" t="e">
        <f>'Digital Plan - UPI'!#REF!</f>
        <v>#REF!</v>
      </c>
      <c r="J231" s="295" t="e">
        <f>'Digital Plan - UPI'!#REF!</f>
        <v>#REF!</v>
      </c>
      <c r="K231" s="298" t="e">
        <f>'Digital Plan - UPI'!#REF!</f>
        <v>#REF!</v>
      </c>
      <c r="L231" s="299" t="e">
        <f>'Digital Plan - UPI'!#REF!</f>
        <v>#REF!</v>
      </c>
      <c r="M231" s="299" t="e">
        <f>'Digital Plan - UPI'!#REF!</f>
        <v>#REF!</v>
      </c>
      <c r="N231" s="298" t="e">
        <f>'Digital Plan - UPI'!#REF!</f>
        <v>#REF!</v>
      </c>
      <c r="O231" s="300" t="e">
        <f>'Digital Plan - UPI'!#REF!</f>
        <v>#REF!</v>
      </c>
      <c r="P231" s="301" t="e">
        <f>'Digital Plan - UPI'!#REF!</f>
        <v>#REF!</v>
      </c>
      <c r="Q231" s="298" t="e">
        <f>'Digital Plan - UPI'!#REF!</f>
        <v>#REF!</v>
      </c>
      <c r="R231" s="302" t="e">
        <f>'Digital Plan - UPI'!#REF!</f>
        <v>#REF!</v>
      </c>
      <c r="S231" s="303" t="e">
        <f>'Digital Plan - UPI'!#REF!</f>
        <v>#REF!</v>
      </c>
      <c r="T231" s="298" t="e">
        <f>'Digital Plan - UPI'!#REF!</f>
        <v>#REF!</v>
      </c>
      <c r="U231" s="298" t="e">
        <f>'Digital Plan - UPI'!#REF!</f>
        <v>#REF!</v>
      </c>
      <c r="V231" s="304" t="e">
        <f>'Digital Plan - UPI'!#REF!</f>
        <v>#REF!</v>
      </c>
      <c r="W231" s="305" t="e">
        <f>'Digital Plan - UPI'!#REF!</f>
        <v>#REF!</v>
      </c>
      <c r="X231" s="305" t="e">
        <f>'Digital Plan - UPI'!#REF!</f>
        <v>#REF!</v>
      </c>
      <c r="Y231" s="305" t="e">
        <f>'Digital Plan - UPI'!#REF!</f>
        <v>#REF!</v>
      </c>
      <c r="Z231" s="306" t="e">
        <f>'Digital Plan - UPI'!#REF!</f>
        <v>#REF!</v>
      </c>
      <c r="AA231" s="307" t="e">
        <f>'Digital Plan - UPI'!#REF!</f>
        <v>#REF!</v>
      </c>
      <c r="AB231" s="259"/>
      <c r="AC231" s="298" t="e">
        <f>N231/2</f>
        <v>#REF!</v>
      </c>
      <c r="AD231" s="298" t="e">
        <f>N231/2</f>
        <v>#REF!</v>
      </c>
      <c r="AE231" s="298"/>
      <c r="AF231" s="298"/>
      <c r="AG231" s="298"/>
      <c r="AH231" s="298"/>
      <c r="AI231" s="298"/>
      <c r="AJ231" s="298"/>
    </row>
    <row r="232" spans="1:36" x14ac:dyDescent="0.35">
      <c r="A232" s="322" t="str">
        <f>'Digital Plan - UPI'!B168</f>
        <v>Visakhapatnam</v>
      </c>
      <c r="B232" s="293" t="str">
        <f>'Digital Plan - UPI'!C168</f>
        <v>Core - CTV</v>
      </c>
      <c r="C232" s="294" t="str">
        <f>'Digital Plan - UPI'!D168</f>
        <v>Connected TV PMP</v>
      </c>
      <c r="D232" s="294" t="str">
        <f>'Digital Plan - UPI'!E168</f>
        <v>Video</v>
      </c>
      <c r="E232" s="406" t="str">
        <f>'Digital Plan - UPI'!F168</f>
        <v xml:space="preserve">Entertainment </v>
      </c>
      <c r="F232" s="406" t="str">
        <f>'Digital Plan - UPI'!G168</f>
        <v>CTV</v>
      </c>
      <c r="G232" s="296" t="str">
        <f>'Digital Plan - UPI'!H168</f>
        <v>Instream</v>
      </c>
      <c r="H232" s="296" t="str">
        <f>'Digital Plan - UPI'!I168</f>
        <v xml:space="preserve">Video-6 Sec </v>
      </c>
      <c r="I232" s="297" t="str">
        <f>'Digital Plan - UPI'!J168</f>
        <v>Reff : Targeting Sheet</v>
      </c>
      <c r="J232" s="295" t="str">
        <f>'Digital Plan - UPI'!K168</f>
        <v>CPM</v>
      </c>
      <c r="K232" s="298">
        <f>'Digital Plan - UPI'!L168</f>
        <v>21</v>
      </c>
      <c r="L232" s="299">
        <f>'Digital Plan - UPI'!M168</f>
        <v>45460</v>
      </c>
      <c r="M232" s="299">
        <f>'Digital Plan - UPI'!N168</f>
        <v>45480</v>
      </c>
      <c r="N232" s="298">
        <f>'Digital Plan - UPI'!O168</f>
        <v>332263.13724172802</v>
      </c>
      <c r="O232" s="300" t="str">
        <f>'Digital Plan - UPI'!P168</f>
        <v>-</v>
      </c>
      <c r="P232" s="301">
        <f>'Digital Plan - UPI'!Q168</f>
        <v>0</v>
      </c>
      <c r="Q232" s="298">
        <f>'Digital Plan - UPI'!R168</f>
        <v>0</v>
      </c>
      <c r="R232" s="302">
        <f>'Digital Plan - UPI'!S168</f>
        <v>0.85</v>
      </c>
      <c r="S232" s="303">
        <f>'Digital Plan - UPI'!T168</f>
        <v>282423.66665546881</v>
      </c>
      <c r="T232" s="298">
        <f>'Digital Plan - UPI'!U168</f>
        <v>81437.043441600006</v>
      </c>
      <c r="U232" s="298">
        <f>'Digital Plan - UPI'!V168</f>
        <v>4.08</v>
      </c>
      <c r="V232" s="304">
        <f>'Digital Plan - UPI'!X168</f>
        <v>125</v>
      </c>
      <c r="W232" s="305">
        <f>'Digital Plan - UPI'!Y168</f>
        <v>41532.892155216003</v>
      </c>
      <c r="X232" s="305">
        <f>'Digital Plan - UPI'!Z168</f>
        <v>125</v>
      </c>
      <c r="Y232" s="305">
        <f>'Digital Plan - UPI'!AA168</f>
        <v>0</v>
      </c>
      <c r="Z232" s="306">
        <f>'Digital Plan - UPI'!AB168</f>
        <v>94815</v>
      </c>
      <c r="AA232" s="307">
        <f>'Digital Plan - UPI'!AC168</f>
        <v>0.85890464</v>
      </c>
      <c r="AB232" s="259"/>
      <c r="AC232" s="298"/>
      <c r="AD232" s="298"/>
      <c r="AE232" s="298">
        <f>$N232/3</f>
        <v>110754.37908057601</v>
      </c>
      <c r="AF232" s="298">
        <f t="shared" ref="AF232:AJ237" si="81">$N232/3</f>
        <v>110754.37908057601</v>
      </c>
      <c r="AG232" s="298">
        <f t="shared" si="81"/>
        <v>110754.37908057601</v>
      </c>
      <c r="AH232" s="298"/>
      <c r="AI232" s="298"/>
      <c r="AJ232" s="298"/>
    </row>
    <row r="233" spans="1:36" x14ac:dyDescent="0.35">
      <c r="A233" s="322" t="e">
        <f>'Digital Plan - UPI'!#REF!</f>
        <v>#REF!</v>
      </c>
      <c r="B233" s="293" t="e">
        <f>'Digital Plan - UPI'!#REF!</f>
        <v>#REF!</v>
      </c>
      <c r="C233" s="294" t="e">
        <f>'Digital Plan - UPI'!#REF!</f>
        <v>#REF!</v>
      </c>
      <c r="D233" s="294" t="e">
        <f>'Digital Plan - UPI'!#REF!</f>
        <v>#REF!</v>
      </c>
      <c r="E233" s="406" t="e">
        <f>'Digital Plan - UPI'!#REF!</f>
        <v>#REF!</v>
      </c>
      <c r="F233" s="406" t="e">
        <f>'Digital Plan - UPI'!#REF!</f>
        <v>#REF!</v>
      </c>
      <c r="G233" s="296" t="e">
        <f>'Digital Plan - UPI'!#REF!</f>
        <v>#REF!</v>
      </c>
      <c r="H233" s="296" t="e">
        <f>'Digital Plan - UPI'!#REF!</f>
        <v>#REF!</v>
      </c>
      <c r="I233" s="297" t="e">
        <f>'Digital Plan - UPI'!#REF!</f>
        <v>#REF!</v>
      </c>
      <c r="J233" s="295" t="e">
        <f>'Digital Plan - UPI'!#REF!</f>
        <v>#REF!</v>
      </c>
      <c r="K233" s="298" t="e">
        <f>'Digital Plan - UPI'!#REF!</f>
        <v>#REF!</v>
      </c>
      <c r="L233" s="299" t="e">
        <f>'Digital Plan - UPI'!#REF!</f>
        <v>#REF!</v>
      </c>
      <c r="M233" s="299" t="e">
        <f>'Digital Plan - UPI'!#REF!</f>
        <v>#REF!</v>
      </c>
      <c r="N233" s="298" t="e">
        <f>'Digital Plan - UPI'!#REF!</f>
        <v>#REF!</v>
      </c>
      <c r="O233" s="300" t="e">
        <f>'Digital Plan - UPI'!#REF!</f>
        <v>#REF!</v>
      </c>
      <c r="P233" s="301" t="e">
        <f>'Digital Plan - UPI'!#REF!</f>
        <v>#REF!</v>
      </c>
      <c r="Q233" s="298" t="e">
        <f>'Digital Plan - UPI'!#REF!</f>
        <v>#REF!</v>
      </c>
      <c r="R233" s="302" t="e">
        <f>'Digital Plan - UPI'!#REF!</f>
        <v>#REF!</v>
      </c>
      <c r="S233" s="303" t="e">
        <f>'Digital Plan - UPI'!#REF!</f>
        <v>#REF!</v>
      </c>
      <c r="T233" s="298" t="e">
        <f>'Digital Plan - UPI'!#REF!</f>
        <v>#REF!</v>
      </c>
      <c r="U233" s="298" t="e">
        <f>'Digital Plan - UPI'!#REF!</f>
        <v>#REF!</v>
      </c>
      <c r="V233" s="304" t="e">
        <f>'Digital Plan - UPI'!#REF!</f>
        <v>#REF!</v>
      </c>
      <c r="W233" s="305" t="e">
        <f>'Digital Plan - UPI'!#REF!</f>
        <v>#REF!</v>
      </c>
      <c r="X233" s="305" t="e">
        <f>'Digital Plan - UPI'!#REF!</f>
        <v>#REF!</v>
      </c>
      <c r="Y233" s="305" t="e">
        <f>'Digital Plan - UPI'!#REF!</f>
        <v>#REF!</v>
      </c>
      <c r="Z233" s="306" t="e">
        <f>'Digital Plan - UPI'!#REF!</f>
        <v>#REF!</v>
      </c>
      <c r="AA233" s="307" t="e">
        <f>'Digital Plan - UPI'!#REF!</f>
        <v>#REF!</v>
      </c>
      <c r="AB233" s="259"/>
      <c r="AC233" s="298"/>
      <c r="AD233" s="298"/>
      <c r="AE233" s="298"/>
      <c r="AF233" s="298"/>
      <c r="AG233" s="298"/>
      <c r="AH233" s="298" t="e">
        <f>$N233/3</f>
        <v>#REF!</v>
      </c>
      <c r="AI233" s="298" t="e">
        <f t="shared" si="81"/>
        <v>#REF!</v>
      </c>
      <c r="AJ233" s="298" t="e">
        <f t="shared" si="81"/>
        <v>#REF!</v>
      </c>
    </row>
    <row r="234" spans="1:36" x14ac:dyDescent="0.35">
      <c r="A234" s="322" t="str">
        <f>'Digital Plan - UPI'!B169</f>
        <v>Visakhapatnam</v>
      </c>
      <c r="B234" s="293" t="str">
        <f>'Digital Plan - UPI'!C169</f>
        <v>Core - CTV</v>
      </c>
      <c r="C234" s="295" t="str">
        <f>'Digital Plan - UPI'!D169</f>
        <v xml:space="preserve">YouTube </v>
      </c>
      <c r="D234" s="295" t="str">
        <f>'Digital Plan - UPI'!E169</f>
        <v>Video</v>
      </c>
      <c r="E234" s="406" t="str">
        <f>'Digital Plan - UPI'!F169</f>
        <v xml:space="preserve">Entertainment </v>
      </c>
      <c r="F234" s="407" t="str">
        <f>'Digital Plan - UPI'!G169</f>
        <v>CTV</v>
      </c>
      <c r="G234" s="296" t="str">
        <f>'Digital Plan - UPI'!H169</f>
        <v>Instream</v>
      </c>
      <c r="H234" s="296" t="str">
        <f>'Digital Plan - UPI'!I169</f>
        <v xml:space="preserve">Bumper 6 secs  </v>
      </c>
      <c r="I234" s="297" t="str">
        <f>'Digital Plan - UPI'!J169</f>
        <v>Reff : Targeting Sheet</v>
      </c>
      <c r="J234" s="295" t="str">
        <f>'Digital Plan - UPI'!K169</f>
        <v>CPM</v>
      </c>
      <c r="K234" s="298">
        <f>'Digital Plan - UPI'!L169</f>
        <v>21</v>
      </c>
      <c r="L234" s="299">
        <f>'Digital Plan - UPI'!M169</f>
        <v>45460</v>
      </c>
      <c r="M234" s="299">
        <f>'Digital Plan - UPI'!N169</f>
        <v>45480</v>
      </c>
      <c r="N234" s="298">
        <f>'Digital Plan - UPI'!O169</f>
        <v>1991485.3839384001</v>
      </c>
      <c r="O234" s="300" t="str">
        <f>'Digital Plan - UPI'!P169</f>
        <v>-</v>
      </c>
      <c r="P234" s="301">
        <f>'Digital Plan - UPI'!Q169</f>
        <v>0</v>
      </c>
      <c r="Q234" s="298">
        <f>'Digital Plan - UPI'!R169</f>
        <v>0</v>
      </c>
      <c r="R234" s="302">
        <f>'Digital Plan - UPI'!S169</f>
        <v>0.8</v>
      </c>
      <c r="S234" s="303">
        <f>'Digital Plan - UPI'!T169</f>
        <v>1593188.3071507202</v>
      </c>
      <c r="T234" s="298">
        <f>'Digital Plan - UPI'!U169</f>
        <v>358826.19530421623</v>
      </c>
      <c r="U234" s="298">
        <f>'Digital Plan - UPI'!V169</f>
        <v>5.55</v>
      </c>
      <c r="V234" s="304">
        <f>'Digital Plan - UPI'!X169</f>
        <v>110</v>
      </c>
      <c r="W234" s="305">
        <f>'Digital Plan - UPI'!Y169</f>
        <v>219063.392233224</v>
      </c>
      <c r="X234" s="305">
        <f>'Digital Plan - UPI'!Z169</f>
        <v>110</v>
      </c>
      <c r="Y234" s="305">
        <f>'Digital Plan - UPI'!AA169</f>
        <v>0</v>
      </c>
      <c r="Z234" s="306">
        <f>'Digital Plan - UPI'!AB169</f>
        <v>400078</v>
      </c>
      <c r="AA234" s="307">
        <f>'Digital Plan - UPI'!AC169</f>
        <v>0.89689059459459464</v>
      </c>
      <c r="AB234" s="259"/>
      <c r="AC234" s="298"/>
      <c r="AD234" s="298"/>
      <c r="AE234" s="298">
        <f>$N234/3</f>
        <v>663828.46131280006</v>
      </c>
      <c r="AF234" s="298">
        <f t="shared" si="81"/>
        <v>663828.46131280006</v>
      </c>
      <c r="AG234" s="298">
        <f t="shared" si="81"/>
        <v>663828.46131280006</v>
      </c>
      <c r="AH234" s="298"/>
      <c r="AI234" s="298"/>
      <c r="AJ234" s="298"/>
    </row>
    <row r="235" spans="1:36" x14ac:dyDescent="0.35">
      <c r="A235" s="322" t="e">
        <f>'Digital Plan - UPI'!#REF!</f>
        <v>#REF!</v>
      </c>
      <c r="B235" s="293" t="e">
        <f>'Digital Plan - UPI'!#REF!</f>
        <v>#REF!</v>
      </c>
      <c r="C235" s="295" t="e">
        <f>'Digital Plan - UPI'!#REF!</f>
        <v>#REF!</v>
      </c>
      <c r="D235" s="295" t="e">
        <f>'Digital Plan - UPI'!#REF!</f>
        <v>#REF!</v>
      </c>
      <c r="E235" s="406" t="e">
        <f>'Digital Plan - UPI'!#REF!</f>
        <v>#REF!</v>
      </c>
      <c r="F235" s="407" t="e">
        <f>'Digital Plan - UPI'!#REF!</f>
        <v>#REF!</v>
      </c>
      <c r="G235" s="296" t="e">
        <f>'Digital Plan - UPI'!#REF!</f>
        <v>#REF!</v>
      </c>
      <c r="H235" s="296" t="e">
        <f>'Digital Plan - UPI'!#REF!</f>
        <v>#REF!</v>
      </c>
      <c r="I235" s="297" t="e">
        <f>'Digital Plan - UPI'!#REF!</f>
        <v>#REF!</v>
      </c>
      <c r="J235" s="295" t="e">
        <f>'Digital Plan - UPI'!#REF!</f>
        <v>#REF!</v>
      </c>
      <c r="K235" s="298" t="e">
        <f>'Digital Plan - UPI'!#REF!</f>
        <v>#REF!</v>
      </c>
      <c r="L235" s="299" t="e">
        <f>'Digital Plan - UPI'!#REF!</f>
        <v>#REF!</v>
      </c>
      <c r="M235" s="299" t="e">
        <f>'Digital Plan - UPI'!#REF!</f>
        <v>#REF!</v>
      </c>
      <c r="N235" s="298" t="e">
        <f>'Digital Plan - UPI'!#REF!</f>
        <v>#REF!</v>
      </c>
      <c r="O235" s="300" t="e">
        <f>'Digital Plan - UPI'!#REF!</f>
        <v>#REF!</v>
      </c>
      <c r="P235" s="301" t="e">
        <f>'Digital Plan - UPI'!#REF!</f>
        <v>#REF!</v>
      </c>
      <c r="Q235" s="298" t="e">
        <f>'Digital Plan - UPI'!#REF!</f>
        <v>#REF!</v>
      </c>
      <c r="R235" s="302" t="e">
        <f>'Digital Plan - UPI'!#REF!</f>
        <v>#REF!</v>
      </c>
      <c r="S235" s="303" t="e">
        <f>'Digital Plan - UPI'!#REF!</f>
        <v>#REF!</v>
      </c>
      <c r="T235" s="298" t="e">
        <f>'Digital Plan - UPI'!#REF!</f>
        <v>#REF!</v>
      </c>
      <c r="U235" s="298" t="e">
        <f>'Digital Plan - UPI'!#REF!</f>
        <v>#REF!</v>
      </c>
      <c r="V235" s="304" t="e">
        <f>'Digital Plan - UPI'!#REF!</f>
        <v>#REF!</v>
      </c>
      <c r="W235" s="305" t="e">
        <f>'Digital Plan - UPI'!#REF!</f>
        <v>#REF!</v>
      </c>
      <c r="X235" s="305" t="e">
        <f>'Digital Plan - UPI'!#REF!</f>
        <v>#REF!</v>
      </c>
      <c r="Y235" s="305" t="e">
        <f>'Digital Plan - UPI'!#REF!</f>
        <v>#REF!</v>
      </c>
      <c r="Z235" s="306" t="e">
        <f>'Digital Plan - UPI'!#REF!</f>
        <v>#REF!</v>
      </c>
      <c r="AA235" s="307" t="e">
        <f>'Digital Plan - UPI'!#REF!</f>
        <v>#REF!</v>
      </c>
      <c r="AB235" s="259"/>
      <c r="AC235" s="298"/>
      <c r="AD235" s="298"/>
      <c r="AE235" s="298"/>
      <c r="AF235" s="298"/>
      <c r="AG235" s="298"/>
      <c r="AH235" s="298" t="e">
        <f>$N235/3</f>
        <v>#REF!</v>
      </c>
      <c r="AI235" s="298" t="e">
        <f t="shared" si="81"/>
        <v>#REF!</v>
      </c>
      <c r="AJ235" s="298" t="e">
        <f t="shared" si="81"/>
        <v>#REF!</v>
      </c>
    </row>
    <row r="236" spans="1:36" x14ac:dyDescent="0.35">
      <c r="A236" s="322" t="str">
        <f>'Digital Plan - UPI'!B170</f>
        <v>Visakhapatnam</v>
      </c>
      <c r="B236" s="293" t="str">
        <f>'Digital Plan - UPI'!C170</f>
        <v>Core</v>
      </c>
      <c r="C236" s="264" t="str">
        <f>'Digital Plan - UPI'!D170</f>
        <v>Meta</v>
      </c>
      <c r="D236" s="264" t="str">
        <f>'Digital Plan - UPI'!E170</f>
        <v>Video</v>
      </c>
      <c r="E236" s="404" t="str">
        <f>'Digital Plan - UPI'!F170</f>
        <v xml:space="preserve">Entertainment </v>
      </c>
      <c r="F236" s="404" t="str">
        <f>'Digital Plan - UPI'!G170</f>
        <v xml:space="preserve">Mobile </v>
      </c>
      <c r="G236" s="265" t="str">
        <f>'Digital Plan - UPI'!H170</f>
        <v xml:space="preserve">Instream </v>
      </c>
      <c r="H236" s="265" t="str">
        <f>'Digital Plan - UPI'!I170</f>
        <v>Instream - 6 Sec</v>
      </c>
      <c r="I236" s="308" t="str">
        <f>'Digital Plan - UPI'!J170</f>
        <v>Reff : Targeting Sheet</v>
      </c>
      <c r="J236" s="263" t="str">
        <f>'Digital Plan - UPI'!K170</f>
        <v>CPM</v>
      </c>
      <c r="K236" s="266">
        <f>'Digital Plan - UPI'!L170</f>
        <v>21</v>
      </c>
      <c r="L236" s="267">
        <f>'Digital Plan - UPI'!M170</f>
        <v>45460</v>
      </c>
      <c r="M236" s="267">
        <f>'Digital Plan - UPI'!N170</f>
        <v>45480</v>
      </c>
      <c r="N236" s="266">
        <f>'Digital Plan - UPI'!O170</f>
        <v>266905.17516801599</v>
      </c>
      <c r="O236" s="268" t="str">
        <f>'Digital Plan - UPI'!P170</f>
        <v>-</v>
      </c>
      <c r="P236" s="269">
        <f>'Digital Plan - UPI'!Q170</f>
        <v>1E-3</v>
      </c>
      <c r="Q236" s="266">
        <f>'Digital Plan - UPI'!R170</f>
        <v>266.905175168016</v>
      </c>
      <c r="R236" s="270">
        <f>'Digital Plan - UPI'!S170</f>
        <v>0.7</v>
      </c>
      <c r="S236" s="271">
        <f>'Digital Plan - UPI'!T170</f>
        <v>186833.6226176112</v>
      </c>
      <c r="T236" s="266">
        <f>'Digital Plan - UPI'!U170</f>
        <v>266905.17516801599</v>
      </c>
      <c r="U236" s="266">
        <f>'Digital Plan - UPI'!V170</f>
        <v>1</v>
      </c>
      <c r="V236" s="272">
        <f>'Digital Plan - UPI'!X170</f>
        <v>70</v>
      </c>
      <c r="W236" s="273">
        <f>'Digital Plan - UPI'!Y170</f>
        <v>18683.362261761122</v>
      </c>
      <c r="X236" s="273">
        <f>'Digital Plan - UPI'!Z170</f>
        <v>70</v>
      </c>
      <c r="Y236" s="273">
        <f>'Digital Plan - UPI'!AA170</f>
        <v>70</v>
      </c>
      <c r="Z236" s="274">
        <f>'Digital Plan - UPI'!AB170</f>
        <v>621501.29999999993</v>
      </c>
      <c r="AA236" s="275">
        <f>'Digital Plan - UPI'!AC170</f>
        <v>0.42945232</v>
      </c>
      <c r="AB236" s="259"/>
      <c r="AC236" s="266"/>
      <c r="AD236" s="266"/>
      <c r="AE236" s="266">
        <f>$N236/3</f>
        <v>88968.391722671993</v>
      </c>
      <c r="AF236" s="266">
        <f t="shared" si="81"/>
        <v>88968.391722671993</v>
      </c>
      <c r="AG236" s="266">
        <f t="shared" si="81"/>
        <v>88968.391722671993</v>
      </c>
      <c r="AH236" s="266"/>
      <c r="AI236" s="266"/>
      <c r="AJ236" s="266"/>
    </row>
    <row r="237" spans="1:36" x14ac:dyDescent="0.35">
      <c r="A237" s="322" t="str">
        <f>'Digital Plan - UPI'!B171</f>
        <v>Visakhapatnam</v>
      </c>
      <c r="B237" s="293" t="str">
        <f>'Digital Plan - UPI'!C171</f>
        <v>Core</v>
      </c>
      <c r="C237" s="264" t="str">
        <f>'Digital Plan - UPI'!D171</f>
        <v xml:space="preserve">YouTube </v>
      </c>
      <c r="D237" s="264" t="str">
        <f>'Digital Plan - UPI'!E171</f>
        <v>Video</v>
      </c>
      <c r="E237" s="404" t="str">
        <f>'Digital Plan - UPI'!F171</f>
        <v xml:space="preserve">Entertainment </v>
      </c>
      <c r="F237" s="404" t="str">
        <f>'Digital Plan - UPI'!G171</f>
        <v xml:space="preserve">Mobile </v>
      </c>
      <c r="G237" s="265" t="str">
        <f>'Digital Plan - UPI'!H171</f>
        <v xml:space="preserve">Instream </v>
      </c>
      <c r="H237" s="265" t="str">
        <f>'Digital Plan - UPI'!I171</f>
        <v xml:space="preserve">Bumper 6 secs  </v>
      </c>
      <c r="I237" s="308" t="str">
        <f>'Digital Plan - UPI'!J171</f>
        <v>Reff : Targeting Sheet</v>
      </c>
      <c r="J237" s="263" t="str">
        <f>'Digital Plan - UPI'!K171</f>
        <v>CPM</v>
      </c>
      <c r="K237" s="266">
        <f>'Digital Plan - UPI'!L171</f>
        <v>21</v>
      </c>
      <c r="L237" s="267">
        <f>'Digital Plan - UPI'!M171</f>
        <v>45460</v>
      </c>
      <c r="M237" s="267">
        <f>'Digital Plan - UPI'!N171</f>
        <v>45480</v>
      </c>
      <c r="N237" s="266">
        <f>'Digital Plan - UPI'!O171</f>
        <v>402147.9</v>
      </c>
      <c r="O237" s="268" t="str">
        <f>'Digital Plan - UPI'!P171</f>
        <v>-</v>
      </c>
      <c r="P237" s="269">
        <f>'Digital Plan - UPI'!Q171</f>
        <v>1E-3</v>
      </c>
      <c r="Q237" s="266">
        <f>'Digital Plan - UPI'!R171</f>
        <v>402.14790000000005</v>
      </c>
      <c r="R237" s="270">
        <f>'Digital Plan - UPI'!S171</f>
        <v>0.8</v>
      </c>
      <c r="S237" s="271">
        <f>'Digital Plan - UPI'!T171</f>
        <v>321718.32000000007</v>
      </c>
      <c r="T237" s="266">
        <f>'Digital Plan - UPI'!U171</f>
        <v>287248.50000000006</v>
      </c>
      <c r="U237" s="266">
        <f>'Digital Plan - UPI'!V171</f>
        <v>1.4</v>
      </c>
      <c r="V237" s="272">
        <f>'Digital Plan - UPI'!X171</f>
        <v>80</v>
      </c>
      <c r="W237" s="273">
        <f>'Digital Plan - UPI'!Y171</f>
        <v>32171.832000000002</v>
      </c>
      <c r="X237" s="273">
        <f>'Digital Plan - UPI'!Z171</f>
        <v>80</v>
      </c>
      <c r="Y237" s="273">
        <f>'Digital Plan - UPI'!AA171</f>
        <v>80</v>
      </c>
      <c r="Z237" s="274">
        <f>'Digital Plan - UPI'!AB171</f>
        <v>731178</v>
      </c>
      <c r="AA237" s="275">
        <f>'Digital Plan - UPI'!AC171</f>
        <v>0.39285714285714296</v>
      </c>
      <c r="AB237" s="259"/>
      <c r="AC237" s="266"/>
      <c r="AD237" s="266"/>
      <c r="AE237" s="266"/>
      <c r="AF237" s="266"/>
      <c r="AG237" s="266"/>
      <c r="AH237" s="266">
        <f>$N237/3</f>
        <v>134049.30000000002</v>
      </c>
      <c r="AI237" s="266">
        <f t="shared" si="81"/>
        <v>134049.30000000002</v>
      </c>
      <c r="AJ237" s="266">
        <f t="shared" si="81"/>
        <v>134049.30000000002</v>
      </c>
    </row>
    <row r="238" spans="1:36" x14ac:dyDescent="0.35">
      <c r="A238" s="322" t="str">
        <f>'Digital Plan - UPI'!B172</f>
        <v>Visakhapatnam</v>
      </c>
      <c r="B238" s="293" t="str">
        <f>'Digital Plan - UPI'!C172</f>
        <v>Core</v>
      </c>
      <c r="C238" s="263" t="str">
        <f>'Digital Plan - UPI'!D172</f>
        <v xml:space="preserve">DSP </v>
      </c>
      <c r="D238" s="263" t="str">
        <f>'Digital Plan - UPI'!E172</f>
        <v>Static</v>
      </c>
      <c r="E238" s="404" t="str">
        <f>'Digital Plan - UPI'!F172</f>
        <v xml:space="preserve">Network </v>
      </c>
      <c r="F238" s="404" t="str">
        <f>'Digital Plan - UPI'!G172</f>
        <v>Mobile</v>
      </c>
      <c r="G238" s="265" t="str">
        <f>'Digital Plan - UPI'!H172</f>
        <v>ROS</v>
      </c>
      <c r="H238" s="265" t="str">
        <f>'Digital Plan - UPI'!I172</f>
        <v>Large Formats</v>
      </c>
      <c r="I238" s="309" t="str">
        <f>'Digital Plan - UPI'!J172</f>
        <v>Reff : Targeting Sheet</v>
      </c>
      <c r="J238" s="263" t="str">
        <f>'Digital Plan - UPI'!K172</f>
        <v>CPM</v>
      </c>
      <c r="K238" s="266">
        <f>'Digital Plan - UPI'!L172</f>
        <v>21</v>
      </c>
      <c r="L238" s="267">
        <f>'Digital Plan - UPI'!M172</f>
        <v>45460</v>
      </c>
      <c r="M238" s="267">
        <f>'Digital Plan - UPI'!N172</f>
        <v>45480</v>
      </c>
      <c r="N238" s="266">
        <f>'Digital Plan - UPI'!O172</f>
        <v>134703.70559260802</v>
      </c>
      <c r="O238" s="268" t="str">
        <f>'Digital Plan - UPI'!P172</f>
        <v>-</v>
      </c>
      <c r="P238" s="269">
        <f>'Digital Plan - UPI'!Q172</f>
        <v>1.4999999999999999E-2</v>
      </c>
      <c r="Q238" s="266">
        <f>'Digital Plan - UPI'!R172</f>
        <v>2020.5555838891203</v>
      </c>
      <c r="R238" s="268" t="str">
        <f>'Digital Plan - UPI'!S172</f>
        <v>-</v>
      </c>
      <c r="S238" s="271" t="str">
        <f>'Digital Plan - UPI'!T172</f>
        <v>-</v>
      </c>
      <c r="T238" s="266">
        <f>'Digital Plan - UPI'!U172</f>
        <v>158474.94775600944</v>
      </c>
      <c r="U238" s="266">
        <f>'Digital Plan - UPI'!V172</f>
        <v>0.85</v>
      </c>
      <c r="V238" s="272">
        <f>'Digital Plan - UPI'!X172</f>
        <v>105</v>
      </c>
      <c r="W238" s="273">
        <f>'Digital Plan - UPI'!Y172</f>
        <v>14143.889087223843</v>
      </c>
      <c r="X238" s="273">
        <f>'Digital Plan - UPI'!Z172</f>
        <v>105</v>
      </c>
      <c r="Y238" s="273">
        <f>'Digital Plan - UPI'!AA172</f>
        <v>7</v>
      </c>
      <c r="Z238" s="274">
        <f>'Digital Plan - UPI'!AB172</f>
        <v>590426.23499999987</v>
      </c>
      <c r="AA238" s="275">
        <f>'Digital Plan - UPI'!AC172</f>
        <v>0.26840769999999997</v>
      </c>
      <c r="AB238" s="259"/>
      <c r="AC238" s="266">
        <f t="shared" ref="AC238:AD240" si="82">$N238*20%</f>
        <v>26940.741118521604</v>
      </c>
      <c r="AD238" s="266">
        <f t="shared" si="82"/>
        <v>26940.741118521604</v>
      </c>
      <c r="AE238" s="266">
        <f t="shared" ref="AE238:AF240" si="83">$N238*15%</f>
        <v>20205.555838891203</v>
      </c>
      <c r="AF238" s="266">
        <f t="shared" si="83"/>
        <v>20205.555838891203</v>
      </c>
      <c r="AG238" s="266">
        <f t="shared" ref="AG238:AH240" si="84">$N238*10%</f>
        <v>13470.370559260802</v>
      </c>
      <c r="AH238" s="266">
        <f t="shared" si="84"/>
        <v>13470.370559260802</v>
      </c>
      <c r="AI238" s="266">
        <f t="shared" ref="AI238:AJ240" si="85">$N238*5%</f>
        <v>6735.1852796304011</v>
      </c>
      <c r="AJ238" s="266">
        <f t="shared" si="85"/>
        <v>6735.1852796304011</v>
      </c>
    </row>
    <row r="239" spans="1:36" x14ac:dyDescent="0.35">
      <c r="A239" s="322" t="str">
        <f>'Digital Plan - UPI'!B173</f>
        <v>Visakhapatnam</v>
      </c>
      <c r="B239" s="293" t="str">
        <f>'Digital Plan - UPI'!C173</f>
        <v>Core</v>
      </c>
      <c r="C239" s="310" t="str">
        <f>'Digital Plan - UPI'!D173</f>
        <v>Mediakart</v>
      </c>
      <c r="D239" s="263" t="str">
        <f>'Digital Plan - UPI'!E173</f>
        <v>Static</v>
      </c>
      <c r="E239" s="408" t="str">
        <f>'Digital Plan - UPI'!F173</f>
        <v xml:space="preserve">Network </v>
      </c>
      <c r="F239" s="404" t="str">
        <f>'Digital Plan - UPI'!G173</f>
        <v xml:space="preserve">Mobile </v>
      </c>
      <c r="G239" s="265" t="str">
        <f>'Digital Plan - UPI'!H173</f>
        <v>ROS</v>
      </c>
      <c r="H239" s="265" t="str">
        <f>'Digital Plan - UPI'!I173</f>
        <v>Interstitial Static banner</v>
      </c>
      <c r="I239" s="309" t="str">
        <f>'Digital Plan - UPI'!J173</f>
        <v>Reff : Targeting Sheet</v>
      </c>
      <c r="J239" s="263" t="str">
        <f>'Digital Plan - UPI'!K173</f>
        <v xml:space="preserve">CPM </v>
      </c>
      <c r="K239" s="266">
        <f>'Digital Plan - UPI'!L173</f>
        <v>21</v>
      </c>
      <c r="L239" s="267">
        <f>'Digital Plan - UPI'!M173</f>
        <v>45460</v>
      </c>
      <c r="M239" s="267">
        <f>'Digital Plan - UPI'!N173</f>
        <v>45480</v>
      </c>
      <c r="N239" s="266">
        <f>'Digital Plan - UPI'!O173</f>
        <v>117411.51274643998</v>
      </c>
      <c r="O239" s="268" t="str">
        <f>'Digital Plan - UPI'!P173</f>
        <v>-</v>
      </c>
      <c r="P239" s="269">
        <f>'Digital Plan - UPI'!Q173</f>
        <v>1.4999999999999999E-2</v>
      </c>
      <c r="Q239" s="266">
        <f>'Digital Plan - UPI'!R173</f>
        <v>1761.1726911965998</v>
      </c>
      <c r="R239" s="268" t="str">
        <f>'Digital Plan - UPI'!S173</f>
        <v>-</v>
      </c>
      <c r="S239" s="271" t="str">
        <f>'Digital Plan - UPI'!T173</f>
        <v>-</v>
      </c>
      <c r="T239" s="266">
        <f>'Digital Plan - UPI'!U173</f>
        <v>138131.19146639999</v>
      </c>
      <c r="U239" s="266">
        <f>'Digital Plan - UPI'!V173</f>
        <v>0.85</v>
      </c>
      <c r="V239" s="272">
        <f>'Digital Plan - UPI'!X173</f>
        <v>120</v>
      </c>
      <c r="W239" s="273">
        <f>'Digital Plan - UPI'!Y173</f>
        <v>14089.381529572798</v>
      </c>
      <c r="X239" s="273">
        <f>'Digital Plan - UPI'!Z173</f>
        <v>120</v>
      </c>
      <c r="Y239" s="273">
        <f>'Digital Plan - UPI'!AA173</f>
        <v>8</v>
      </c>
      <c r="Z239" s="274">
        <f>'Digital Plan - UPI'!AB173</f>
        <v>321645</v>
      </c>
      <c r="AA239" s="275">
        <f>'Digital Plan - UPI'!AC173</f>
        <v>0.42945232</v>
      </c>
      <c r="AB239" s="259"/>
      <c r="AC239" s="266">
        <f t="shared" si="82"/>
        <v>23482.302549287997</v>
      </c>
      <c r="AD239" s="266">
        <f t="shared" si="82"/>
        <v>23482.302549287997</v>
      </c>
      <c r="AE239" s="266">
        <f t="shared" si="83"/>
        <v>17611.726911965998</v>
      </c>
      <c r="AF239" s="266">
        <f t="shared" si="83"/>
        <v>17611.726911965998</v>
      </c>
      <c r="AG239" s="266">
        <f t="shared" si="84"/>
        <v>11741.151274643998</v>
      </c>
      <c r="AH239" s="266">
        <f t="shared" si="84"/>
        <v>11741.151274643998</v>
      </c>
      <c r="AI239" s="266">
        <f t="shared" si="85"/>
        <v>5870.5756373219992</v>
      </c>
      <c r="AJ239" s="266">
        <f t="shared" si="85"/>
        <v>5870.5756373219992</v>
      </c>
    </row>
    <row r="240" spans="1:36" x14ac:dyDescent="0.35">
      <c r="A240" s="322" t="str">
        <f>'Digital Plan - UPI'!B174</f>
        <v>Visakhapatnam</v>
      </c>
      <c r="B240" s="293" t="str">
        <f>'Digital Plan - UPI'!C174</f>
        <v>Core</v>
      </c>
      <c r="C240" s="310" t="str">
        <f>'Digital Plan - UPI'!D174</f>
        <v>Dailyhunt</v>
      </c>
      <c r="D240" s="311" t="str">
        <f>'Digital Plan - UPI'!E174</f>
        <v>Static</v>
      </c>
      <c r="E240" s="408" t="str">
        <f>'Digital Plan - UPI'!F174</f>
        <v>News</v>
      </c>
      <c r="F240" s="404" t="str">
        <f>'Digital Plan - UPI'!G174</f>
        <v xml:space="preserve">Mobile </v>
      </c>
      <c r="G240" s="310" t="str">
        <f>'Digital Plan - UPI'!H174</f>
        <v>ROS</v>
      </c>
      <c r="H240" s="263" t="str">
        <f>'Digital Plan - UPI'!I174</f>
        <v>Page Insert - Innovation</v>
      </c>
      <c r="I240" s="309" t="str">
        <f>'Digital Plan - UPI'!J174</f>
        <v>Reff : Targeting Sheet</v>
      </c>
      <c r="J240" s="263" t="str">
        <f>'Digital Plan - UPI'!K174</f>
        <v>CPM</v>
      </c>
      <c r="K240" s="266">
        <f>'Digital Plan - UPI'!L174</f>
        <v>21</v>
      </c>
      <c r="L240" s="267">
        <f>'Digital Plan - UPI'!M174</f>
        <v>45460</v>
      </c>
      <c r="M240" s="267">
        <f>'Digital Plan - UPI'!N174</f>
        <v>45480</v>
      </c>
      <c r="N240" s="266">
        <f>'Digital Plan - UPI'!O174</f>
        <v>32039.212495366999</v>
      </c>
      <c r="O240" s="268" t="str">
        <f>'Digital Plan - UPI'!P174</f>
        <v>-</v>
      </c>
      <c r="P240" s="312">
        <f>'Digital Plan - UPI'!Q174</f>
        <v>0.01</v>
      </c>
      <c r="Q240" s="266">
        <f>'Digital Plan - UPI'!R174</f>
        <v>320.39212495367002</v>
      </c>
      <c r="R240" s="268" t="str">
        <f>'Digital Plan - UPI'!S174</f>
        <v>-</v>
      </c>
      <c r="S240" s="271" t="str">
        <f>'Digital Plan - UPI'!T174</f>
        <v>-</v>
      </c>
      <c r="T240" s="266">
        <f>'Digital Plan - UPI'!U174</f>
        <v>37693.19117102</v>
      </c>
      <c r="U240" s="266">
        <f>'Digital Plan - UPI'!V174</f>
        <v>0.85</v>
      </c>
      <c r="V240" s="272">
        <f>'Digital Plan - UPI'!X174</f>
        <v>200</v>
      </c>
      <c r="W240" s="273">
        <f>'Digital Plan - UPI'!Y174</f>
        <v>6407.8424990734002</v>
      </c>
      <c r="X240" s="273">
        <f>'Digital Plan - UPI'!Z174</f>
        <v>200</v>
      </c>
      <c r="Y240" s="273">
        <f>'Digital Plan - UPI'!AA174</f>
        <v>20</v>
      </c>
      <c r="Z240" s="274">
        <f>'Digital Plan - UPI'!AB174</f>
        <v>127666</v>
      </c>
      <c r="AA240" s="275">
        <f>'Digital Plan - UPI'!AC174</f>
        <v>0.29524846999999999</v>
      </c>
      <c r="AB240" s="259"/>
      <c r="AC240" s="266">
        <f t="shared" si="82"/>
        <v>6407.8424990734002</v>
      </c>
      <c r="AD240" s="266">
        <f t="shared" si="82"/>
        <v>6407.8424990734002</v>
      </c>
      <c r="AE240" s="266">
        <f t="shared" si="83"/>
        <v>4805.8818743050497</v>
      </c>
      <c r="AF240" s="266">
        <f t="shared" si="83"/>
        <v>4805.8818743050497</v>
      </c>
      <c r="AG240" s="266">
        <f t="shared" si="84"/>
        <v>3203.9212495367001</v>
      </c>
      <c r="AH240" s="266">
        <f t="shared" si="84"/>
        <v>3203.9212495367001</v>
      </c>
      <c r="AI240" s="266">
        <f t="shared" si="85"/>
        <v>1601.96062476835</v>
      </c>
      <c r="AJ240" s="266">
        <f t="shared" si="85"/>
        <v>1601.96062476835</v>
      </c>
    </row>
    <row r="241" spans="1:36" x14ac:dyDescent="0.35">
      <c r="A241" s="277" t="str">
        <f>'Digital Plan - UPI'!B175</f>
        <v>Visakhapatnam</v>
      </c>
      <c r="B241" s="278">
        <f>'Digital Plan - UPI'!C175</f>
        <v>0</v>
      </c>
      <c r="C241" s="279" t="str">
        <f>'Digital Plan - UPI'!D175</f>
        <v>Total</v>
      </c>
      <c r="D241" s="280">
        <f>'Digital Plan - UPI'!E175</f>
        <v>0</v>
      </c>
      <c r="E241" s="405">
        <f>'Digital Plan - UPI'!F175</f>
        <v>0</v>
      </c>
      <c r="F241" s="405">
        <f>'Digital Plan - UPI'!G175</f>
        <v>0</v>
      </c>
      <c r="G241" s="280">
        <f>'Digital Plan - UPI'!H175</f>
        <v>0</v>
      </c>
      <c r="H241" s="281">
        <f>'Digital Plan - UPI'!I175</f>
        <v>0</v>
      </c>
      <c r="I241" s="282">
        <f>'Digital Plan - UPI'!J175</f>
        <v>0</v>
      </c>
      <c r="J241" s="283">
        <f>'Digital Plan - UPI'!K175</f>
        <v>0</v>
      </c>
      <c r="K241" s="284">
        <f>'Digital Plan - UPI'!L175</f>
        <v>0</v>
      </c>
      <c r="L241" s="284">
        <f>'Digital Plan - UPI'!M175</f>
        <v>0</v>
      </c>
      <c r="M241" s="284">
        <f>'Digital Plan - UPI'!N175</f>
        <v>0</v>
      </c>
      <c r="N241" s="284">
        <f>'Digital Plan - UPI'!O175</f>
        <v>3276956.027182559</v>
      </c>
      <c r="O241" s="284">
        <f>'Digital Plan - UPI'!P175</f>
        <v>0</v>
      </c>
      <c r="P241" s="285">
        <f>'Digital Plan - UPI'!Q175</f>
        <v>1.455977265373785E-3</v>
      </c>
      <c r="Q241" s="284">
        <f>'Digital Plan - UPI'!R175</f>
        <v>4771.1734752074053</v>
      </c>
      <c r="R241" s="286">
        <f>'Digital Plan - UPI'!S175</f>
        <v>0</v>
      </c>
      <c r="S241" s="284">
        <f>'Digital Plan - UPI'!T175</f>
        <v>2384163.9164238004</v>
      </c>
      <c r="T241" s="284">
        <f>'Digital Plan - UPI'!U175</f>
        <v>495542.04886145238</v>
      </c>
      <c r="U241" s="284">
        <f>'Digital Plan - UPI'!V175</f>
        <v>6.6128717728629258</v>
      </c>
      <c r="V241" s="287">
        <f>'Digital Plan - UPI'!X175</f>
        <v>0</v>
      </c>
      <c r="W241" s="317">
        <f>'Digital Plan - UPI'!Y175</f>
        <v>346092.59176607121</v>
      </c>
      <c r="X241" s="288">
        <f>'Digital Plan - UPI'!Z175</f>
        <v>105.61404818838311</v>
      </c>
      <c r="Y241" s="288">
        <f>'Digital Plan - UPI'!AA175</f>
        <v>72.538253652792704</v>
      </c>
      <c r="Z241" s="284">
        <f>'Digital Plan - UPI'!AB175</f>
        <v>774300.63069999998</v>
      </c>
      <c r="AA241" s="289">
        <f>'Digital Plan - UPI'!AC175</f>
        <v>0.63998662691706931</v>
      </c>
      <c r="AB241" s="259"/>
      <c r="AC241" s="284"/>
      <c r="AD241" s="284"/>
      <c r="AE241" s="284"/>
      <c r="AF241" s="284"/>
      <c r="AG241" s="284"/>
      <c r="AH241" s="284"/>
      <c r="AI241" s="284"/>
      <c r="AJ241" s="284"/>
    </row>
    <row r="242" spans="1:36" x14ac:dyDescent="0.35">
      <c r="A242" s="323" t="e">
        <f>'Digital Plan - UPI'!#REF!</f>
        <v>#REF!</v>
      </c>
      <c r="B242" s="293" t="e">
        <f>'Digital Plan - UPI'!#REF!</f>
        <v>#REF!</v>
      </c>
      <c r="C242" s="294" t="e">
        <f>'Digital Plan - UPI'!#REF!</f>
        <v>#REF!</v>
      </c>
      <c r="D242" s="294" t="e">
        <f>'Digital Plan - UPI'!#REF!</f>
        <v>#REF!</v>
      </c>
      <c r="E242" s="406" t="e">
        <f>'Digital Plan - UPI'!#REF!</f>
        <v>#REF!</v>
      </c>
      <c r="F242" s="406" t="e">
        <f>'Digital Plan - UPI'!#REF!</f>
        <v>#REF!</v>
      </c>
      <c r="G242" s="296" t="e">
        <f>'Digital Plan - UPI'!#REF!</f>
        <v>#REF!</v>
      </c>
      <c r="H242" s="296" t="e">
        <f>'Digital Plan - UPI'!#REF!</f>
        <v>#REF!</v>
      </c>
      <c r="I242" s="297" t="e">
        <f>'Digital Plan - UPI'!#REF!</f>
        <v>#REF!</v>
      </c>
      <c r="J242" s="295" t="e">
        <f>'Digital Plan - UPI'!#REF!</f>
        <v>#REF!</v>
      </c>
      <c r="K242" s="298" t="e">
        <f>'Digital Plan - UPI'!#REF!</f>
        <v>#REF!</v>
      </c>
      <c r="L242" s="299" t="e">
        <f>'Digital Plan - UPI'!#REF!</f>
        <v>#REF!</v>
      </c>
      <c r="M242" s="299" t="e">
        <f>'Digital Plan - UPI'!#REF!</f>
        <v>#REF!</v>
      </c>
      <c r="N242" s="298" t="e">
        <f>'Digital Plan - UPI'!#REF!</f>
        <v>#REF!</v>
      </c>
      <c r="O242" s="300" t="e">
        <f>'Digital Plan - UPI'!#REF!</f>
        <v>#REF!</v>
      </c>
      <c r="P242" s="301" t="e">
        <f>'Digital Plan - UPI'!#REF!</f>
        <v>#REF!</v>
      </c>
      <c r="Q242" s="298" t="e">
        <f>'Digital Plan - UPI'!#REF!</f>
        <v>#REF!</v>
      </c>
      <c r="R242" s="302" t="e">
        <f>'Digital Plan - UPI'!#REF!</f>
        <v>#REF!</v>
      </c>
      <c r="S242" s="303" t="e">
        <f>'Digital Plan - UPI'!#REF!</f>
        <v>#REF!</v>
      </c>
      <c r="T242" s="298" t="e">
        <f>'Digital Plan - UPI'!#REF!</f>
        <v>#REF!</v>
      </c>
      <c r="U242" s="298" t="e">
        <f>'Digital Plan - UPI'!#REF!</f>
        <v>#REF!</v>
      </c>
      <c r="V242" s="304" t="e">
        <f>'Digital Plan - UPI'!#REF!</f>
        <v>#REF!</v>
      </c>
      <c r="W242" s="305" t="e">
        <f>'Digital Plan - UPI'!#REF!</f>
        <v>#REF!</v>
      </c>
      <c r="X242" s="305" t="e">
        <f>'Digital Plan - UPI'!#REF!</f>
        <v>#REF!</v>
      </c>
      <c r="Y242" s="305" t="e">
        <f>'Digital Plan - UPI'!#REF!</f>
        <v>#REF!</v>
      </c>
      <c r="Z242" s="306" t="e">
        <f>'Digital Plan - UPI'!#REF!</f>
        <v>#REF!</v>
      </c>
      <c r="AA242" s="307" t="e">
        <f>'Digital Plan - UPI'!#REF!</f>
        <v>#REF!</v>
      </c>
      <c r="AB242" s="259"/>
      <c r="AC242" s="298" t="e">
        <f>N242/2</f>
        <v>#REF!</v>
      </c>
      <c r="AD242" s="298" t="e">
        <f>N242/2</f>
        <v>#REF!</v>
      </c>
      <c r="AE242" s="298"/>
      <c r="AF242" s="298"/>
      <c r="AG242" s="298"/>
      <c r="AH242" s="298"/>
      <c r="AI242" s="298"/>
      <c r="AJ242" s="298"/>
    </row>
    <row r="243" spans="1:36" x14ac:dyDescent="0.35">
      <c r="A243" s="323" t="e">
        <f>'Digital Plan - UPI'!#REF!</f>
        <v>#REF!</v>
      </c>
      <c r="B243" s="293" t="e">
        <f>'Digital Plan - UPI'!#REF!</f>
        <v>#REF!</v>
      </c>
      <c r="C243" s="295" t="e">
        <f>'Digital Plan - UPI'!#REF!</f>
        <v>#REF!</v>
      </c>
      <c r="D243" s="295" t="e">
        <f>'Digital Plan - UPI'!#REF!</f>
        <v>#REF!</v>
      </c>
      <c r="E243" s="406" t="e">
        <f>'Digital Plan - UPI'!#REF!</f>
        <v>#REF!</v>
      </c>
      <c r="F243" s="407" t="e">
        <f>'Digital Plan - UPI'!#REF!</f>
        <v>#REF!</v>
      </c>
      <c r="G243" s="296" t="e">
        <f>'Digital Plan - UPI'!#REF!</f>
        <v>#REF!</v>
      </c>
      <c r="H243" s="296" t="e">
        <f>'Digital Plan - UPI'!#REF!</f>
        <v>#REF!</v>
      </c>
      <c r="I243" s="297" t="e">
        <f>'Digital Plan - UPI'!#REF!</f>
        <v>#REF!</v>
      </c>
      <c r="J243" s="295" t="e">
        <f>'Digital Plan - UPI'!#REF!</f>
        <v>#REF!</v>
      </c>
      <c r="K243" s="298" t="e">
        <f>'Digital Plan - UPI'!#REF!</f>
        <v>#REF!</v>
      </c>
      <c r="L243" s="299" t="e">
        <f>'Digital Plan - UPI'!#REF!</f>
        <v>#REF!</v>
      </c>
      <c r="M243" s="299" t="e">
        <f>'Digital Plan - UPI'!#REF!</f>
        <v>#REF!</v>
      </c>
      <c r="N243" s="298" t="e">
        <f>'Digital Plan - UPI'!#REF!</f>
        <v>#REF!</v>
      </c>
      <c r="O243" s="300" t="e">
        <f>'Digital Plan - UPI'!#REF!</f>
        <v>#REF!</v>
      </c>
      <c r="P243" s="301" t="e">
        <f>'Digital Plan - UPI'!#REF!</f>
        <v>#REF!</v>
      </c>
      <c r="Q243" s="298" t="e">
        <f>'Digital Plan - UPI'!#REF!</f>
        <v>#REF!</v>
      </c>
      <c r="R243" s="302" t="e">
        <f>'Digital Plan - UPI'!#REF!</f>
        <v>#REF!</v>
      </c>
      <c r="S243" s="303" t="e">
        <f>'Digital Plan - UPI'!#REF!</f>
        <v>#REF!</v>
      </c>
      <c r="T243" s="298" t="e">
        <f>'Digital Plan - UPI'!#REF!</f>
        <v>#REF!</v>
      </c>
      <c r="U243" s="298" t="e">
        <f>'Digital Plan - UPI'!#REF!</f>
        <v>#REF!</v>
      </c>
      <c r="V243" s="304" t="e">
        <f>'Digital Plan - UPI'!#REF!</f>
        <v>#REF!</v>
      </c>
      <c r="W243" s="305" t="e">
        <f>'Digital Plan - UPI'!#REF!</f>
        <v>#REF!</v>
      </c>
      <c r="X243" s="305" t="e">
        <f>'Digital Plan - UPI'!#REF!</f>
        <v>#REF!</v>
      </c>
      <c r="Y243" s="305" t="e">
        <f>'Digital Plan - UPI'!#REF!</f>
        <v>#REF!</v>
      </c>
      <c r="Z243" s="306" t="e">
        <f>'Digital Plan - UPI'!#REF!</f>
        <v>#REF!</v>
      </c>
      <c r="AA243" s="307" t="e">
        <f>'Digital Plan - UPI'!#REF!</f>
        <v>#REF!</v>
      </c>
      <c r="AB243" s="259"/>
      <c r="AC243" s="298" t="e">
        <f>N243/2</f>
        <v>#REF!</v>
      </c>
      <c r="AD243" s="298" t="e">
        <f>N243/2</f>
        <v>#REF!</v>
      </c>
      <c r="AE243" s="298"/>
      <c r="AF243" s="298"/>
      <c r="AG243" s="298"/>
      <c r="AH243" s="298"/>
      <c r="AI243" s="298"/>
      <c r="AJ243" s="298"/>
    </row>
    <row r="244" spans="1:36" x14ac:dyDescent="0.35">
      <c r="A244" s="323" t="str">
        <f>'Digital Plan - UPI'!B176</f>
        <v>Rest of T57 - Hindi</v>
      </c>
      <c r="B244" s="293" t="str">
        <f>'Digital Plan - UPI'!C176</f>
        <v>Core - CTV</v>
      </c>
      <c r="C244" s="294" t="str">
        <f>'Digital Plan - UPI'!D176</f>
        <v>Connected TV PMP</v>
      </c>
      <c r="D244" s="294" t="str">
        <f>'Digital Plan - UPI'!E176</f>
        <v>Video</v>
      </c>
      <c r="E244" s="406" t="str">
        <f>'Digital Plan - UPI'!F176</f>
        <v xml:space="preserve">Entertainment </v>
      </c>
      <c r="F244" s="406" t="str">
        <f>'Digital Plan - UPI'!G176</f>
        <v>CTV</v>
      </c>
      <c r="G244" s="296" t="str">
        <f>'Digital Plan - UPI'!H176</f>
        <v>Instream</v>
      </c>
      <c r="H244" s="296" t="str">
        <f>'Digital Plan - UPI'!I176</f>
        <v xml:space="preserve">Video-6 Sec </v>
      </c>
      <c r="I244" s="297" t="str">
        <f>'Digital Plan - UPI'!J176</f>
        <v>Reff : Targeting Sheet</v>
      </c>
      <c r="J244" s="295" t="str">
        <f>'Digital Plan - UPI'!K176</f>
        <v>CPM</v>
      </c>
      <c r="K244" s="298">
        <f>'Digital Plan - UPI'!L176</f>
        <v>21</v>
      </c>
      <c r="L244" s="299">
        <f>'Digital Plan - UPI'!M176</f>
        <v>45460</v>
      </c>
      <c r="M244" s="299">
        <f>'Digital Plan - UPI'!N176</f>
        <v>45480</v>
      </c>
      <c r="N244" s="298">
        <f>'Digital Plan - UPI'!O176</f>
        <v>3826056.3119999999</v>
      </c>
      <c r="O244" s="300" t="str">
        <f>'Digital Plan - UPI'!P176</f>
        <v>-</v>
      </c>
      <c r="P244" s="301">
        <f>'Digital Plan - UPI'!Q176</f>
        <v>0</v>
      </c>
      <c r="Q244" s="298">
        <f>'Digital Plan - UPI'!R176</f>
        <v>0</v>
      </c>
      <c r="R244" s="302">
        <f>'Digital Plan - UPI'!S176</f>
        <v>0.85</v>
      </c>
      <c r="S244" s="303">
        <f>'Digital Plan - UPI'!T176</f>
        <v>3252147.8651999999</v>
      </c>
      <c r="T244" s="298">
        <f>'Digital Plan - UPI'!U176</f>
        <v>937758.89999999991</v>
      </c>
      <c r="U244" s="298">
        <f>'Digital Plan - UPI'!V176</f>
        <v>4.08</v>
      </c>
      <c r="V244" s="304">
        <f>'Digital Plan - UPI'!X176</f>
        <v>125</v>
      </c>
      <c r="W244" s="305">
        <f>'Digital Plan - UPI'!Y176</f>
        <v>478257.03899999999</v>
      </c>
      <c r="X244" s="305">
        <f>'Digital Plan - UPI'!Z176</f>
        <v>125</v>
      </c>
      <c r="Y244" s="305">
        <f>'Digital Plan - UPI'!AA176</f>
        <v>0</v>
      </c>
      <c r="Z244" s="306">
        <f>'Digital Plan - UPI'!AB176</f>
        <v>1129830</v>
      </c>
      <c r="AA244" s="307">
        <f>'Digital Plan - UPI'!AC176</f>
        <v>0.83</v>
      </c>
      <c r="AB244" s="259"/>
      <c r="AC244" s="298"/>
      <c r="AD244" s="298"/>
      <c r="AE244" s="298">
        <f>$N244/3</f>
        <v>1275352.1040000001</v>
      </c>
      <c r="AF244" s="298">
        <f t="shared" ref="AF244:AJ249" si="86">$N244/3</f>
        <v>1275352.1040000001</v>
      </c>
      <c r="AG244" s="298">
        <f t="shared" si="86"/>
        <v>1275352.1040000001</v>
      </c>
      <c r="AH244" s="298"/>
      <c r="AI244" s="298"/>
      <c r="AJ244" s="298"/>
    </row>
    <row r="245" spans="1:36" x14ac:dyDescent="0.35">
      <c r="A245" s="323" t="e">
        <f>'Digital Plan - UPI'!#REF!</f>
        <v>#REF!</v>
      </c>
      <c r="B245" s="293" t="e">
        <f>'Digital Plan - UPI'!#REF!</f>
        <v>#REF!</v>
      </c>
      <c r="C245" s="294" t="e">
        <f>'Digital Plan - UPI'!#REF!</f>
        <v>#REF!</v>
      </c>
      <c r="D245" s="294" t="e">
        <f>'Digital Plan - UPI'!#REF!</f>
        <v>#REF!</v>
      </c>
      <c r="E245" s="406" t="e">
        <f>'Digital Plan - UPI'!#REF!</f>
        <v>#REF!</v>
      </c>
      <c r="F245" s="406" t="e">
        <f>'Digital Plan - UPI'!#REF!</f>
        <v>#REF!</v>
      </c>
      <c r="G245" s="296" t="e">
        <f>'Digital Plan - UPI'!#REF!</f>
        <v>#REF!</v>
      </c>
      <c r="H245" s="296" t="e">
        <f>'Digital Plan - UPI'!#REF!</f>
        <v>#REF!</v>
      </c>
      <c r="I245" s="297" t="e">
        <f>'Digital Plan - UPI'!#REF!</f>
        <v>#REF!</v>
      </c>
      <c r="J245" s="295" t="e">
        <f>'Digital Plan - UPI'!#REF!</f>
        <v>#REF!</v>
      </c>
      <c r="K245" s="298" t="e">
        <f>'Digital Plan - UPI'!#REF!</f>
        <v>#REF!</v>
      </c>
      <c r="L245" s="299" t="e">
        <f>'Digital Plan - UPI'!#REF!</f>
        <v>#REF!</v>
      </c>
      <c r="M245" s="299" t="e">
        <f>'Digital Plan - UPI'!#REF!</f>
        <v>#REF!</v>
      </c>
      <c r="N245" s="298" t="e">
        <f>'Digital Plan - UPI'!#REF!</f>
        <v>#REF!</v>
      </c>
      <c r="O245" s="300" t="e">
        <f>'Digital Plan - UPI'!#REF!</f>
        <v>#REF!</v>
      </c>
      <c r="P245" s="301" t="e">
        <f>'Digital Plan - UPI'!#REF!</f>
        <v>#REF!</v>
      </c>
      <c r="Q245" s="298" t="e">
        <f>'Digital Plan - UPI'!#REF!</f>
        <v>#REF!</v>
      </c>
      <c r="R245" s="302" t="e">
        <f>'Digital Plan - UPI'!#REF!</f>
        <v>#REF!</v>
      </c>
      <c r="S245" s="303" t="e">
        <f>'Digital Plan - UPI'!#REF!</f>
        <v>#REF!</v>
      </c>
      <c r="T245" s="298" t="e">
        <f>'Digital Plan - UPI'!#REF!</f>
        <v>#REF!</v>
      </c>
      <c r="U245" s="298" t="e">
        <f>'Digital Plan - UPI'!#REF!</f>
        <v>#REF!</v>
      </c>
      <c r="V245" s="304" t="e">
        <f>'Digital Plan - UPI'!#REF!</f>
        <v>#REF!</v>
      </c>
      <c r="W245" s="305" t="e">
        <f>'Digital Plan - UPI'!#REF!</f>
        <v>#REF!</v>
      </c>
      <c r="X245" s="305" t="e">
        <f>'Digital Plan - UPI'!#REF!</f>
        <v>#REF!</v>
      </c>
      <c r="Y245" s="305" t="e">
        <f>'Digital Plan - UPI'!#REF!</f>
        <v>#REF!</v>
      </c>
      <c r="Z245" s="306" t="e">
        <f>'Digital Plan - UPI'!#REF!</f>
        <v>#REF!</v>
      </c>
      <c r="AA245" s="307" t="e">
        <f>'Digital Plan - UPI'!#REF!</f>
        <v>#REF!</v>
      </c>
      <c r="AB245" s="259"/>
      <c r="AC245" s="298"/>
      <c r="AD245" s="298"/>
      <c r="AE245" s="298"/>
      <c r="AF245" s="298"/>
      <c r="AG245" s="298"/>
      <c r="AH245" s="298" t="e">
        <f>$N245/3</f>
        <v>#REF!</v>
      </c>
      <c r="AI245" s="298" t="e">
        <f t="shared" si="86"/>
        <v>#REF!</v>
      </c>
      <c r="AJ245" s="298" t="e">
        <f t="shared" si="86"/>
        <v>#REF!</v>
      </c>
    </row>
    <row r="246" spans="1:36" x14ac:dyDescent="0.35">
      <c r="A246" s="323" t="str">
        <f>'Digital Plan - UPI'!B177</f>
        <v>Rest of T57 - Hindi</v>
      </c>
      <c r="B246" s="293" t="str">
        <f>'Digital Plan - UPI'!C177</f>
        <v>Core - CTV</v>
      </c>
      <c r="C246" s="295" t="str">
        <f>'Digital Plan - UPI'!D177</f>
        <v xml:space="preserve">YouTube </v>
      </c>
      <c r="D246" s="295" t="str">
        <f>'Digital Plan - UPI'!E177</f>
        <v>Video</v>
      </c>
      <c r="E246" s="406" t="str">
        <f>'Digital Plan - UPI'!F177</f>
        <v xml:space="preserve">Entertainment </v>
      </c>
      <c r="F246" s="407" t="str">
        <f>'Digital Plan - UPI'!G177</f>
        <v>CTV</v>
      </c>
      <c r="G246" s="296" t="str">
        <f>'Digital Plan - UPI'!H177</f>
        <v>Instream</v>
      </c>
      <c r="H246" s="296" t="str">
        <f>'Digital Plan - UPI'!I177</f>
        <v xml:space="preserve">Bumper 6 secs  </v>
      </c>
      <c r="I246" s="297" t="str">
        <f>'Digital Plan - UPI'!J177</f>
        <v>Reff : Targeting Sheet</v>
      </c>
      <c r="J246" s="295" t="str">
        <f>'Digital Plan - UPI'!K177</f>
        <v>CPM</v>
      </c>
      <c r="K246" s="298">
        <f>'Digital Plan - UPI'!L177</f>
        <v>21</v>
      </c>
      <c r="L246" s="299">
        <f>'Digital Plan - UPI'!M177</f>
        <v>45460</v>
      </c>
      <c r="M246" s="299">
        <f>'Digital Plan - UPI'!N177</f>
        <v>45480</v>
      </c>
      <c r="N246" s="298">
        <f>'Digital Plan - UPI'!O177</f>
        <v>35338673.07272727</v>
      </c>
      <c r="O246" s="300" t="str">
        <f>'Digital Plan - UPI'!P177</f>
        <v>-</v>
      </c>
      <c r="P246" s="301">
        <f>'Digital Plan - UPI'!Q177</f>
        <v>0</v>
      </c>
      <c r="Q246" s="298">
        <f>'Digital Plan - UPI'!R177</f>
        <v>0</v>
      </c>
      <c r="R246" s="302">
        <f>'Digital Plan - UPI'!S177</f>
        <v>0.8</v>
      </c>
      <c r="S246" s="303">
        <f>'Digital Plan - UPI'!T177</f>
        <v>28270938.458181817</v>
      </c>
      <c r="T246" s="298">
        <f>'Digital Plan - UPI'!U177</f>
        <v>6544198.7171717165</v>
      </c>
      <c r="U246" s="298">
        <f>'Digital Plan - UPI'!V177</f>
        <v>5.4</v>
      </c>
      <c r="V246" s="304">
        <f>'Digital Plan - UPI'!X177</f>
        <v>110</v>
      </c>
      <c r="W246" s="305">
        <f>'Digital Plan - UPI'!Y177</f>
        <v>3887254.0379999997</v>
      </c>
      <c r="X246" s="305">
        <f>'Digital Plan - UPI'!Z177</f>
        <v>110</v>
      </c>
      <c r="Y246" s="305">
        <f>'Digital Plan - UPI'!AA177</f>
        <v>0</v>
      </c>
      <c r="Z246" s="306">
        <f>'Digital Plan - UPI'!AB177</f>
        <v>7805731</v>
      </c>
      <c r="AA246" s="307">
        <f>'Digital Plan - UPI'!AC177</f>
        <v>0.83838383838383834</v>
      </c>
      <c r="AB246" s="259"/>
      <c r="AC246" s="298"/>
      <c r="AD246" s="298"/>
      <c r="AE246" s="298">
        <f>$N246/3</f>
        <v>11779557.69090909</v>
      </c>
      <c r="AF246" s="298">
        <f t="shared" si="86"/>
        <v>11779557.69090909</v>
      </c>
      <c r="AG246" s="298">
        <f t="shared" si="86"/>
        <v>11779557.69090909</v>
      </c>
      <c r="AH246" s="298"/>
      <c r="AI246" s="298"/>
      <c r="AJ246" s="298"/>
    </row>
    <row r="247" spans="1:36" x14ac:dyDescent="0.35">
      <c r="A247" s="323" t="e">
        <f>'Digital Plan - UPI'!#REF!</f>
        <v>#REF!</v>
      </c>
      <c r="B247" s="293" t="e">
        <f>'Digital Plan - UPI'!#REF!</f>
        <v>#REF!</v>
      </c>
      <c r="C247" s="295" t="e">
        <f>'Digital Plan - UPI'!#REF!</f>
        <v>#REF!</v>
      </c>
      <c r="D247" s="295" t="e">
        <f>'Digital Plan - UPI'!#REF!</f>
        <v>#REF!</v>
      </c>
      <c r="E247" s="406" t="e">
        <f>'Digital Plan - UPI'!#REF!</f>
        <v>#REF!</v>
      </c>
      <c r="F247" s="407" t="e">
        <f>'Digital Plan - UPI'!#REF!</f>
        <v>#REF!</v>
      </c>
      <c r="G247" s="296" t="e">
        <f>'Digital Plan - UPI'!#REF!</f>
        <v>#REF!</v>
      </c>
      <c r="H247" s="296" t="e">
        <f>'Digital Plan - UPI'!#REF!</f>
        <v>#REF!</v>
      </c>
      <c r="I247" s="297" t="e">
        <f>'Digital Plan - UPI'!#REF!</f>
        <v>#REF!</v>
      </c>
      <c r="J247" s="295" t="e">
        <f>'Digital Plan - UPI'!#REF!</f>
        <v>#REF!</v>
      </c>
      <c r="K247" s="298" t="e">
        <f>'Digital Plan - UPI'!#REF!</f>
        <v>#REF!</v>
      </c>
      <c r="L247" s="299" t="e">
        <f>'Digital Plan - UPI'!#REF!</f>
        <v>#REF!</v>
      </c>
      <c r="M247" s="299" t="e">
        <f>'Digital Plan - UPI'!#REF!</f>
        <v>#REF!</v>
      </c>
      <c r="N247" s="298" t="e">
        <f>'Digital Plan - UPI'!#REF!</f>
        <v>#REF!</v>
      </c>
      <c r="O247" s="300" t="e">
        <f>'Digital Plan - UPI'!#REF!</f>
        <v>#REF!</v>
      </c>
      <c r="P247" s="301" t="e">
        <f>'Digital Plan - UPI'!#REF!</f>
        <v>#REF!</v>
      </c>
      <c r="Q247" s="298" t="e">
        <f>'Digital Plan - UPI'!#REF!</f>
        <v>#REF!</v>
      </c>
      <c r="R247" s="302" t="e">
        <f>'Digital Plan - UPI'!#REF!</f>
        <v>#REF!</v>
      </c>
      <c r="S247" s="303" t="e">
        <f>'Digital Plan - UPI'!#REF!</f>
        <v>#REF!</v>
      </c>
      <c r="T247" s="298" t="e">
        <f>'Digital Plan - UPI'!#REF!</f>
        <v>#REF!</v>
      </c>
      <c r="U247" s="298" t="e">
        <f>'Digital Plan - UPI'!#REF!</f>
        <v>#REF!</v>
      </c>
      <c r="V247" s="304" t="e">
        <f>'Digital Plan - UPI'!#REF!</f>
        <v>#REF!</v>
      </c>
      <c r="W247" s="305" t="e">
        <f>'Digital Plan - UPI'!#REF!</f>
        <v>#REF!</v>
      </c>
      <c r="X247" s="305" t="e">
        <f>'Digital Plan - UPI'!#REF!</f>
        <v>#REF!</v>
      </c>
      <c r="Y247" s="305" t="e">
        <f>'Digital Plan - UPI'!#REF!</f>
        <v>#REF!</v>
      </c>
      <c r="Z247" s="306" t="e">
        <f>'Digital Plan - UPI'!#REF!</f>
        <v>#REF!</v>
      </c>
      <c r="AA247" s="307" t="e">
        <f>'Digital Plan - UPI'!#REF!</f>
        <v>#REF!</v>
      </c>
      <c r="AB247" s="259"/>
      <c r="AC247" s="298"/>
      <c r="AD247" s="298"/>
      <c r="AE247" s="298"/>
      <c r="AF247" s="298"/>
      <c r="AG247" s="298"/>
      <c r="AH247" s="298" t="e">
        <f>$N247/3</f>
        <v>#REF!</v>
      </c>
      <c r="AI247" s="298" t="e">
        <f t="shared" si="86"/>
        <v>#REF!</v>
      </c>
      <c r="AJ247" s="298" t="e">
        <f t="shared" si="86"/>
        <v>#REF!</v>
      </c>
    </row>
    <row r="248" spans="1:36" x14ac:dyDescent="0.35">
      <c r="A248" s="323" t="str">
        <f>'Digital Plan - UPI'!B178</f>
        <v>Rest of T57 - Hindi</v>
      </c>
      <c r="B248" s="293" t="str">
        <f>'Digital Plan - UPI'!C178</f>
        <v>Core</v>
      </c>
      <c r="C248" s="264" t="str">
        <f>'Digital Plan - UPI'!D178</f>
        <v>Meta</v>
      </c>
      <c r="D248" s="264" t="str">
        <f>'Digital Plan - UPI'!E178</f>
        <v>Video</v>
      </c>
      <c r="E248" s="404" t="str">
        <f>'Digital Plan - UPI'!F178</f>
        <v xml:space="preserve">Entertainment </v>
      </c>
      <c r="F248" s="404" t="str">
        <f>'Digital Plan - UPI'!G178</f>
        <v xml:space="preserve">Mobile </v>
      </c>
      <c r="G248" s="265" t="str">
        <f>'Digital Plan - UPI'!H178</f>
        <v xml:space="preserve">Instream </v>
      </c>
      <c r="H248" s="265" t="str">
        <f>'Digital Plan - UPI'!I178</f>
        <v>Instream - 6 Sec</v>
      </c>
      <c r="I248" s="308" t="str">
        <f>'Digital Plan - UPI'!J178</f>
        <v>Reff : Targeting Sheet</v>
      </c>
      <c r="J248" s="263" t="str">
        <f>'Digital Plan - UPI'!K178</f>
        <v>CPM</v>
      </c>
      <c r="K248" s="266">
        <f>'Digital Plan - UPI'!L178</f>
        <v>21</v>
      </c>
      <c r="L248" s="267">
        <f>'Digital Plan - UPI'!M178</f>
        <v>45460</v>
      </c>
      <c r="M248" s="267">
        <f>'Digital Plan - UPI'!N178</f>
        <v>45480</v>
      </c>
      <c r="N248" s="266">
        <f>'Digital Plan - UPI'!O178</f>
        <v>7566077.4600000009</v>
      </c>
      <c r="O248" s="268" t="str">
        <f>'Digital Plan - UPI'!P178</f>
        <v>-</v>
      </c>
      <c r="P248" s="269">
        <f>'Digital Plan - UPI'!Q178</f>
        <v>1E-3</v>
      </c>
      <c r="Q248" s="266">
        <f>'Digital Plan - UPI'!R178</f>
        <v>7566.0774600000013</v>
      </c>
      <c r="R248" s="270">
        <f>'Digital Plan - UPI'!S178</f>
        <v>0.7</v>
      </c>
      <c r="S248" s="271">
        <f>'Digital Plan - UPI'!T178</f>
        <v>5296254.2220000001</v>
      </c>
      <c r="T248" s="266">
        <f>'Digital Plan - UPI'!U178</f>
        <v>5044051.6400000006</v>
      </c>
      <c r="U248" s="266">
        <f>'Digital Plan - UPI'!V178</f>
        <v>1.5</v>
      </c>
      <c r="V248" s="272">
        <f>'Digital Plan - UPI'!X178</f>
        <v>70</v>
      </c>
      <c r="W248" s="273">
        <f>'Digital Plan - UPI'!Y178</f>
        <v>529625.42220000015</v>
      </c>
      <c r="X248" s="273">
        <f>'Digital Plan - UPI'!Z178</f>
        <v>70</v>
      </c>
      <c r="Y248" s="273">
        <f>'Digital Plan - UPI'!AA178</f>
        <v>70</v>
      </c>
      <c r="Z248" s="274">
        <f>'Digital Plan - UPI'!AB178</f>
        <v>12610129.1</v>
      </c>
      <c r="AA248" s="275">
        <f>'Digital Plan - UPI'!AC178</f>
        <v>0.4</v>
      </c>
      <c r="AB248" s="259"/>
      <c r="AC248" s="266"/>
      <c r="AD248" s="266"/>
      <c r="AE248" s="266">
        <f>$N248/3</f>
        <v>2522025.8200000003</v>
      </c>
      <c r="AF248" s="266">
        <f t="shared" si="86"/>
        <v>2522025.8200000003</v>
      </c>
      <c r="AG248" s="266">
        <f t="shared" si="86"/>
        <v>2522025.8200000003</v>
      </c>
      <c r="AH248" s="266"/>
      <c r="AI248" s="266"/>
      <c r="AJ248" s="266"/>
    </row>
    <row r="249" spans="1:36" x14ac:dyDescent="0.35">
      <c r="A249" s="323" t="str">
        <f>'Digital Plan - UPI'!B179</f>
        <v>Rest of T57 - Hindi</v>
      </c>
      <c r="B249" s="293" t="str">
        <f>'Digital Plan - UPI'!C179</f>
        <v>Core</v>
      </c>
      <c r="C249" s="264" t="str">
        <f>'Digital Plan - UPI'!D179</f>
        <v xml:space="preserve">YouTube </v>
      </c>
      <c r="D249" s="264" t="str">
        <f>'Digital Plan - UPI'!E179</f>
        <v>Video</v>
      </c>
      <c r="E249" s="404" t="str">
        <f>'Digital Plan - UPI'!F179</f>
        <v xml:space="preserve">Entertainment </v>
      </c>
      <c r="F249" s="404" t="str">
        <f>'Digital Plan - UPI'!G179</f>
        <v xml:space="preserve">Mobile </v>
      </c>
      <c r="G249" s="265" t="str">
        <f>'Digital Plan - UPI'!H179</f>
        <v xml:space="preserve">Instream </v>
      </c>
      <c r="H249" s="265" t="str">
        <f>'Digital Plan - UPI'!I179</f>
        <v xml:space="preserve">Bumper 6 secs  </v>
      </c>
      <c r="I249" s="308" t="str">
        <f>'Digital Plan - UPI'!J179</f>
        <v>Reff : Targeting Sheet</v>
      </c>
      <c r="J249" s="263" t="str">
        <f>'Digital Plan - UPI'!K179</f>
        <v>CPM</v>
      </c>
      <c r="K249" s="266">
        <f>'Digital Plan - UPI'!L179</f>
        <v>21</v>
      </c>
      <c r="L249" s="267">
        <f>'Digital Plan - UPI'!M179</f>
        <v>45460</v>
      </c>
      <c r="M249" s="267">
        <f>'Digital Plan - UPI'!N179</f>
        <v>45480</v>
      </c>
      <c r="N249" s="266">
        <f>'Digital Plan - UPI'!O179</f>
        <v>10199369.125000002</v>
      </c>
      <c r="O249" s="268" t="str">
        <f>'Digital Plan - UPI'!P179</f>
        <v>-</v>
      </c>
      <c r="P249" s="269">
        <f>'Digital Plan - UPI'!Q179</f>
        <v>1E-3</v>
      </c>
      <c r="Q249" s="266">
        <f>'Digital Plan - UPI'!R179</f>
        <v>10199.369125000003</v>
      </c>
      <c r="R249" s="270">
        <f>'Digital Plan - UPI'!S179</f>
        <v>0.8</v>
      </c>
      <c r="S249" s="271">
        <f>'Digital Plan - UPI'!T179</f>
        <v>8159495.3000000017</v>
      </c>
      <c r="T249" s="266">
        <f>'Digital Plan - UPI'!U179</f>
        <v>7285263.6607142873</v>
      </c>
      <c r="U249" s="266">
        <f>'Digital Plan - UPI'!V179</f>
        <v>1.4</v>
      </c>
      <c r="V249" s="272">
        <f>'Digital Plan - UPI'!X179</f>
        <v>80</v>
      </c>
      <c r="W249" s="273">
        <f>'Digital Plan - UPI'!Y179</f>
        <v>815949.53</v>
      </c>
      <c r="X249" s="273">
        <f>'Digital Plan - UPI'!Z179</f>
        <v>79.999999999999986</v>
      </c>
      <c r="Y249" s="273">
        <f>'Digital Plan - UPI'!AA179</f>
        <v>79.999999999999986</v>
      </c>
      <c r="Z249" s="274">
        <f>'Digital Plan - UPI'!AB179</f>
        <v>14835446</v>
      </c>
      <c r="AA249" s="275">
        <f>'Digital Plan - UPI'!AC179</f>
        <v>0.49107142857142866</v>
      </c>
      <c r="AB249" s="259"/>
      <c r="AC249" s="266"/>
      <c r="AD249" s="266"/>
      <c r="AE249" s="266"/>
      <c r="AF249" s="266"/>
      <c r="AG249" s="266"/>
      <c r="AH249" s="266">
        <f>$N249/3</f>
        <v>3399789.708333334</v>
      </c>
      <c r="AI249" s="266">
        <f t="shared" si="86"/>
        <v>3399789.708333334</v>
      </c>
      <c r="AJ249" s="266">
        <f t="shared" si="86"/>
        <v>3399789.708333334</v>
      </c>
    </row>
    <row r="250" spans="1:36" x14ac:dyDescent="0.35">
      <c r="A250" s="323" t="e">
        <f>'Digital Plan - UPI'!#REF!</f>
        <v>#REF!</v>
      </c>
      <c r="B250" s="293" t="e">
        <f>'Digital Plan - UPI'!#REF!</f>
        <v>#REF!</v>
      </c>
      <c r="C250" s="294" t="e">
        <f>'Digital Plan - UPI'!#REF!</f>
        <v>#REF!</v>
      </c>
      <c r="D250" s="294" t="e">
        <f>'Digital Plan - UPI'!#REF!</f>
        <v>#REF!</v>
      </c>
      <c r="E250" s="406" t="e">
        <f>'Digital Plan - UPI'!#REF!</f>
        <v>#REF!</v>
      </c>
      <c r="F250" s="406" t="e">
        <f>'Digital Plan - UPI'!#REF!</f>
        <v>#REF!</v>
      </c>
      <c r="G250" s="296" t="e">
        <f>'Digital Plan - UPI'!#REF!</f>
        <v>#REF!</v>
      </c>
      <c r="H250" s="296" t="e">
        <f>'Digital Plan - UPI'!#REF!</f>
        <v>#REF!</v>
      </c>
      <c r="I250" s="297" t="e">
        <f>'Digital Plan - UPI'!#REF!</f>
        <v>#REF!</v>
      </c>
      <c r="J250" s="295" t="e">
        <f>'Digital Plan - UPI'!#REF!</f>
        <v>#REF!</v>
      </c>
      <c r="K250" s="298" t="e">
        <f>'Digital Plan - UPI'!#REF!</f>
        <v>#REF!</v>
      </c>
      <c r="L250" s="299" t="e">
        <f>'Digital Plan - UPI'!#REF!</f>
        <v>#REF!</v>
      </c>
      <c r="M250" s="299" t="e">
        <f>'Digital Plan - UPI'!#REF!</f>
        <v>#REF!</v>
      </c>
      <c r="N250" s="298" t="e">
        <f>'Digital Plan - UPI'!#REF!</f>
        <v>#REF!</v>
      </c>
      <c r="O250" s="300" t="e">
        <f>'Digital Plan - UPI'!#REF!</f>
        <v>#REF!</v>
      </c>
      <c r="P250" s="301" t="e">
        <f>'Digital Plan - UPI'!#REF!</f>
        <v>#REF!</v>
      </c>
      <c r="Q250" s="298" t="e">
        <f>'Digital Plan - UPI'!#REF!</f>
        <v>#REF!</v>
      </c>
      <c r="R250" s="302" t="e">
        <f>'Digital Plan - UPI'!#REF!</f>
        <v>#REF!</v>
      </c>
      <c r="S250" s="303" t="e">
        <f>'Digital Plan - UPI'!#REF!</f>
        <v>#REF!</v>
      </c>
      <c r="T250" s="298" t="e">
        <f>'Digital Plan - UPI'!#REF!</f>
        <v>#REF!</v>
      </c>
      <c r="U250" s="298" t="e">
        <f>'Digital Plan - UPI'!#REF!</f>
        <v>#REF!</v>
      </c>
      <c r="V250" s="304" t="e">
        <f>'Digital Plan - UPI'!#REF!</f>
        <v>#REF!</v>
      </c>
      <c r="W250" s="305" t="e">
        <f>'Digital Plan - UPI'!#REF!</f>
        <v>#REF!</v>
      </c>
      <c r="X250" s="305" t="e">
        <f>'Digital Plan - UPI'!#REF!</f>
        <v>#REF!</v>
      </c>
      <c r="Y250" s="305" t="e">
        <f>'Digital Plan - UPI'!#REF!</f>
        <v>#REF!</v>
      </c>
      <c r="Z250" s="306" t="e">
        <f>'Digital Plan - UPI'!#REF!</f>
        <v>#REF!</v>
      </c>
      <c r="AA250" s="307" t="e">
        <f>'Digital Plan - UPI'!#REF!</f>
        <v>#REF!</v>
      </c>
      <c r="AB250" s="259"/>
      <c r="AC250" s="298" t="e">
        <f>N250/2</f>
        <v>#REF!</v>
      </c>
      <c r="AD250" s="298" t="e">
        <f>N250/2</f>
        <v>#REF!</v>
      </c>
      <c r="AE250" s="298"/>
      <c r="AF250" s="298"/>
      <c r="AG250" s="298"/>
      <c r="AH250" s="298"/>
      <c r="AI250" s="298"/>
      <c r="AJ250" s="298"/>
    </row>
    <row r="251" spans="1:36" x14ac:dyDescent="0.35">
      <c r="A251" s="323" t="e">
        <f>'Digital Plan - UPI'!#REF!</f>
        <v>#REF!</v>
      </c>
      <c r="B251" s="293" t="e">
        <f>'Digital Plan - UPI'!#REF!</f>
        <v>#REF!</v>
      </c>
      <c r="C251" s="295" t="e">
        <f>'Digital Plan - UPI'!#REF!</f>
        <v>#REF!</v>
      </c>
      <c r="D251" s="295" t="e">
        <f>'Digital Plan - UPI'!#REF!</f>
        <v>#REF!</v>
      </c>
      <c r="E251" s="406" t="e">
        <f>'Digital Plan - UPI'!#REF!</f>
        <v>#REF!</v>
      </c>
      <c r="F251" s="407" t="e">
        <f>'Digital Plan - UPI'!#REF!</f>
        <v>#REF!</v>
      </c>
      <c r="G251" s="296" t="e">
        <f>'Digital Plan - UPI'!#REF!</f>
        <v>#REF!</v>
      </c>
      <c r="H251" s="296" t="e">
        <f>'Digital Plan - UPI'!#REF!</f>
        <v>#REF!</v>
      </c>
      <c r="I251" s="297" t="e">
        <f>'Digital Plan - UPI'!#REF!</f>
        <v>#REF!</v>
      </c>
      <c r="J251" s="295" t="e">
        <f>'Digital Plan - UPI'!#REF!</f>
        <v>#REF!</v>
      </c>
      <c r="K251" s="298" t="e">
        <f>'Digital Plan - UPI'!#REF!</f>
        <v>#REF!</v>
      </c>
      <c r="L251" s="299" t="e">
        <f>'Digital Plan - UPI'!#REF!</f>
        <v>#REF!</v>
      </c>
      <c r="M251" s="299" t="e">
        <f>'Digital Plan - UPI'!#REF!</f>
        <v>#REF!</v>
      </c>
      <c r="N251" s="298" t="e">
        <f>'Digital Plan - UPI'!#REF!</f>
        <v>#REF!</v>
      </c>
      <c r="O251" s="300" t="e">
        <f>'Digital Plan - UPI'!#REF!</f>
        <v>#REF!</v>
      </c>
      <c r="P251" s="301" t="e">
        <f>'Digital Plan - UPI'!#REF!</f>
        <v>#REF!</v>
      </c>
      <c r="Q251" s="298" t="e">
        <f>'Digital Plan - UPI'!#REF!</f>
        <v>#REF!</v>
      </c>
      <c r="R251" s="302" t="e">
        <f>'Digital Plan - UPI'!#REF!</f>
        <v>#REF!</v>
      </c>
      <c r="S251" s="303" t="e">
        <f>'Digital Plan - UPI'!#REF!</f>
        <v>#REF!</v>
      </c>
      <c r="T251" s="298" t="e">
        <f>'Digital Plan - UPI'!#REF!</f>
        <v>#REF!</v>
      </c>
      <c r="U251" s="298" t="e">
        <f>'Digital Plan - UPI'!#REF!</f>
        <v>#REF!</v>
      </c>
      <c r="V251" s="304" t="e">
        <f>'Digital Plan - UPI'!#REF!</f>
        <v>#REF!</v>
      </c>
      <c r="W251" s="305" t="e">
        <f>'Digital Plan - UPI'!#REF!</f>
        <v>#REF!</v>
      </c>
      <c r="X251" s="305" t="e">
        <f>'Digital Plan - UPI'!#REF!</f>
        <v>#REF!</v>
      </c>
      <c r="Y251" s="305" t="e">
        <f>'Digital Plan - UPI'!#REF!</f>
        <v>#REF!</v>
      </c>
      <c r="Z251" s="306" t="e">
        <f>'Digital Plan - UPI'!#REF!</f>
        <v>#REF!</v>
      </c>
      <c r="AA251" s="307" t="e">
        <f>'Digital Plan - UPI'!#REF!</f>
        <v>#REF!</v>
      </c>
      <c r="AB251" s="259"/>
      <c r="AC251" s="298" t="e">
        <f>N251/2</f>
        <v>#REF!</v>
      </c>
      <c r="AD251" s="298" t="e">
        <f>N251/2</f>
        <v>#REF!</v>
      </c>
      <c r="AE251" s="298"/>
      <c r="AF251" s="298"/>
      <c r="AG251" s="298"/>
      <c r="AH251" s="298"/>
      <c r="AI251" s="298"/>
      <c r="AJ251" s="298"/>
    </row>
    <row r="252" spans="1:36" x14ac:dyDescent="0.35">
      <c r="A252" s="323" t="str">
        <f>'Digital Plan - UPI'!B180</f>
        <v>Rest of T57 - Tamil</v>
      </c>
      <c r="B252" s="293" t="str">
        <f>'Digital Plan - UPI'!C180</f>
        <v>Core - CTV</v>
      </c>
      <c r="C252" s="295" t="str">
        <f>'Digital Plan - UPI'!D180</f>
        <v>Connected TV PMP</v>
      </c>
      <c r="D252" s="295" t="str">
        <f>'Digital Plan - UPI'!E180</f>
        <v>Video</v>
      </c>
      <c r="E252" s="406" t="str">
        <f>'Digital Plan - UPI'!F180</f>
        <v xml:space="preserve">Entertainment </v>
      </c>
      <c r="F252" s="407" t="str">
        <f>'Digital Plan - UPI'!G180</f>
        <v>CTV</v>
      </c>
      <c r="G252" s="296" t="str">
        <f>'Digital Plan - UPI'!H180</f>
        <v>Instream</v>
      </c>
      <c r="H252" s="296" t="str">
        <f>'Digital Plan - UPI'!I180</f>
        <v xml:space="preserve">Video-6 Sec </v>
      </c>
      <c r="I252" s="297" t="str">
        <f>'Digital Plan - UPI'!J180</f>
        <v>Reff : Targeting Sheet</v>
      </c>
      <c r="J252" s="295" t="str">
        <f>'Digital Plan - UPI'!K180</f>
        <v>CPM</v>
      </c>
      <c r="K252" s="298">
        <f>'Digital Plan - UPI'!L180</f>
        <v>21</v>
      </c>
      <c r="L252" s="299">
        <f>'Digital Plan - UPI'!M180</f>
        <v>45460</v>
      </c>
      <c r="M252" s="299">
        <f>'Digital Plan - UPI'!N180</f>
        <v>45480</v>
      </c>
      <c r="N252" s="298">
        <f>'Digital Plan - UPI'!O180</f>
        <v>632105.424</v>
      </c>
      <c r="O252" s="300" t="str">
        <f>'Digital Plan - UPI'!P180</f>
        <v>-</v>
      </c>
      <c r="P252" s="301">
        <f>'Digital Plan - UPI'!Q180</f>
        <v>0</v>
      </c>
      <c r="Q252" s="298">
        <f>'Digital Plan - UPI'!R180</f>
        <v>0</v>
      </c>
      <c r="R252" s="302">
        <f>'Digital Plan - UPI'!S180</f>
        <v>0.85</v>
      </c>
      <c r="S252" s="303">
        <f>'Digital Plan - UPI'!T180</f>
        <v>537289.61040000001</v>
      </c>
      <c r="T252" s="298">
        <f>'Digital Plan - UPI'!U180</f>
        <v>154927.79999999999</v>
      </c>
      <c r="U252" s="298">
        <f>'Digital Plan - UPI'!V180</f>
        <v>4.08</v>
      </c>
      <c r="V252" s="304">
        <f>'Digital Plan - UPI'!X180</f>
        <v>125</v>
      </c>
      <c r="W252" s="305">
        <f>'Digital Plan - UPI'!Y180</f>
        <v>79013.178</v>
      </c>
      <c r="X252" s="305">
        <f>'Digital Plan - UPI'!Z180</f>
        <v>125</v>
      </c>
      <c r="Y252" s="305">
        <f>'Digital Plan - UPI'!AA180</f>
        <v>0</v>
      </c>
      <c r="Z252" s="306">
        <f>'Digital Plan - UPI'!AB180</f>
        <v>186660</v>
      </c>
      <c r="AA252" s="307">
        <f>'Digital Plan - UPI'!AC180</f>
        <v>0.83</v>
      </c>
      <c r="AB252" s="259"/>
      <c r="AC252" s="298">
        <f>N252/2</f>
        <v>316052.712</v>
      </c>
      <c r="AD252" s="298">
        <f>N252/2</f>
        <v>316052.712</v>
      </c>
      <c r="AE252" s="298"/>
      <c r="AF252" s="298"/>
      <c r="AG252" s="298"/>
      <c r="AH252" s="298"/>
      <c r="AI252" s="298"/>
      <c r="AJ252" s="298"/>
    </row>
    <row r="253" spans="1:36" x14ac:dyDescent="0.35">
      <c r="A253" s="323" t="str">
        <f>'Digital Plan - UPI'!B180</f>
        <v>Rest of T57 - Tamil</v>
      </c>
      <c r="B253" s="293" t="str">
        <f>'Digital Plan - UPI'!C180</f>
        <v>Core - CTV</v>
      </c>
      <c r="C253" s="294" t="str">
        <f>'Digital Plan - UPI'!D180</f>
        <v>Connected TV PMP</v>
      </c>
      <c r="D253" s="294" t="str">
        <f>'Digital Plan - UPI'!E180</f>
        <v>Video</v>
      </c>
      <c r="E253" s="406" t="str">
        <f>'Digital Plan - UPI'!F180</f>
        <v xml:space="preserve">Entertainment </v>
      </c>
      <c r="F253" s="406" t="str">
        <f>'Digital Plan - UPI'!G180</f>
        <v>CTV</v>
      </c>
      <c r="G253" s="296" t="str">
        <f>'Digital Plan - UPI'!H180</f>
        <v>Instream</v>
      </c>
      <c r="H253" s="296" t="str">
        <f>'Digital Plan - UPI'!I180</f>
        <v xml:space="preserve">Video-6 Sec </v>
      </c>
      <c r="I253" s="297" t="str">
        <f>'Digital Plan - UPI'!J180</f>
        <v>Reff : Targeting Sheet</v>
      </c>
      <c r="J253" s="295" t="str">
        <f>'Digital Plan - UPI'!K180</f>
        <v>CPM</v>
      </c>
      <c r="K253" s="298">
        <f>'Digital Plan - UPI'!L180</f>
        <v>21</v>
      </c>
      <c r="L253" s="299">
        <f>'Digital Plan - UPI'!M180</f>
        <v>45460</v>
      </c>
      <c r="M253" s="299">
        <f>'Digital Plan - UPI'!N180</f>
        <v>45480</v>
      </c>
      <c r="N253" s="298">
        <f>'Digital Plan - UPI'!O180</f>
        <v>632105.424</v>
      </c>
      <c r="O253" s="300" t="str">
        <f>'Digital Plan - UPI'!P180</f>
        <v>-</v>
      </c>
      <c r="P253" s="301">
        <f>'Digital Plan - UPI'!Q180</f>
        <v>0</v>
      </c>
      <c r="Q253" s="298">
        <f>'Digital Plan - UPI'!R180</f>
        <v>0</v>
      </c>
      <c r="R253" s="302">
        <f>'Digital Plan - UPI'!S180</f>
        <v>0.85</v>
      </c>
      <c r="S253" s="303">
        <f>'Digital Plan - UPI'!T180</f>
        <v>537289.61040000001</v>
      </c>
      <c r="T253" s="298">
        <f>'Digital Plan - UPI'!U180</f>
        <v>154927.79999999999</v>
      </c>
      <c r="U253" s="298">
        <f>'Digital Plan - UPI'!V180</f>
        <v>4.08</v>
      </c>
      <c r="V253" s="304">
        <f>'Digital Plan - UPI'!X180</f>
        <v>125</v>
      </c>
      <c r="W253" s="305">
        <f>'Digital Plan - UPI'!Y180</f>
        <v>79013.178</v>
      </c>
      <c r="X253" s="305">
        <f>'Digital Plan - UPI'!Z180</f>
        <v>125</v>
      </c>
      <c r="Y253" s="305">
        <f>'Digital Plan - UPI'!AA180</f>
        <v>0</v>
      </c>
      <c r="Z253" s="306">
        <f>'Digital Plan - UPI'!AB180</f>
        <v>186660</v>
      </c>
      <c r="AA253" s="307">
        <f>'Digital Plan - UPI'!AC180</f>
        <v>0.83</v>
      </c>
      <c r="AB253" s="259"/>
      <c r="AC253" s="298"/>
      <c r="AD253" s="298"/>
      <c r="AE253" s="298">
        <f>$N253/3</f>
        <v>210701.80799999999</v>
      </c>
      <c r="AF253" s="298">
        <f t="shared" ref="AF253:AJ258" si="87">$N253/3</f>
        <v>210701.80799999999</v>
      </c>
      <c r="AG253" s="298">
        <f t="shared" si="87"/>
        <v>210701.80799999999</v>
      </c>
      <c r="AH253" s="298"/>
      <c r="AI253" s="298"/>
      <c r="AJ253" s="298"/>
    </row>
    <row r="254" spans="1:36" x14ac:dyDescent="0.35">
      <c r="A254" s="323" t="e">
        <f>'Digital Plan - UPI'!#REF!</f>
        <v>#REF!</v>
      </c>
      <c r="B254" s="293" t="e">
        <f>'Digital Plan - UPI'!#REF!</f>
        <v>#REF!</v>
      </c>
      <c r="C254" s="294" t="e">
        <f>'Digital Plan - UPI'!#REF!</f>
        <v>#REF!</v>
      </c>
      <c r="D254" s="294" t="e">
        <f>'Digital Plan - UPI'!#REF!</f>
        <v>#REF!</v>
      </c>
      <c r="E254" s="406" t="e">
        <f>'Digital Plan - UPI'!#REF!</f>
        <v>#REF!</v>
      </c>
      <c r="F254" s="406" t="e">
        <f>'Digital Plan - UPI'!#REF!</f>
        <v>#REF!</v>
      </c>
      <c r="G254" s="296" t="e">
        <f>'Digital Plan - UPI'!#REF!</f>
        <v>#REF!</v>
      </c>
      <c r="H254" s="296" t="e">
        <f>'Digital Plan - UPI'!#REF!</f>
        <v>#REF!</v>
      </c>
      <c r="I254" s="297" t="e">
        <f>'Digital Plan - UPI'!#REF!</f>
        <v>#REF!</v>
      </c>
      <c r="J254" s="295" t="e">
        <f>'Digital Plan - UPI'!#REF!</f>
        <v>#REF!</v>
      </c>
      <c r="K254" s="298" t="e">
        <f>'Digital Plan - UPI'!#REF!</f>
        <v>#REF!</v>
      </c>
      <c r="L254" s="299" t="e">
        <f>'Digital Plan - UPI'!#REF!</f>
        <v>#REF!</v>
      </c>
      <c r="M254" s="299" t="e">
        <f>'Digital Plan - UPI'!#REF!</f>
        <v>#REF!</v>
      </c>
      <c r="N254" s="298" t="e">
        <f>'Digital Plan - UPI'!#REF!</f>
        <v>#REF!</v>
      </c>
      <c r="O254" s="300" t="e">
        <f>'Digital Plan - UPI'!#REF!</f>
        <v>#REF!</v>
      </c>
      <c r="P254" s="301" t="e">
        <f>'Digital Plan - UPI'!#REF!</f>
        <v>#REF!</v>
      </c>
      <c r="Q254" s="298" t="e">
        <f>'Digital Plan - UPI'!#REF!</f>
        <v>#REF!</v>
      </c>
      <c r="R254" s="302" t="e">
        <f>'Digital Plan - UPI'!#REF!</f>
        <v>#REF!</v>
      </c>
      <c r="S254" s="303" t="e">
        <f>'Digital Plan - UPI'!#REF!</f>
        <v>#REF!</v>
      </c>
      <c r="T254" s="298" t="e">
        <f>'Digital Plan - UPI'!#REF!</f>
        <v>#REF!</v>
      </c>
      <c r="U254" s="298" t="e">
        <f>'Digital Plan - UPI'!#REF!</f>
        <v>#REF!</v>
      </c>
      <c r="V254" s="304" t="e">
        <f>'Digital Plan - UPI'!#REF!</f>
        <v>#REF!</v>
      </c>
      <c r="W254" s="305" t="e">
        <f>'Digital Plan - UPI'!#REF!</f>
        <v>#REF!</v>
      </c>
      <c r="X254" s="305" t="e">
        <f>'Digital Plan - UPI'!#REF!</f>
        <v>#REF!</v>
      </c>
      <c r="Y254" s="305" t="e">
        <f>'Digital Plan - UPI'!#REF!</f>
        <v>#REF!</v>
      </c>
      <c r="Z254" s="306" t="e">
        <f>'Digital Plan - UPI'!#REF!</f>
        <v>#REF!</v>
      </c>
      <c r="AA254" s="307" t="e">
        <f>'Digital Plan - UPI'!#REF!</f>
        <v>#REF!</v>
      </c>
      <c r="AB254" s="259"/>
      <c r="AC254" s="298"/>
      <c r="AD254" s="298"/>
      <c r="AE254" s="298"/>
      <c r="AF254" s="298"/>
      <c r="AG254" s="298"/>
      <c r="AH254" s="298" t="e">
        <f>$N254/3</f>
        <v>#REF!</v>
      </c>
      <c r="AI254" s="298" t="e">
        <f t="shared" si="87"/>
        <v>#REF!</v>
      </c>
      <c r="AJ254" s="298" t="e">
        <f t="shared" si="87"/>
        <v>#REF!</v>
      </c>
    </row>
    <row r="255" spans="1:36" x14ac:dyDescent="0.35">
      <c r="A255" s="323" t="str">
        <f>'Digital Plan - UPI'!B181</f>
        <v>Rest of T57 - Tamil</v>
      </c>
      <c r="B255" s="293" t="str">
        <f>'Digital Plan - UPI'!C181</f>
        <v>Core - CTV</v>
      </c>
      <c r="C255" s="295" t="str">
        <f>'Digital Plan - UPI'!D181</f>
        <v xml:space="preserve">YouTube </v>
      </c>
      <c r="D255" s="295" t="str">
        <f>'Digital Plan - UPI'!E181</f>
        <v>Video</v>
      </c>
      <c r="E255" s="406" t="str">
        <f>'Digital Plan - UPI'!F181</f>
        <v xml:space="preserve">Entertainment </v>
      </c>
      <c r="F255" s="407" t="str">
        <f>'Digital Plan - UPI'!G181</f>
        <v>CTV</v>
      </c>
      <c r="G255" s="296" t="str">
        <f>'Digital Plan - UPI'!H181</f>
        <v>Instream</v>
      </c>
      <c r="H255" s="296" t="str">
        <f>'Digital Plan - UPI'!I181</f>
        <v xml:space="preserve">Bumper 6 secs  </v>
      </c>
      <c r="I255" s="297" t="str">
        <f>'Digital Plan - UPI'!J181</f>
        <v>Reff : Targeting Sheet</v>
      </c>
      <c r="J255" s="295" t="str">
        <f>'Digital Plan - UPI'!K181</f>
        <v>CPM</v>
      </c>
      <c r="K255" s="298">
        <f>'Digital Plan - UPI'!L181</f>
        <v>21</v>
      </c>
      <c r="L255" s="299">
        <f>'Digital Plan - UPI'!M181</f>
        <v>45460</v>
      </c>
      <c r="M255" s="299">
        <f>'Digital Plan - UPI'!N181</f>
        <v>45480</v>
      </c>
      <c r="N255" s="298">
        <f>'Digital Plan - UPI'!O181</f>
        <v>2615554.8545454545</v>
      </c>
      <c r="O255" s="300" t="str">
        <f>'Digital Plan - UPI'!P181</f>
        <v>-</v>
      </c>
      <c r="P255" s="301">
        <f>'Digital Plan - UPI'!Q181</f>
        <v>0</v>
      </c>
      <c r="Q255" s="298">
        <f>'Digital Plan - UPI'!R181</f>
        <v>0</v>
      </c>
      <c r="R255" s="302">
        <f>'Digital Plan - UPI'!S181</f>
        <v>0.8</v>
      </c>
      <c r="S255" s="303">
        <f>'Digital Plan - UPI'!T181</f>
        <v>2092443.8836363638</v>
      </c>
      <c r="T255" s="298">
        <f>'Digital Plan - UPI'!U181</f>
        <v>484362.01010101003</v>
      </c>
      <c r="U255" s="298">
        <f>'Digital Plan - UPI'!V181</f>
        <v>5.4</v>
      </c>
      <c r="V255" s="304">
        <f>'Digital Plan - UPI'!X181</f>
        <v>110</v>
      </c>
      <c r="W255" s="305">
        <f>'Digital Plan - UPI'!Y181</f>
        <v>287711.03399999999</v>
      </c>
      <c r="X255" s="305">
        <f>'Digital Plan - UPI'!Z181</f>
        <v>110</v>
      </c>
      <c r="Y255" s="305">
        <f>'Digital Plan - UPI'!AA181</f>
        <v>0</v>
      </c>
      <c r="Z255" s="306">
        <f>'Digital Plan - UPI'!AB181</f>
        <v>577733</v>
      </c>
      <c r="AA255" s="307">
        <f>'Digital Plan - UPI'!AC181</f>
        <v>0.83838383838383823</v>
      </c>
      <c r="AB255" s="259"/>
      <c r="AC255" s="298"/>
      <c r="AD255" s="298"/>
      <c r="AE255" s="298">
        <f>$N255/3</f>
        <v>871851.61818181816</v>
      </c>
      <c r="AF255" s="298">
        <f t="shared" si="87"/>
        <v>871851.61818181816</v>
      </c>
      <c r="AG255" s="298">
        <f t="shared" si="87"/>
        <v>871851.61818181816</v>
      </c>
      <c r="AH255" s="298"/>
      <c r="AI255" s="298"/>
      <c r="AJ255" s="298"/>
    </row>
    <row r="256" spans="1:36" x14ac:dyDescent="0.35">
      <c r="A256" s="323" t="e">
        <f>'Digital Plan - UPI'!#REF!</f>
        <v>#REF!</v>
      </c>
      <c r="B256" s="293" t="e">
        <f>'Digital Plan - UPI'!#REF!</f>
        <v>#REF!</v>
      </c>
      <c r="C256" s="295" t="e">
        <f>'Digital Plan - UPI'!#REF!</f>
        <v>#REF!</v>
      </c>
      <c r="D256" s="295" t="e">
        <f>'Digital Plan - UPI'!#REF!</f>
        <v>#REF!</v>
      </c>
      <c r="E256" s="406" t="e">
        <f>'Digital Plan - UPI'!#REF!</f>
        <v>#REF!</v>
      </c>
      <c r="F256" s="407" t="e">
        <f>'Digital Plan - UPI'!#REF!</f>
        <v>#REF!</v>
      </c>
      <c r="G256" s="296" t="e">
        <f>'Digital Plan - UPI'!#REF!</f>
        <v>#REF!</v>
      </c>
      <c r="H256" s="296" t="e">
        <f>'Digital Plan - UPI'!#REF!</f>
        <v>#REF!</v>
      </c>
      <c r="I256" s="297" t="e">
        <f>'Digital Plan - UPI'!#REF!</f>
        <v>#REF!</v>
      </c>
      <c r="J256" s="295" t="e">
        <f>'Digital Plan - UPI'!#REF!</f>
        <v>#REF!</v>
      </c>
      <c r="K256" s="298" t="e">
        <f>'Digital Plan - UPI'!#REF!</f>
        <v>#REF!</v>
      </c>
      <c r="L256" s="299" t="e">
        <f>'Digital Plan - UPI'!#REF!</f>
        <v>#REF!</v>
      </c>
      <c r="M256" s="299" t="e">
        <f>'Digital Plan - UPI'!#REF!</f>
        <v>#REF!</v>
      </c>
      <c r="N256" s="298" t="e">
        <f>'Digital Plan - UPI'!#REF!</f>
        <v>#REF!</v>
      </c>
      <c r="O256" s="300" t="e">
        <f>'Digital Plan - UPI'!#REF!</f>
        <v>#REF!</v>
      </c>
      <c r="P256" s="301" t="e">
        <f>'Digital Plan - UPI'!#REF!</f>
        <v>#REF!</v>
      </c>
      <c r="Q256" s="298" t="e">
        <f>'Digital Plan - UPI'!#REF!</f>
        <v>#REF!</v>
      </c>
      <c r="R256" s="302" t="e">
        <f>'Digital Plan - UPI'!#REF!</f>
        <v>#REF!</v>
      </c>
      <c r="S256" s="303" t="e">
        <f>'Digital Plan - UPI'!#REF!</f>
        <v>#REF!</v>
      </c>
      <c r="T256" s="298" t="e">
        <f>'Digital Plan - UPI'!#REF!</f>
        <v>#REF!</v>
      </c>
      <c r="U256" s="298" t="e">
        <f>'Digital Plan - UPI'!#REF!</f>
        <v>#REF!</v>
      </c>
      <c r="V256" s="304" t="e">
        <f>'Digital Plan - UPI'!#REF!</f>
        <v>#REF!</v>
      </c>
      <c r="W256" s="305" t="e">
        <f>'Digital Plan - UPI'!#REF!</f>
        <v>#REF!</v>
      </c>
      <c r="X256" s="305" t="e">
        <f>'Digital Plan - UPI'!#REF!</f>
        <v>#REF!</v>
      </c>
      <c r="Y256" s="305" t="e">
        <f>'Digital Plan - UPI'!#REF!</f>
        <v>#REF!</v>
      </c>
      <c r="Z256" s="306" t="e">
        <f>'Digital Plan - UPI'!#REF!</f>
        <v>#REF!</v>
      </c>
      <c r="AA256" s="307" t="e">
        <f>'Digital Plan - UPI'!#REF!</f>
        <v>#REF!</v>
      </c>
      <c r="AB256" s="259"/>
      <c r="AC256" s="298"/>
      <c r="AD256" s="298"/>
      <c r="AE256" s="298"/>
      <c r="AF256" s="298"/>
      <c r="AG256" s="298"/>
      <c r="AH256" s="298" t="e">
        <f>$N256/3</f>
        <v>#REF!</v>
      </c>
      <c r="AI256" s="298" t="e">
        <f t="shared" si="87"/>
        <v>#REF!</v>
      </c>
      <c r="AJ256" s="298" t="e">
        <f t="shared" si="87"/>
        <v>#REF!</v>
      </c>
    </row>
    <row r="257" spans="1:36" x14ac:dyDescent="0.35">
      <c r="A257" s="323" t="str">
        <f>'Digital Plan - UPI'!B182</f>
        <v>Rest of T57 - Tamil</v>
      </c>
      <c r="B257" s="293" t="str">
        <f>'Digital Plan - UPI'!C182</f>
        <v>Core</v>
      </c>
      <c r="C257" s="264" t="str">
        <f>'Digital Plan - UPI'!D182</f>
        <v>Meta</v>
      </c>
      <c r="D257" s="264" t="str">
        <f>'Digital Plan - UPI'!E182</f>
        <v>Video</v>
      </c>
      <c r="E257" s="404" t="str">
        <f>'Digital Plan - UPI'!F182</f>
        <v xml:space="preserve">Entertainment </v>
      </c>
      <c r="F257" s="404" t="str">
        <f>'Digital Plan - UPI'!G182</f>
        <v xml:space="preserve">Mobile </v>
      </c>
      <c r="G257" s="265" t="str">
        <f>'Digital Plan - UPI'!H182</f>
        <v xml:space="preserve">Instream </v>
      </c>
      <c r="H257" s="265" t="str">
        <f>'Digital Plan - UPI'!I182</f>
        <v>Instream - 6 Sec</v>
      </c>
      <c r="I257" s="308" t="str">
        <f>'Digital Plan - UPI'!J182</f>
        <v>Reff : Targeting Sheet</v>
      </c>
      <c r="J257" s="263" t="str">
        <f>'Digital Plan - UPI'!K182</f>
        <v>CPM</v>
      </c>
      <c r="K257" s="266">
        <f>'Digital Plan - UPI'!L182</f>
        <v>21</v>
      </c>
      <c r="L257" s="267">
        <f>'Digital Plan - UPI'!M182</f>
        <v>45460</v>
      </c>
      <c r="M257" s="267">
        <f>'Digital Plan - UPI'!N182</f>
        <v>45480</v>
      </c>
      <c r="N257" s="266">
        <f>'Digital Plan - UPI'!O182</f>
        <v>561060.17999999993</v>
      </c>
      <c r="O257" s="268" t="str">
        <f>'Digital Plan - UPI'!P182</f>
        <v>-</v>
      </c>
      <c r="P257" s="269">
        <f>'Digital Plan - UPI'!Q182</f>
        <v>1E-3</v>
      </c>
      <c r="Q257" s="266">
        <f>'Digital Plan - UPI'!R182</f>
        <v>561.06017999999995</v>
      </c>
      <c r="R257" s="270">
        <f>'Digital Plan - UPI'!S182</f>
        <v>0.7</v>
      </c>
      <c r="S257" s="271">
        <f>'Digital Plan - UPI'!T182</f>
        <v>392742.12599999993</v>
      </c>
      <c r="T257" s="266">
        <f>'Digital Plan - UPI'!U182</f>
        <v>374040.12</v>
      </c>
      <c r="U257" s="266">
        <f>'Digital Plan - UPI'!V182</f>
        <v>1.5</v>
      </c>
      <c r="V257" s="272">
        <f>'Digital Plan - UPI'!X182</f>
        <v>70</v>
      </c>
      <c r="W257" s="273">
        <f>'Digital Plan - UPI'!Y182</f>
        <v>39274.212599999999</v>
      </c>
      <c r="X257" s="273">
        <f>'Digital Plan - UPI'!Z182</f>
        <v>70</v>
      </c>
      <c r="Y257" s="273">
        <f>'Digital Plan - UPI'!AA182</f>
        <v>70</v>
      </c>
      <c r="Z257" s="274">
        <f>'Digital Plan - UPI'!AB182</f>
        <v>935100.29999999993</v>
      </c>
      <c r="AA257" s="275">
        <f>'Digital Plan - UPI'!AC182</f>
        <v>0.4</v>
      </c>
      <c r="AB257" s="259"/>
      <c r="AC257" s="266"/>
      <c r="AD257" s="266"/>
      <c r="AE257" s="266">
        <f>$N257/3</f>
        <v>187020.05999999997</v>
      </c>
      <c r="AF257" s="266">
        <f t="shared" si="87"/>
        <v>187020.05999999997</v>
      </c>
      <c r="AG257" s="266">
        <f t="shared" si="87"/>
        <v>187020.05999999997</v>
      </c>
      <c r="AH257" s="266"/>
      <c r="AI257" s="266"/>
      <c r="AJ257" s="266"/>
    </row>
    <row r="258" spans="1:36" x14ac:dyDescent="0.35">
      <c r="A258" s="323" t="str">
        <f>'Digital Plan - UPI'!B183</f>
        <v>Rest of T57 - Tamil</v>
      </c>
      <c r="B258" s="293" t="str">
        <f>'Digital Plan - UPI'!C183</f>
        <v>Core</v>
      </c>
      <c r="C258" s="264" t="str">
        <f>'Digital Plan - UPI'!D183</f>
        <v xml:space="preserve">YouTube </v>
      </c>
      <c r="D258" s="264" t="str">
        <f>'Digital Plan - UPI'!E183</f>
        <v>Video</v>
      </c>
      <c r="E258" s="404" t="str">
        <f>'Digital Plan - UPI'!F183</f>
        <v xml:space="preserve">Entertainment </v>
      </c>
      <c r="F258" s="404" t="str">
        <f>'Digital Plan - UPI'!G183</f>
        <v xml:space="preserve">Mobile </v>
      </c>
      <c r="G258" s="265" t="str">
        <f>'Digital Plan - UPI'!H183</f>
        <v xml:space="preserve">Instream </v>
      </c>
      <c r="H258" s="265" t="str">
        <f>'Digital Plan - UPI'!I183</f>
        <v xml:space="preserve">Bumper 6 secs  </v>
      </c>
      <c r="I258" s="308" t="str">
        <f>'Digital Plan - UPI'!J183</f>
        <v>Reff : Targeting Sheet</v>
      </c>
      <c r="J258" s="263" t="str">
        <f>'Digital Plan - UPI'!K183</f>
        <v>CPM</v>
      </c>
      <c r="K258" s="266">
        <f>'Digital Plan - UPI'!L183</f>
        <v>21</v>
      </c>
      <c r="L258" s="267">
        <f>'Digital Plan - UPI'!M183</f>
        <v>45460</v>
      </c>
      <c r="M258" s="267">
        <f>'Digital Plan - UPI'!N183</f>
        <v>45480</v>
      </c>
      <c r="N258" s="266">
        <f>'Digital Plan - UPI'!O183</f>
        <v>756331.12499999988</v>
      </c>
      <c r="O258" s="268" t="str">
        <f>'Digital Plan - UPI'!P183</f>
        <v>-</v>
      </c>
      <c r="P258" s="269">
        <f>'Digital Plan - UPI'!Q183</f>
        <v>1E-3</v>
      </c>
      <c r="Q258" s="266">
        <f>'Digital Plan - UPI'!R183</f>
        <v>756.33112499999993</v>
      </c>
      <c r="R258" s="270">
        <f>'Digital Plan - UPI'!S183</f>
        <v>0.8</v>
      </c>
      <c r="S258" s="271">
        <f>'Digital Plan - UPI'!T183</f>
        <v>605064.89999999991</v>
      </c>
      <c r="T258" s="266">
        <f>'Digital Plan - UPI'!U183</f>
        <v>540236.51785714284</v>
      </c>
      <c r="U258" s="266">
        <f>'Digital Plan - UPI'!V183</f>
        <v>1.4</v>
      </c>
      <c r="V258" s="272">
        <f>'Digital Plan - UPI'!X183</f>
        <v>80</v>
      </c>
      <c r="W258" s="273">
        <f>'Digital Plan - UPI'!Y183</f>
        <v>60506.49</v>
      </c>
      <c r="X258" s="273">
        <f>'Digital Plan - UPI'!Z183</f>
        <v>80.000000000000014</v>
      </c>
      <c r="Y258" s="273">
        <f>'Digital Plan - UPI'!AA183</f>
        <v>80</v>
      </c>
      <c r="Z258" s="274">
        <f>'Digital Plan - UPI'!AB183</f>
        <v>1100118</v>
      </c>
      <c r="AA258" s="275">
        <f>'Digital Plan - UPI'!AC183</f>
        <v>0.49107142857142855</v>
      </c>
      <c r="AB258" s="259"/>
      <c r="AC258" s="266"/>
      <c r="AD258" s="266"/>
      <c r="AE258" s="266"/>
      <c r="AF258" s="266"/>
      <c r="AG258" s="266"/>
      <c r="AH258" s="266">
        <f>$N258/3</f>
        <v>252110.37499999997</v>
      </c>
      <c r="AI258" s="266">
        <f t="shared" si="87"/>
        <v>252110.37499999997</v>
      </c>
      <c r="AJ258" s="266">
        <f t="shared" si="87"/>
        <v>252110.37499999997</v>
      </c>
    </row>
    <row r="259" spans="1:36" x14ac:dyDescent="0.35">
      <c r="A259" s="323" t="e">
        <f>'Digital Plan - UPI'!#REF!</f>
        <v>#REF!</v>
      </c>
      <c r="B259" s="293" t="e">
        <f>'Digital Plan - UPI'!#REF!</f>
        <v>#REF!</v>
      </c>
      <c r="C259" s="294" t="e">
        <f>'Digital Plan - UPI'!#REF!</f>
        <v>#REF!</v>
      </c>
      <c r="D259" s="294" t="e">
        <f>'Digital Plan - UPI'!#REF!</f>
        <v>#REF!</v>
      </c>
      <c r="E259" s="406" t="e">
        <f>'Digital Plan - UPI'!#REF!</f>
        <v>#REF!</v>
      </c>
      <c r="F259" s="406" t="e">
        <f>'Digital Plan - UPI'!#REF!</f>
        <v>#REF!</v>
      </c>
      <c r="G259" s="296" t="e">
        <f>'Digital Plan - UPI'!#REF!</f>
        <v>#REF!</v>
      </c>
      <c r="H259" s="296" t="e">
        <f>'Digital Plan - UPI'!#REF!</f>
        <v>#REF!</v>
      </c>
      <c r="I259" s="297" t="e">
        <f>'Digital Plan - UPI'!#REF!</f>
        <v>#REF!</v>
      </c>
      <c r="J259" s="295" t="e">
        <f>'Digital Plan - UPI'!#REF!</f>
        <v>#REF!</v>
      </c>
      <c r="K259" s="298" t="e">
        <f>'Digital Plan - UPI'!#REF!</f>
        <v>#REF!</v>
      </c>
      <c r="L259" s="299" t="e">
        <f>'Digital Plan - UPI'!#REF!</f>
        <v>#REF!</v>
      </c>
      <c r="M259" s="299" t="e">
        <f>'Digital Plan - UPI'!#REF!</f>
        <v>#REF!</v>
      </c>
      <c r="N259" s="298" t="e">
        <f>'Digital Plan - UPI'!#REF!</f>
        <v>#REF!</v>
      </c>
      <c r="O259" s="300" t="e">
        <f>'Digital Plan - UPI'!#REF!</f>
        <v>#REF!</v>
      </c>
      <c r="P259" s="301" t="e">
        <f>'Digital Plan - UPI'!#REF!</f>
        <v>#REF!</v>
      </c>
      <c r="Q259" s="298" t="e">
        <f>'Digital Plan - UPI'!#REF!</f>
        <v>#REF!</v>
      </c>
      <c r="R259" s="302" t="e">
        <f>'Digital Plan - UPI'!#REF!</f>
        <v>#REF!</v>
      </c>
      <c r="S259" s="303" t="e">
        <f>'Digital Plan - UPI'!#REF!</f>
        <v>#REF!</v>
      </c>
      <c r="T259" s="298" t="e">
        <f>'Digital Plan - UPI'!#REF!</f>
        <v>#REF!</v>
      </c>
      <c r="U259" s="298" t="e">
        <f>'Digital Plan - UPI'!#REF!</f>
        <v>#REF!</v>
      </c>
      <c r="V259" s="304" t="e">
        <f>'Digital Plan - UPI'!#REF!</f>
        <v>#REF!</v>
      </c>
      <c r="W259" s="305" t="e">
        <f>'Digital Plan - UPI'!#REF!</f>
        <v>#REF!</v>
      </c>
      <c r="X259" s="305" t="e">
        <f>'Digital Plan - UPI'!#REF!</f>
        <v>#REF!</v>
      </c>
      <c r="Y259" s="305" t="e">
        <f>'Digital Plan - UPI'!#REF!</f>
        <v>#REF!</v>
      </c>
      <c r="Z259" s="306" t="e">
        <f>'Digital Plan - UPI'!#REF!</f>
        <v>#REF!</v>
      </c>
      <c r="AA259" s="307" t="e">
        <f>'Digital Plan - UPI'!#REF!</f>
        <v>#REF!</v>
      </c>
      <c r="AB259" s="259"/>
      <c r="AC259" s="298" t="e">
        <f>N259/2</f>
        <v>#REF!</v>
      </c>
      <c r="AD259" s="298" t="e">
        <f>N259/2</f>
        <v>#REF!</v>
      </c>
      <c r="AE259" s="298"/>
      <c r="AF259" s="298"/>
      <c r="AG259" s="298"/>
      <c r="AH259" s="298"/>
      <c r="AI259" s="298"/>
      <c r="AJ259" s="298"/>
    </row>
    <row r="260" spans="1:36" x14ac:dyDescent="0.35">
      <c r="A260" s="323" t="e">
        <f>'Digital Plan - UPI'!#REF!</f>
        <v>#REF!</v>
      </c>
      <c r="B260" s="293" t="e">
        <f>'Digital Plan - UPI'!#REF!</f>
        <v>#REF!</v>
      </c>
      <c r="C260" s="295" t="e">
        <f>'Digital Plan - UPI'!#REF!</f>
        <v>#REF!</v>
      </c>
      <c r="D260" s="295" t="e">
        <f>'Digital Plan - UPI'!#REF!</f>
        <v>#REF!</v>
      </c>
      <c r="E260" s="406" t="e">
        <f>'Digital Plan - UPI'!#REF!</f>
        <v>#REF!</v>
      </c>
      <c r="F260" s="407" t="e">
        <f>'Digital Plan - UPI'!#REF!</f>
        <v>#REF!</v>
      </c>
      <c r="G260" s="296" t="e">
        <f>'Digital Plan - UPI'!#REF!</f>
        <v>#REF!</v>
      </c>
      <c r="H260" s="296" t="e">
        <f>'Digital Plan - UPI'!#REF!</f>
        <v>#REF!</v>
      </c>
      <c r="I260" s="297" t="e">
        <f>'Digital Plan - UPI'!#REF!</f>
        <v>#REF!</v>
      </c>
      <c r="J260" s="295" t="e">
        <f>'Digital Plan - UPI'!#REF!</f>
        <v>#REF!</v>
      </c>
      <c r="K260" s="298" t="e">
        <f>'Digital Plan - UPI'!#REF!</f>
        <v>#REF!</v>
      </c>
      <c r="L260" s="299" t="e">
        <f>'Digital Plan - UPI'!#REF!</f>
        <v>#REF!</v>
      </c>
      <c r="M260" s="299" t="e">
        <f>'Digital Plan - UPI'!#REF!</f>
        <v>#REF!</v>
      </c>
      <c r="N260" s="298" t="e">
        <f>'Digital Plan - UPI'!#REF!</f>
        <v>#REF!</v>
      </c>
      <c r="O260" s="300" t="e">
        <f>'Digital Plan - UPI'!#REF!</f>
        <v>#REF!</v>
      </c>
      <c r="P260" s="301" t="e">
        <f>'Digital Plan - UPI'!#REF!</f>
        <v>#REF!</v>
      </c>
      <c r="Q260" s="298" t="e">
        <f>'Digital Plan - UPI'!#REF!</f>
        <v>#REF!</v>
      </c>
      <c r="R260" s="302" t="e">
        <f>'Digital Plan - UPI'!#REF!</f>
        <v>#REF!</v>
      </c>
      <c r="S260" s="303" t="e">
        <f>'Digital Plan - UPI'!#REF!</f>
        <v>#REF!</v>
      </c>
      <c r="T260" s="298" t="e">
        <f>'Digital Plan - UPI'!#REF!</f>
        <v>#REF!</v>
      </c>
      <c r="U260" s="298" t="e">
        <f>'Digital Plan - UPI'!#REF!</f>
        <v>#REF!</v>
      </c>
      <c r="V260" s="304" t="e">
        <f>'Digital Plan - UPI'!#REF!</f>
        <v>#REF!</v>
      </c>
      <c r="W260" s="305" t="e">
        <f>'Digital Plan - UPI'!#REF!</f>
        <v>#REF!</v>
      </c>
      <c r="X260" s="305" t="e">
        <f>'Digital Plan - UPI'!#REF!</f>
        <v>#REF!</v>
      </c>
      <c r="Y260" s="305" t="e">
        <f>'Digital Plan - UPI'!#REF!</f>
        <v>#REF!</v>
      </c>
      <c r="Z260" s="306" t="e">
        <f>'Digital Plan - UPI'!#REF!</f>
        <v>#REF!</v>
      </c>
      <c r="AA260" s="307" t="e">
        <f>'Digital Plan - UPI'!#REF!</f>
        <v>#REF!</v>
      </c>
      <c r="AB260" s="259"/>
      <c r="AC260" s="298" t="e">
        <f>N260/2</f>
        <v>#REF!</v>
      </c>
      <c r="AD260" s="298" t="e">
        <f>N260/2</f>
        <v>#REF!</v>
      </c>
      <c r="AE260" s="298"/>
      <c r="AF260" s="298"/>
      <c r="AG260" s="298"/>
      <c r="AH260" s="298"/>
      <c r="AI260" s="298"/>
      <c r="AJ260" s="298"/>
    </row>
    <row r="261" spans="1:36" x14ac:dyDescent="0.35">
      <c r="A261" s="323" t="str">
        <f>'Digital Plan - UPI'!B184</f>
        <v>Rest of T57 - Telugu</v>
      </c>
      <c r="B261" s="293" t="str">
        <f>'Digital Plan - UPI'!C184</f>
        <v>Core - CTV</v>
      </c>
      <c r="C261" s="294" t="str">
        <f>'Digital Plan - UPI'!D184</f>
        <v>Connected TV PMP</v>
      </c>
      <c r="D261" s="294" t="str">
        <f>'Digital Plan - UPI'!E184</f>
        <v>Video</v>
      </c>
      <c r="E261" s="406" t="str">
        <f>'Digital Plan - UPI'!F184</f>
        <v xml:space="preserve">Entertainment </v>
      </c>
      <c r="F261" s="406" t="str">
        <f>'Digital Plan - UPI'!G184</f>
        <v>CTV</v>
      </c>
      <c r="G261" s="296" t="str">
        <f>'Digital Plan - UPI'!H184</f>
        <v>Instream</v>
      </c>
      <c r="H261" s="296" t="str">
        <f>'Digital Plan - UPI'!I184</f>
        <v xml:space="preserve">Video-6 Sec </v>
      </c>
      <c r="I261" s="297" t="str">
        <f>'Digital Plan - UPI'!J184</f>
        <v>Reff : Targeting Sheet</v>
      </c>
      <c r="J261" s="295" t="str">
        <f>'Digital Plan - UPI'!K184</f>
        <v>CPM</v>
      </c>
      <c r="K261" s="298">
        <f>'Digital Plan - UPI'!L184</f>
        <v>21</v>
      </c>
      <c r="L261" s="299">
        <f>'Digital Plan - UPI'!M184</f>
        <v>45460</v>
      </c>
      <c r="M261" s="299">
        <f>'Digital Plan - UPI'!N184</f>
        <v>45480</v>
      </c>
      <c r="N261" s="298">
        <f>'Digital Plan - UPI'!O184</f>
        <v>394210.82399999996</v>
      </c>
      <c r="O261" s="300" t="str">
        <f>'Digital Plan - UPI'!P184</f>
        <v>-</v>
      </c>
      <c r="P261" s="301">
        <f>'Digital Plan - UPI'!Q184</f>
        <v>0</v>
      </c>
      <c r="Q261" s="298">
        <f>'Digital Plan - UPI'!R184</f>
        <v>0</v>
      </c>
      <c r="R261" s="302">
        <f>'Digital Plan - UPI'!S184</f>
        <v>0.85</v>
      </c>
      <c r="S261" s="303">
        <f>'Digital Plan - UPI'!T184</f>
        <v>335079.20039999997</v>
      </c>
      <c r="T261" s="298">
        <f>'Digital Plan - UPI'!U184</f>
        <v>96620.299999999988</v>
      </c>
      <c r="U261" s="298">
        <f>'Digital Plan - UPI'!V184</f>
        <v>4.08</v>
      </c>
      <c r="V261" s="304">
        <f>'Digital Plan - UPI'!X184</f>
        <v>125</v>
      </c>
      <c r="W261" s="305">
        <f>'Digital Plan - UPI'!Y184</f>
        <v>49276.352999999996</v>
      </c>
      <c r="X261" s="305">
        <f>'Digital Plan - UPI'!Z184</f>
        <v>125</v>
      </c>
      <c r="Y261" s="305">
        <f>'Digital Plan - UPI'!AA184</f>
        <v>0</v>
      </c>
      <c r="Z261" s="306">
        <f>'Digital Plan - UPI'!AB184</f>
        <v>116410</v>
      </c>
      <c r="AA261" s="307">
        <f>'Digital Plan - UPI'!AC184</f>
        <v>0.83</v>
      </c>
      <c r="AB261" s="259"/>
      <c r="AC261" s="298"/>
      <c r="AD261" s="298"/>
      <c r="AE261" s="298">
        <f>$N261/3</f>
        <v>131403.60799999998</v>
      </c>
      <c r="AF261" s="298">
        <f t="shared" ref="AF261:AJ266" si="88">$N261/3</f>
        <v>131403.60799999998</v>
      </c>
      <c r="AG261" s="298">
        <f t="shared" si="88"/>
        <v>131403.60799999998</v>
      </c>
      <c r="AH261" s="298"/>
      <c r="AI261" s="298"/>
      <c r="AJ261" s="298"/>
    </row>
    <row r="262" spans="1:36" x14ac:dyDescent="0.35">
      <c r="A262" s="323" t="e">
        <f>'Digital Plan - UPI'!#REF!</f>
        <v>#REF!</v>
      </c>
      <c r="B262" s="293" t="e">
        <f>'Digital Plan - UPI'!#REF!</f>
        <v>#REF!</v>
      </c>
      <c r="C262" s="294" t="e">
        <f>'Digital Plan - UPI'!#REF!</f>
        <v>#REF!</v>
      </c>
      <c r="D262" s="294" t="e">
        <f>'Digital Plan - UPI'!#REF!</f>
        <v>#REF!</v>
      </c>
      <c r="E262" s="406" t="e">
        <f>'Digital Plan - UPI'!#REF!</f>
        <v>#REF!</v>
      </c>
      <c r="F262" s="406" t="e">
        <f>'Digital Plan - UPI'!#REF!</f>
        <v>#REF!</v>
      </c>
      <c r="G262" s="296" t="e">
        <f>'Digital Plan - UPI'!#REF!</f>
        <v>#REF!</v>
      </c>
      <c r="H262" s="296" t="e">
        <f>'Digital Plan - UPI'!#REF!</f>
        <v>#REF!</v>
      </c>
      <c r="I262" s="297" t="e">
        <f>'Digital Plan - UPI'!#REF!</f>
        <v>#REF!</v>
      </c>
      <c r="J262" s="295" t="e">
        <f>'Digital Plan - UPI'!#REF!</f>
        <v>#REF!</v>
      </c>
      <c r="K262" s="298" t="e">
        <f>'Digital Plan - UPI'!#REF!</f>
        <v>#REF!</v>
      </c>
      <c r="L262" s="299" t="e">
        <f>'Digital Plan - UPI'!#REF!</f>
        <v>#REF!</v>
      </c>
      <c r="M262" s="299" t="e">
        <f>'Digital Plan - UPI'!#REF!</f>
        <v>#REF!</v>
      </c>
      <c r="N262" s="298" t="e">
        <f>'Digital Plan - UPI'!#REF!</f>
        <v>#REF!</v>
      </c>
      <c r="O262" s="300" t="e">
        <f>'Digital Plan - UPI'!#REF!</f>
        <v>#REF!</v>
      </c>
      <c r="P262" s="301" t="e">
        <f>'Digital Plan - UPI'!#REF!</f>
        <v>#REF!</v>
      </c>
      <c r="Q262" s="298" t="e">
        <f>'Digital Plan - UPI'!#REF!</f>
        <v>#REF!</v>
      </c>
      <c r="R262" s="302" t="e">
        <f>'Digital Plan - UPI'!#REF!</f>
        <v>#REF!</v>
      </c>
      <c r="S262" s="303" t="e">
        <f>'Digital Plan - UPI'!#REF!</f>
        <v>#REF!</v>
      </c>
      <c r="T262" s="298" t="e">
        <f>'Digital Plan - UPI'!#REF!</f>
        <v>#REF!</v>
      </c>
      <c r="U262" s="298" t="e">
        <f>'Digital Plan - UPI'!#REF!</f>
        <v>#REF!</v>
      </c>
      <c r="V262" s="304" t="e">
        <f>'Digital Plan - UPI'!#REF!</f>
        <v>#REF!</v>
      </c>
      <c r="W262" s="305" t="e">
        <f>'Digital Plan - UPI'!#REF!</f>
        <v>#REF!</v>
      </c>
      <c r="X262" s="305" t="e">
        <f>'Digital Plan - UPI'!#REF!</f>
        <v>#REF!</v>
      </c>
      <c r="Y262" s="305" t="e">
        <f>'Digital Plan - UPI'!#REF!</f>
        <v>#REF!</v>
      </c>
      <c r="Z262" s="306" t="e">
        <f>'Digital Plan - UPI'!#REF!</f>
        <v>#REF!</v>
      </c>
      <c r="AA262" s="307" t="e">
        <f>'Digital Plan - UPI'!#REF!</f>
        <v>#REF!</v>
      </c>
      <c r="AB262" s="259"/>
      <c r="AC262" s="298"/>
      <c r="AD262" s="298"/>
      <c r="AE262" s="298"/>
      <c r="AF262" s="298"/>
      <c r="AG262" s="298"/>
      <c r="AH262" s="298" t="e">
        <f>$N262/3</f>
        <v>#REF!</v>
      </c>
      <c r="AI262" s="298" t="e">
        <f t="shared" si="88"/>
        <v>#REF!</v>
      </c>
      <c r="AJ262" s="298" t="e">
        <f t="shared" si="88"/>
        <v>#REF!</v>
      </c>
    </row>
    <row r="263" spans="1:36" x14ac:dyDescent="0.35">
      <c r="A263" s="323" t="str">
        <f>'Digital Plan - UPI'!B185</f>
        <v>Rest of T57 - Telugu</v>
      </c>
      <c r="B263" s="293" t="str">
        <f>'Digital Plan - UPI'!C185</f>
        <v>Core - CTV</v>
      </c>
      <c r="C263" s="295" t="str">
        <f>'Digital Plan - UPI'!D185</f>
        <v xml:space="preserve">YouTube </v>
      </c>
      <c r="D263" s="295" t="str">
        <f>'Digital Plan - UPI'!E185</f>
        <v>Video</v>
      </c>
      <c r="E263" s="406" t="str">
        <f>'Digital Plan - UPI'!F185</f>
        <v xml:space="preserve">Entertainment </v>
      </c>
      <c r="F263" s="407" t="str">
        <f>'Digital Plan - UPI'!G185</f>
        <v>CTV</v>
      </c>
      <c r="G263" s="296" t="str">
        <f>'Digital Plan - UPI'!H185</f>
        <v>Instream</v>
      </c>
      <c r="H263" s="296" t="str">
        <f>'Digital Plan - UPI'!I185</f>
        <v xml:space="preserve">Bumper 6 secs  </v>
      </c>
      <c r="I263" s="297" t="str">
        <f>'Digital Plan - UPI'!J185</f>
        <v>Reff : Targeting Sheet</v>
      </c>
      <c r="J263" s="295" t="str">
        <f>'Digital Plan - UPI'!K185</f>
        <v>CPM</v>
      </c>
      <c r="K263" s="298">
        <f>'Digital Plan - UPI'!L185</f>
        <v>21</v>
      </c>
      <c r="L263" s="299">
        <f>'Digital Plan - UPI'!M185</f>
        <v>45460</v>
      </c>
      <c r="M263" s="299">
        <f>'Digital Plan - UPI'!N185</f>
        <v>45480</v>
      </c>
      <c r="N263" s="298">
        <f>'Digital Plan - UPI'!O185</f>
        <v>960071.56363636348</v>
      </c>
      <c r="O263" s="300" t="str">
        <f>'Digital Plan - UPI'!P185</f>
        <v>-</v>
      </c>
      <c r="P263" s="301">
        <f>'Digital Plan - UPI'!Q185</f>
        <v>0</v>
      </c>
      <c r="Q263" s="298">
        <f>'Digital Plan - UPI'!R185</f>
        <v>0</v>
      </c>
      <c r="R263" s="302">
        <f>'Digital Plan - UPI'!S185</f>
        <v>0.8</v>
      </c>
      <c r="S263" s="303">
        <f>'Digital Plan - UPI'!T185</f>
        <v>768057.25090909086</v>
      </c>
      <c r="T263" s="298">
        <f>'Digital Plan - UPI'!U185</f>
        <v>177791.03030303027</v>
      </c>
      <c r="U263" s="298">
        <f>'Digital Plan - UPI'!V185</f>
        <v>5.4</v>
      </c>
      <c r="V263" s="304">
        <f>'Digital Plan - UPI'!X185</f>
        <v>110</v>
      </c>
      <c r="W263" s="305">
        <f>'Digital Plan - UPI'!Y185</f>
        <v>105607.87199999999</v>
      </c>
      <c r="X263" s="305">
        <f>'Digital Plan - UPI'!Z185</f>
        <v>110</v>
      </c>
      <c r="Y263" s="305">
        <f>'Digital Plan - UPI'!AA185</f>
        <v>0</v>
      </c>
      <c r="Z263" s="306">
        <f>'Digital Plan - UPI'!AB185</f>
        <v>212064</v>
      </c>
      <c r="AA263" s="307">
        <f>'Digital Plan - UPI'!AC185</f>
        <v>0.83838383838383823</v>
      </c>
      <c r="AB263" s="259"/>
      <c r="AC263" s="298"/>
      <c r="AD263" s="298"/>
      <c r="AE263" s="298">
        <f>$N263/3</f>
        <v>320023.85454545449</v>
      </c>
      <c r="AF263" s="298">
        <f t="shared" si="88"/>
        <v>320023.85454545449</v>
      </c>
      <c r="AG263" s="298">
        <f t="shared" si="88"/>
        <v>320023.85454545449</v>
      </c>
      <c r="AH263" s="298"/>
      <c r="AI263" s="298"/>
      <c r="AJ263" s="298"/>
    </row>
    <row r="264" spans="1:36" x14ac:dyDescent="0.35">
      <c r="A264" s="323" t="e">
        <f>'Digital Plan - UPI'!#REF!</f>
        <v>#REF!</v>
      </c>
      <c r="B264" s="293" t="e">
        <f>'Digital Plan - UPI'!#REF!</f>
        <v>#REF!</v>
      </c>
      <c r="C264" s="295" t="e">
        <f>'Digital Plan - UPI'!#REF!</f>
        <v>#REF!</v>
      </c>
      <c r="D264" s="295" t="e">
        <f>'Digital Plan - UPI'!#REF!</f>
        <v>#REF!</v>
      </c>
      <c r="E264" s="406" t="e">
        <f>'Digital Plan - UPI'!#REF!</f>
        <v>#REF!</v>
      </c>
      <c r="F264" s="407" t="e">
        <f>'Digital Plan - UPI'!#REF!</f>
        <v>#REF!</v>
      </c>
      <c r="G264" s="296" t="e">
        <f>'Digital Plan - UPI'!#REF!</f>
        <v>#REF!</v>
      </c>
      <c r="H264" s="296" t="e">
        <f>'Digital Plan - UPI'!#REF!</f>
        <v>#REF!</v>
      </c>
      <c r="I264" s="297" t="e">
        <f>'Digital Plan - UPI'!#REF!</f>
        <v>#REF!</v>
      </c>
      <c r="J264" s="295" t="e">
        <f>'Digital Plan - UPI'!#REF!</f>
        <v>#REF!</v>
      </c>
      <c r="K264" s="298" t="e">
        <f>'Digital Plan - UPI'!#REF!</f>
        <v>#REF!</v>
      </c>
      <c r="L264" s="299" t="e">
        <f>'Digital Plan - UPI'!#REF!</f>
        <v>#REF!</v>
      </c>
      <c r="M264" s="299" t="e">
        <f>'Digital Plan - UPI'!#REF!</f>
        <v>#REF!</v>
      </c>
      <c r="N264" s="298" t="e">
        <f>'Digital Plan - UPI'!#REF!</f>
        <v>#REF!</v>
      </c>
      <c r="O264" s="300" t="e">
        <f>'Digital Plan - UPI'!#REF!</f>
        <v>#REF!</v>
      </c>
      <c r="P264" s="301" t="e">
        <f>'Digital Plan - UPI'!#REF!</f>
        <v>#REF!</v>
      </c>
      <c r="Q264" s="298" t="e">
        <f>'Digital Plan - UPI'!#REF!</f>
        <v>#REF!</v>
      </c>
      <c r="R264" s="302" t="e">
        <f>'Digital Plan - UPI'!#REF!</f>
        <v>#REF!</v>
      </c>
      <c r="S264" s="303" t="e">
        <f>'Digital Plan - UPI'!#REF!</f>
        <v>#REF!</v>
      </c>
      <c r="T264" s="298" t="e">
        <f>'Digital Plan - UPI'!#REF!</f>
        <v>#REF!</v>
      </c>
      <c r="U264" s="298" t="e">
        <f>'Digital Plan - UPI'!#REF!</f>
        <v>#REF!</v>
      </c>
      <c r="V264" s="304" t="e">
        <f>'Digital Plan - UPI'!#REF!</f>
        <v>#REF!</v>
      </c>
      <c r="W264" s="305" t="e">
        <f>'Digital Plan - UPI'!#REF!</f>
        <v>#REF!</v>
      </c>
      <c r="X264" s="305" t="e">
        <f>'Digital Plan - UPI'!#REF!</f>
        <v>#REF!</v>
      </c>
      <c r="Y264" s="305" t="e">
        <f>'Digital Plan - UPI'!#REF!</f>
        <v>#REF!</v>
      </c>
      <c r="Z264" s="306" t="e">
        <f>'Digital Plan - UPI'!#REF!</f>
        <v>#REF!</v>
      </c>
      <c r="AA264" s="307" t="e">
        <f>'Digital Plan - UPI'!#REF!</f>
        <v>#REF!</v>
      </c>
      <c r="AB264" s="259"/>
      <c r="AC264" s="298"/>
      <c r="AD264" s="298"/>
      <c r="AE264" s="298"/>
      <c r="AF264" s="298"/>
      <c r="AG264" s="298"/>
      <c r="AH264" s="298" t="e">
        <f>$N264/3</f>
        <v>#REF!</v>
      </c>
      <c r="AI264" s="298" t="e">
        <f t="shared" si="88"/>
        <v>#REF!</v>
      </c>
      <c r="AJ264" s="298" t="e">
        <f t="shared" si="88"/>
        <v>#REF!</v>
      </c>
    </row>
    <row r="265" spans="1:36" x14ac:dyDescent="0.35">
      <c r="A265" s="323" t="str">
        <f>'Digital Plan - UPI'!B186</f>
        <v>Rest of T57 - Telugu</v>
      </c>
      <c r="B265" s="293" t="str">
        <f>'Digital Plan - UPI'!C186</f>
        <v>Core</v>
      </c>
      <c r="C265" s="264" t="str">
        <f>'Digital Plan - UPI'!D186</f>
        <v>Meta</v>
      </c>
      <c r="D265" s="264" t="str">
        <f>'Digital Plan - UPI'!E186</f>
        <v>Video</v>
      </c>
      <c r="E265" s="404" t="str">
        <f>'Digital Plan - UPI'!F186</f>
        <v xml:space="preserve">Entertainment </v>
      </c>
      <c r="F265" s="404" t="str">
        <f>'Digital Plan - UPI'!G186</f>
        <v xml:space="preserve">Mobile </v>
      </c>
      <c r="G265" s="265" t="str">
        <f>'Digital Plan - UPI'!H186</f>
        <v xml:space="preserve">Instream </v>
      </c>
      <c r="H265" s="265" t="str">
        <f>'Digital Plan - UPI'!I186</f>
        <v>Instream - 6 Sec</v>
      </c>
      <c r="I265" s="308" t="str">
        <f>'Digital Plan - UPI'!J186</f>
        <v>Reff : Targeting Sheet</v>
      </c>
      <c r="J265" s="263" t="str">
        <f>'Digital Plan - UPI'!K186</f>
        <v>CPM</v>
      </c>
      <c r="K265" s="266">
        <f>'Digital Plan - UPI'!L186</f>
        <v>21</v>
      </c>
      <c r="L265" s="267">
        <f>'Digital Plan - UPI'!M186</f>
        <v>45460</v>
      </c>
      <c r="M265" s="267">
        <f>'Digital Plan - UPI'!N186</f>
        <v>45480</v>
      </c>
      <c r="N265" s="266">
        <f>'Digital Plan - UPI'!O186</f>
        <v>191834.46</v>
      </c>
      <c r="O265" s="268" t="str">
        <f>'Digital Plan - UPI'!P186</f>
        <v>-</v>
      </c>
      <c r="P265" s="269">
        <f>'Digital Plan - UPI'!Q186</f>
        <v>1E-3</v>
      </c>
      <c r="Q265" s="266">
        <f>'Digital Plan - UPI'!R186</f>
        <v>191.83446000000001</v>
      </c>
      <c r="R265" s="270">
        <f>'Digital Plan - UPI'!S186</f>
        <v>0.7</v>
      </c>
      <c r="S265" s="271">
        <f>'Digital Plan - UPI'!T186</f>
        <v>134284.12199999997</v>
      </c>
      <c r="T265" s="266">
        <f>'Digital Plan - UPI'!U186</f>
        <v>127889.64</v>
      </c>
      <c r="U265" s="266">
        <f>'Digital Plan - UPI'!V186</f>
        <v>1.5</v>
      </c>
      <c r="V265" s="272">
        <f>'Digital Plan - UPI'!X186</f>
        <v>70</v>
      </c>
      <c r="W265" s="273">
        <f>'Digital Plan - UPI'!Y186</f>
        <v>13428.412199999999</v>
      </c>
      <c r="X265" s="273">
        <f>'Digital Plan - UPI'!Z186</f>
        <v>69.999999999999986</v>
      </c>
      <c r="Y265" s="273">
        <f>'Digital Plan - UPI'!AA186</f>
        <v>69.999999999999986</v>
      </c>
      <c r="Z265" s="274">
        <f>'Digital Plan - UPI'!AB186</f>
        <v>319724.09999999998</v>
      </c>
      <c r="AA265" s="275">
        <f>'Digital Plan - UPI'!AC186</f>
        <v>0.4</v>
      </c>
      <c r="AB265" s="259"/>
      <c r="AC265" s="266"/>
      <c r="AD265" s="266"/>
      <c r="AE265" s="266">
        <f>$N265/3</f>
        <v>63944.82</v>
      </c>
      <c r="AF265" s="266">
        <f t="shared" si="88"/>
        <v>63944.82</v>
      </c>
      <c r="AG265" s="266">
        <f t="shared" si="88"/>
        <v>63944.82</v>
      </c>
      <c r="AH265" s="266"/>
      <c r="AI265" s="266"/>
      <c r="AJ265" s="266"/>
    </row>
    <row r="266" spans="1:36" x14ac:dyDescent="0.35">
      <c r="A266" s="323" t="str">
        <f>'Digital Plan - UPI'!B187</f>
        <v>Rest of T57 - Telugu</v>
      </c>
      <c r="B266" s="293" t="str">
        <f>'Digital Plan - UPI'!C187</f>
        <v>Core</v>
      </c>
      <c r="C266" s="264" t="str">
        <f>'Digital Plan - UPI'!D187</f>
        <v xml:space="preserve">YouTube </v>
      </c>
      <c r="D266" s="264" t="str">
        <f>'Digital Plan - UPI'!E187</f>
        <v>Video</v>
      </c>
      <c r="E266" s="404" t="str">
        <f>'Digital Plan - UPI'!F187</f>
        <v xml:space="preserve">Entertainment </v>
      </c>
      <c r="F266" s="404" t="str">
        <f>'Digital Plan - UPI'!G187</f>
        <v xml:space="preserve">Mobile </v>
      </c>
      <c r="G266" s="265" t="str">
        <f>'Digital Plan - UPI'!H187</f>
        <v xml:space="preserve">Instream </v>
      </c>
      <c r="H266" s="265" t="str">
        <f>'Digital Plan - UPI'!I187</f>
        <v xml:space="preserve">Bumper 6 secs  </v>
      </c>
      <c r="I266" s="308" t="str">
        <f>'Digital Plan - UPI'!J187</f>
        <v>Reff : Targeting Sheet</v>
      </c>
      <c r="J266" s="263" t="str">
        <f>'Digital Plan - UPI'!K187</f>
        <v>CPM</v>
      </c>
      <c r="K266" s="266">
        <f>'Digital Plan - UPI'!L187</f>
        <v>21</v>
      </c>
      <c r="L266" s="267">
        <f>'Digital Plan - UPI'!M187</f>
        <v>45460</v>
      </c>
      <c r="M266" s="267">
        <f>'Digital Plan - UPI'!N187</f>
        <v>45480</v>
      </c>
      <c r="N266" s="266">
        <f>'Digital Plan - UPI'!O187</f>
        <v>258600.37500000003</v>
      </c>
      <c r="O266" s="268" t="str">
        <f>'Digital Plan - UPI'!P187</f>
        <v>-</v>
      </c>
      <c r="P266" s="269">
        <f>'Digital Plan - UPI'!Q187</f>
        <v>1E-3</v>
      </c>
      <c r="Q266" s="266">
        <f>'Digital Plan - UPI'!R187</f>
        <v>258.60037500000004</v>
      </c>
      <c r="R266" s="270">
        <f>'Digital Plan - UPI'!S187</f>
        <v>0.8</v>
      </c>
      <c r="S266" s="271">
        <f>'Digital Plan - UPI'!T187</f>
        <v>206880.30000000005</v>
      </c>
      <c r="T266" s="266">
        <f>'Digital Plan - UPI'!U187</f>
        <v>184714.55357142861</v>
      </c>
      <c r="U266" s="266">
        <f>'Digital Plan - UPI'!V187</f>
        <v>1.4</v>
      </c>
      <c r="V266" s="272">
        <f>'Digital Plan - UPI'!X187</f>
        <v>80</v>
      </c>
      <c r="W266" s="273">
        <f>'Digital Plan - UPI'!Y187</f>
        <v>20688.030000000002</v>
      </c>
      <c r="X266" s="273">
        <f>'Digital Plan - UPI'!Z187</f>
        <v>80</v>
      </c>
      <c r="Y266" s="273">
        <f>'Digital Plan - UPI'!AA187</f>
        <v>80</v>
      </c>
      <c r="Z266" s="274">
        <f>'Digital Plan - UPI'!AB187</f>
        <v>376146</v>
      </c>
      <c r="AA266" s="275">
        <f>'Digital Plan - UPI'!AC187</f>
        <v>0.49107142857142866</v>
      </c>
      <c r="AB266" s="259"/>
      <c r="AC266" s="266"/>
      <c r="AD266" s="266"/>
      <c r="AE266" s="266"/>
      <c r="AF266" s="266"/>
      <c r="AG266" s="266"/>
      <c r="AH266" s="266">
        <f>$N266/3</f>
        <v>86200.125000000015</v>
      </c>
      <c r="AI266" s="266">
        <f t="shared" si="88"/>
        <v>86200.125000000015</v>
      </c>
      <c r="AJ266" s="266">
        <f t="shared" si="88"/>
        <v>86200.125000000015</v>
      </c>
    </row>
    <row r="267" spans="1:36" x14ac:dyDescent="0.35">
      <c r="A267" s="323" t="e">
        <f>'Digital Plan - UPI'!#REF!</f>
        <v>#REF!</v>
      </c>
      <c r="B267" s="293" t="e">
        <f>'Digital Plan - UPI'!#REF!</f>
        <v>#REF!</v>
      </c>
      <c r="C267" s="294" t="e">
        <f>'Digital Plan - UPI'!#REF!</f>
        <v>#REF!</v>
      </c>
      <c r="D267" s="294" t="e">
        <f>'Digital Plan - UPI'!#REF!</f>
        <v>#REF!</v>
      </c>
      <c r="E267" s="406" t="e">
        <f>'Digital Plan - UPI'!#REF!</f>
        <v>#REF!</v>
      </c>
      <c r="F267" s="406" t="e">
        <f>'Digital Plan - UPI'!#REF!</f>
        <v>#REF!</v>
      </c>
      <c r="G267" s="296" t="e">
        <f>'Digital Plan - UPI'!#REF!</f>
        <v>#REF!</v>
      </c>
      <c r="H267" s="296" t="e">
        <f>'Digital Plan - UPI'!#REF!</f>
        <v>#REF!</v>
      </c>
      <c r="I267" s="297" t="e">
        <f>'Digital Plan - UPI'!#REF!</f>
        <v>#REF!</v>
      </c>
      <c r="J267" s="295" t="e">
        <f>'Digital Plan - UPI'!#REF!</f>
        <v>#REF!</v>
      </c>
      <c r="K267" s="298" t="e">
        <f>'Digital Plan - UPI'!#REF!</f>
        <v>#REF!</v>
      </c>
      <c r="L267" s="299" t="e">
        <f>'Digital Plan - UPI'!#REF!</f>
        <v>#REF!</v>
      </c>
      <c r="M267" s="299" t="e">
        <f>'Digital Plan - UPI'!#REF!</f>
        <v>#REF!</v>
      </c>
      <c r="N267" s="298" t="e">
        <f>'Digital Plan - UPI'!#REF!</f>
        <v>#REF!</v>
      </c>
      <c r="O267" s="300" t="e">
        <f>'Digital Plan - UPI'!#REF!</f>
        <v>#REF!</v>
      </c>
      <c r="P267" s="301" t="e">
        <f>'Digital Plan - UPI'!#REF!</f>
        <v>#REF!</v>
      </c>
      <c r="Q267" s="298" t="e">
        <f>'Digital Plan - UPI'!#REF!</f>
        <v>#REF!</v>
      </c>
      <c r="R267" s="302" t="e">
        <f>'Digital Plan - UPI'!#REF!</f>
        <v>#REF!</v>
      </c>
      <c r="S267" s="303" t="e">
        <f>'Digital Plan - UPI'!#REF!</f>
        <v>#REF!</v>
      </c>
      <c r="T267" s="298" t="e">
        <f>'Digital Plan - UPI'!#REF!</f>
        <v>#REF!</v>
      </c>
      <c r="U267" s="298" t="e">
        <f>'Digital Plan - UPI'!#REF!</f>
        <v>#REF!</v>
      </c>
      <c r="V267" s="304" t="e">
        <f>'Digital Plan - UPI'!#REF!</f>
        <v>#REF!</v>
      </c>
      <c r="W267" s="305" t="e">
        <f>'Digital Plan - UPI'!#REF!</f>
        <v>#REF!</v>
      </c>
      <c r="X267" s="305" t="e">
        <f>'Digital Plan - UPI'!#REF!</f>
        <v>#REF!</v>
      </c>
      <c r="Y267" s="305" t="e">
        <f>'Digital Plan - UPI'!#REF!</f>
        <v>#REF!</v>
      </c>
      <c r="Z267" s="306" t="e">
        <f>'Digital Plan - UPI'!#REF!</f>
        <v>#REF!</v>
      </c>
      <c r="AA267" s="307" t="e">
        <f>'Digital Plan - UPI'!#REF!</f>
        <v>#REF!</v>
      </c>
      <c r="AB267" s="259"/>
      <c r="AC267" s="298" t="e">
        <f>N267/2</f>
        <v>#REF!</v>
      </c>
      <c r="AD267" s="298" t="e">
        <f>N267/2</f>
        <v>#REF!</v>
      </c>
      <c r="AE267" s="298"/>
      <c r="AF267" s="298"/>
      <c r="AG267" s="298"/>
      <c r="AH267" s="298"/>
      <c r="AI267" s="298"/>
      <c r="AJ267" s="298"/>
    </row>
    <row r="268" spans="1:36" x14ac:dyDescent="0.35">
      <c r="A268" s="323" t="e">
        <f>'Digital Plan - UPI'!#REF!</f>
        <v>#REF!</v>
      </c>
      <c r="B268" s="293" t="e">
        <f>'Digital Plan - UPI'!#REF!</f>
        <v>#REF!</v>
      </c>
      <c r="C268" s="295" t="e">
        <f>'Digital Plan - UPI'!#REF!</f>
        <v>#REF!</v>
      </c>
      <c r="D268" s="295" t="e">
        <f>'Digital Plan - UPI'!#REF!</f>
        <v>#REF!</v>
      </c>
      <c r="E268" s="406" t="e">
        <f>'Digital Plan - UPI'!#REF!</f>
        <v>#REF!</v>
      </c>
      <c r="F268" s="407" t="e">
        <f>'Digital Plan - UPI'!#REF!</f>
        <v>#REF!</v>
      </c>
      <c r="G268" s="296" t="e">
        <f>'Digital Plan - UPI'!#REF!</f>
        <v>#REF!</v>
      </c>
      <c r="H268" s="296" t="e">
        <f>'Digital Plan - UPI'!#REF!</f>
        <v>#REF!</v>
      </c>
      <c r="I268" s="297" t="e">
        <f>'Digital Plan - UPI'!#REF!</f>
        <v>#REF!</v>
      </c>
      <c r="J268" s="295" t="e">
        <f>'Digital Plan - UPI'!#REF!</f>
        <v>#REF!</v>
      </c>
      <c r="K268" s="298" t="e">
        <f>'Digital Plan - UPI'!#REF!</f>
        <v>#REF!</v>
      </c>
      <c r="L268" s="299" t="e">
        <f>'Digital Plan - UPI'!#REF!</f>
        <v>#REF!</v>
      </c>
      <c r="M268" s="299" t="e">
        <f>'Digital Plan - UPI'!#REF!</f>
        <v>#REF!</v>
      </c>
      <c r="N268" s="298" t="e">
        <f>'Digital Plan - UPI'!#REF!</f>
        <v>#REF!</v>
      </c>
      <c r="O268" s="300" t="e">
        <f>'Digital Plan - UPI'!#REF!</f>
        <v>#REF!</v>
      </c>
      <c r="P268" s="301" t="e">
        <f>'Digital Plan - UPI'!#REF!</f>
        <v>#REF!</v>
      </c>
      <c r="Q268" s="298" t="e">
        <f>'Digital Plan - UPI'!#REF!</f>
        <v>#REF!</v>
      </c>
      <c r="R268" s="302" t="e">
        <f>'Digital Plan - UPI'!#REF!</f>
        <v>#REF!</v>
      </c>
      <c r="S268" s="303" t="e">
        <f>'Digital Plan - UPI'!#REF!</f>
        <v>#REF!</v>
      </c>
      <c r="T268" s="298" t="e">
        <f>'Digital Plan - UPI'!#REF!</f>
        <v>#REF!</v>
      </c>
      <c r="U268" s="298" t="e">
        <f>'Digital Plan - UPI'!#REF!</f>
        <v>#REF!</v>
      </c>
      <c r="V268" s="304" t="e">
        <f>'Digital Plan - UPI'!#REF!</f>
        <v>#REF!</v>
      </c>
      <c r="W268" s="305" t="e">
        <f>'Digital Plan - UPI'!#REF!</f>
        <v>#REF!</v>
      </c>
      <c r="X268" s="305" t="e">
        <f>'Digital Plan - UPI'!#REF!</f>
        <v>#REF!</v>
      </c>
      <c r="Y268" s="305" t="e">
        <f>'Digital Plan - UPI'!#REF!</f>
        <v>#REF!</v>
      </c>
      <c r="Z268" s="306" t="e">
        <f>'Digital Plan - UPI'!#REF!</f>
        <v>#REF!</v>
      </c>
      <c r="AA268" s="307" t="e">
        <f>'Digital Plan - UPI'!#REF!</f>
        <v>#REF!</v>
      </c>
      <c r="AB268" s="259"/>
      <c r="AC268" s="298" t="e">
        <f>N268/2</f>
        <v>#REF!</v>
      </c>
      <c r="AD268" s="298" t="e">
        <f>N268/2</f>
        <v>#REF!</v>
      </c>
      <c r="AE268" s="298"/>
      <c r="AF268" s="298"/>
      <c r="AG268" s="298"/>
      <c r="AH268" s="298"/>
      <c r="AI268" s="298"/>
      <c r="AJ268" s="298"/>
    </row>
    <row r="269" spans="1:36" x14ac:dyDescent="0.35">
      <c r="A269" s="323" t="str">
        <f>'Digital Plan - UPI'!B188</f>
        <v>Rest of T57 - Kannada</v>
      </c>
      <c r="B269" s="293" t="str">
        <f>'Digital Plan - UPI'!C188</f>
        <v>Core - CTV</v>
      </c>
      <c r="C269" s="294" t="str">
        <f>'Digital Plan - UPI'!D188</f>
        <v>Connected TV PMP</v>
      </c>
      <c r="D269" s="294" t="str">
        <f>'Digital Plan - UPI'!E188</f>
        <v>Video</v>
      </c>
      <c r="E269" s="406" t="str">
        <f>'Digital Plan - UPI'!F188</f>
        <v xml:space="preserve">Entertainment </v>
      </c>
      <c r="F269" s="406" t="str">
        <f>'Digital Plan - UPI'!G188</f>
        <v>CTV</v>
      </c>
      <c r="G269" s="296" t="str">
        <f>'Digital Plan - UPI'!H188</f>
        <v>Instream</v>
      </c>
      <c r="H269" s="296" t="str">
        <f>'Digital Plan - UPI'!I188</f>
        <v xml:space="preserve">Video-6 Sec </v>
      </c>
      <c r="I269" s="297" t="str">
        <f>'Digital Plan - UPI'!J188</f>
        <v>Reff : Targeting Sheet</v>
      </c>
      <c r="J269" s="295" t="str">
        <f>'Digital Plan - UPI'!K188</f>
        <v>CPM</v>
      </c>
      <c r="K269" s="298">
        <f>'Digital Plan - UPI'!L188</f>
        <v>21</v>
      </c>
      <c r="L269" s="299">
        <f>'Digital Plan - UPI'!M188</f>
        <v>45460</v>
      </c>
      <c r="M269" s="299">
        <f>'Digital Plan - UPI'!N188</f>
        <v>45480</v>
      </c>
      <c r="N269" s="298">
        <f>'Digital Plan - UPI'!O188</f>
        <v>183830.72399999999</v>
      </c>
      <c r="O269" s="300" t="str">
        <f>'Digital Plan - UPI'!P188</f>
        <v>-</v>
      </c>
      <c r="P269" s="301">
        <f>'Digital Plan - UPI'!Q188</f>
        <v>0</v>
      </c>
      <c r="Q269" s="298">
        <f>'Digital Plan - UPI'!R188</f>
        <v>0</v>
      </c>
      <c r="R269" s="302">
        <f>'Digital Plan - UPI'!S188</f>
        <v>0.85</v>
      </c>
      <c r="S269" s="303">
        <f>'Digital Plan - UPI'!T188</f>
        <v>156256.11539999998</v>
      </c>
      <c r="T269" s="298">
        <f>'Digital Plan - UPI'!U188</f>
        <v>45056.549999999996</v>
      </c>
      <c r="U269" s="298">
        <f>'Digital Plan - UPI'!V188</f>
        <v>4.08</v>
      </c>
      <c r="V269" s="304">
        <f>'Digital Plan - UPI'!X188</f>
        <v>125</v>
      </c>
      <c r="W269" s="305">
        <f>'Digital Plan - UPI'!Y188</f>
        <v>22978.840499999998</v>
      </c>
      <c r="X269" s="305">
        <f>'Digital Plan - UPI'!Z188</f>
        <v>125</v>
      </c>
      <c r="Y269" s="305">
        <f>'Digital Plan - UPI'!AA188</f>
        <v>0</v>
      </c>
      <c r="Z269" s="306">
        <f>'Digital Plan - UPI'!AB188</f>
        <v>54285</v>
      </c>
      <c r="AA269" s="307">
        <f>'Digital Plan - UPI'!AC188</f>
        <v>0.83</v>
      </c>
      <c r="AB269" s="259"/>
      <c r="AC269" s="298"/>
      <c r="AD269" s="298"/>
      <c r="AE269" s="298">
        <f>$N269/3</f>
        <v>61276.907999999996</v>
      </c>
      <c r="AF269" s="298">
        <f t="shared" ref="AF269:AJ274" si="89">$N269/3</f>
        <v>61276.907999999996</v>
      </c>
      <c r="AG269" s="298">
        <f t="shared" si="89"/>
        <v>61276.907999999996</v>
      </c>
      <c r="AH269" s="298"/>
      <c r="AI269" s="298"/>
      <c r="AJ269" s="298"/>
    </row>
    <row r="270" spans="1:36" x14ac:dyDescent="0.35">
      <c r="A270" s="323" t="e">
        <f>'Digital Plan - UPI'!#REF!</f>
        <v>#REF!</v>
      </c>
      <c r="B270" s="293" t="e">
        <f>'Digital Plan - UPI'!#REF!</f>
        <v>#REF!</v>
      </c>
      <c r="C270" s="294" t="e">
        <f>'Digital Plan - UPI'!#REF!</f>
        <v>#REF!</v>
      </c>
      <c r="D270" s="294" t="e">
        <f>'Digital Plan - UPI'!#REF!</f>
        <v>#REF!</v>
      </c>
      <c r="E270" s="406" t="e">
        <f>'Digital Plan - UPI'!#REF!</f>
        <v>#REF!</v>
      </c>
      <c r="F270" s="406" t="e">
        <f>'Digital Plan - UPI'!#REF!</f>
        <v>#REF!</v>
      </c>
      <c r="G270" s="296" t="e">
        <f>'Digital Plan - UPI'!#REF!</f>
        <v>#REF!</v>
      </c>
      <c r="H270" s="296" t="e">
        <f>'Digital Plan - UPI'!#REF!</f>
        <v>#REF!</v>
      </c>
      <c r="I270" s="297" t="e">
        <f>'Digital Plan - UPI'!#REF!</f>
        <v>#REF!</v>
      </c>
      <c r="J270" s="295" t="e">
        <f>'Digital Plan - UPI'!#REF!</f>
        <v>#REF!</v>
      </c>
      <c r="K270" s="298" t="e">
        <f>'Digital Plan - UPI'!#REF!</f>
        <v>#REF!</v>
      </c>
      <c r="L270" s="299" t="e">
        <f>'Digital Plan - UPI'!#REF!</f>
        <v>#REF!</v>
      </c>
      <c r="M270" s="299" t="e">
        <f>'Digital Plan - UPI'!#REF!</f>
        <v>#REF!</v>
      </c>
      <c r="N270" s="298" t="e">
        <f>'Digital Plan - UPI'!#REF!</f>
        <v>#REF!</v>
      </c>
      <c r="O270" s="300" t="e">
        <f>'Digital Plan - UPI'!#REF!</f>
        <v>#REF!</v>
      </c>
      <c r="P270" s="301" t="e">
        <f>'Digital Plan - UPI'!#REF!</f>
        <v>#REF!</v>
      </c>
      <c r="Q270" s="298" t="e">
        <f>'Digital Plan - UPI'!#REF!</f>
        <v>#REF!</v>
      </c>
      <c r="R270" s="302" t="e">
        <f>'Digital Plan - UPI'!#REF!</f>
        <v>#REF!</v>
      </c>
      <c r="S270" s="303" t="e">
        <f>'Digital Plan - UPI'!#REF!</f>
        <v>#REF!</v>
      </c>
      <c r="T270" s="298" t="e">
        <f>'Digital Plan - UPI'!#REF!</f>
        <v>#REF!</v>
      </c>
      <c r="U270" s="298" t="e">
        <f>'Digital Plan - UPI'!#REF!</f>
        <v>#REF!</v>
      </c>
      <c r="V270" s="304" t="e">
        <f>'Digital Plan - UPI'!#REF!</f>
        <v>#REF!</v>
      </c>
      <c r="W270" s="305" t="e">
        <f>'Digital Plan - UPI'!#REF!</f>
        <v>#REF!</v>
      </c>
      <c r="X270" s="305" t="e">
        <f>'Digital Plan - UPI'!#REF!</f>
        <v>#REF!</v>
      </c>
      <c r="Y270" s="305" t="e">
        <f>'Digital Plan - UPI'!#REF!</f>
        <v>#REF!</v>
      </c>
      <c r="Z270" s="306" t="e">
        <f>'Digital Plan - UPI'!#REF!</f>
        <v>#REF!</v>
      </c>
      <c r="AA270" s="307" t="e">
        <f>'Digital Plan - UPI'!#REF!</f>
        <v>#REF!</v>
      </c>
      <c r="AB270" s="259"/>
      <c r="AC270" s="298"/>
      <c r="AD270" s="298"/>
      <c r="AE270" s="298"/>
      <c r="AF270" s="298"/>
      <c r="AG270" s="298"/>
      <c r="AH270" s="298" t="e">
        <f>$N270/3</f>
        <v>#REF!</v>
      </c>
      <c r="AI270" s="298" t="e">
        <f t="shared" si="89"/>
        <v>#REF!</v>
      </c>
      <c r="AJ270" s="298" t="e">
        <f t="shared" si="89"/>
        <v>#REF!</v>
      </c>
    </row>
    <row r="271" spans="1:36" x14ac:dyDescent="0.35">
      <c r="A271" s="323" t="str">
        <f>'Digital Plan - UPI'!B189</f>
        <v>Rest of T57 - Kannada</v>
      </c>
      <c r="B271" s="293" t="str">
        <f>'Digital Plan - UPI'!C189</f>
        <v>Core - CTV</v>
      </c>
      <c r="C271" s="295" t="str">
        <f>'Digital Plan - UPI'!D189</f>
        <v xml:space="preserve">YouTube </v>
      </c>
      <c r="D271" s="295" t="str">
        <f>'Digital Plan - UPI'!E189</f>
        <v>Video</v>
      </c>
      <c r="E271" s="406" t="str">
        <f>'Digital Plan - UPI'!F189</f>
        <v xml:space="preserve">Entertainment </v>
      </c>
      <c r="F271" s="407" t="str">
        <f>'Digital Plan - UPI'!G189</f>
        <v>CTV</v>
      </c>
      <c r="G271" s="296" t="str">
        <f>'Digital Plan - UPI'!H189</f>
        <v>Instream</v>
      </c>
      <c r="H271" s="296" t="str">
        <f>'Digital Plan - UPI'!I189</f>
        <v xml:space="preserve">Bumper 6 secs  </v>
      </c>
      <c r="I271" s="297" t="str">
        <f>'Digital Plan - UPI'!J189</f>
        <v>Reff : Targeting Sheet</v>
      </c>
      <c r="J271" s="295" t="str">
        <f>'Digital Plan - UPI'!K189</f>
        <v>CPM</v>
      </c>
      <c r="K271" s="298">
        <f>'Digital Plan - UPI'!L189</f>
        <v>21</v>
      </c>
      <c r="L271" s="299">
        <f>'Digital Plan - UPI'!M189</f>
        <v>45460</v>
      </c>
      <c r="M271" s="299">
        <f>'Digital Plan - UPI'!N189</f>
        <v>45480</v>
      </c>
      <c r="N271" s="298">
        <f>'Digital Plan - UPI'!O189</f>
        <v>1147106.7818181817</v>
      </c>
      <c r="O271" s="300" t="str">
        <f>'Digital Plan - UPI'!P189</f>
        <v>-</v>
      </c>
      <c r="P271" s="301">
        <f>'Digital Plan - UPI'!Q189</f>
        <v>0</v>
      </c>
      <c r="Q271" s="298">
        <f>'Digital Plan - UPI'!R189</f>
        <v>0</v>
      </c>
      <c r="R271" s="302">
        <f>'Digital Plan - UPI'!S189</f>
        <v>0.8</v>
      </c>
      <c r="S271" s="303">
        <f>'Digital Plan - UPI'!T189</f>
        <v>917685.42545454542</v>
      </c>
      <c r="T271" s="298">
        <f>'Digital Plan - UPI'!U189</f>
        <v>212427.18181818179</v>
      </c>
      <c r="U271" s="298">
        <f>'Digital Plan - UPI'!V189</f>
        <v>5.4</v>
      </c>
      <c r="V271" s="304">
        <f>'Digital Plan - UPI'!X189</f>
        <v>110</v>
      </c>
      <c r="W271" s="305">
        <f>'Digital Plan - UPI'!Y189</f>
        <v>126181.746</v>
      </c>
      <c r="X271" s="305">
        <f>'Digital Plan - UPI'!Z189</f>
        <v>110</v>
      </c>
      <c r="Y271" s="305">
        <f>'Digital Plan - UPI'!AA189</f>
        <v>0</v>
      </c>
      <c r="Z271" s="306">
        <f>'Digital Plan - UPI'!AB189</f>
        <v>253377</v>
      </c>
      <c r="AA271" s="307">
        <f>'Digital Plan - UPI'!AC189</f>
        <v>0.83838383838383834</v>
      </c>
      <c r="AB271" s="259"/>
      <c r="AC271" s="298"/>
      <c r="AD271" s="298"/>
      <c r="AE271" s="298">
        <f>$N271/3</f>
        <v>382368.92727272725</v>
      </c>
      <c r="AF271" s="298">
        <f t="shared" si="89"/>
        <v>382368.92727272725</v>
      </c>
      <c r="AG271" s="298">
        <f t="shared" si="89"/>
        <v>382368.92727272725</v>
      </c>
      <c r="AH271" s="298"/>
      <c r="AI271" s="298"/>
      <c r="AJ271" s="298"/>
    </row>
    <row r="272" spans="1:36" x14ac:dyDescent="0.35">
      <c r="A272" s="323" t="e">
        <f>'Digital Plan - UPI'!#REF!</f>
        <v>#REF!</v>
      </c>
      <c r="B272" s="293" t="e">
        <f>'Digital Plan - UPI'!#REF!</f>
        <v>#REF!</v>
      </c>
      <c r="C272" s="295" t="e">
        <f>'Digital Plan - UPI'!#REF!</f>
        <v>#REF!</v>
      </c>
      <c r="D272" s="295" t="e">
        <f>'Digital Plan - UPI'!#REF!</f>
        <v>#REF!</v>
      </c>
      <c r="E272" s="406" t="e">
        <f>'Digital Plan - UPI'!#REF!</f>
        <v>#REF!</v>
      </c>
      <c r="F272" s="407" t="e">
        <f>'Digital Plan - UPI'!#REF!</f>
        <v>#REF!</v>
      </c>
      <c r="G272" s="296" t="e">
        <f>'Digital Plan - UPI'!#REF!</f>
        <v>#REF!</v>
      </c>
      <c r="H272" s="296" t="e">
        <f>'Digital Plan - UPI'!#REF!</f>
        <v>#REF!</v>
      </c>
      <c r="I272" s="297" t="e">
        <f>'Digital Plan - UPI'!#REF!</f>
        <v>#REF!</v>
      </c>
      <c r="J272" s="295" t="e">
        <f>'Digital Plan - UPI'!#REF!</f>
        <v>#REF!</v>
      </c>
      <c r="K272" s="298" t="e">
        <f>'Digital Plan - UPI'!#REF!</f>
        <v>#REF!</v>
      </c>
      <c r="L272" s="299" t="e">
        <f>'Digital Plan - UPI'!#REF!</f>
        <v>#REF!</v>
      </c>
      <c r="M272" s="299" t="e">
        <f>'Digital Plan - UPI'!#REF!</f>
        <v>#REF!</v>
      </c>
      <c r="N272" s="298" t="e">
        <f>'Digital Plan - UPI'!#REF!</f>
        <v>#REF!</v>
      </c>
      <c r="O272" s="300" t="e">
        <f>'Digital Plan - UPI'!#REF!</f>
        <v>#REF!</v>
      </c>
      <c r="P272" s="301" t="e">
        <f>'Digital Plan - UPI'!#REF!</f>
        <v>#REF!</v>
      </c>
      <c r="Q272" s="298" t="e">
        <f>'Digital Plan - UPI'!#REF!</f>
        <v>#REF!</v>
      </c>
      <c r="R272" s="302" t="e">
        <f>'Digital Plan - UPI'!#REF!</f>
        <v>#REF!</v>
      </c>
      <c r="S272" s="303" t="e">
        <f>'Digital Plan - UPI'!#REF!</f>
        <v>#REF!</v>
      </c>
      <c r="T272" s="298" t="e">
        <f>'Digital Plan - UPI'!#REF!</f>
        <v>#REF!</v>
      </c>
      <c r="U272" s="298" t="e">
        <f>'Digital Plan - UPI'!#REF!</f>
        <v>#REF!</v>
      </c>
      <c r="V272" s="304" t="e">
        <f>'Digital Plan - UPI'!#REF!</f>
        <v>#REF!</v>
      </c>
      <c r="W272" s="305" t="e">
        <f>'Digital Plan - UPI'!#REF!</f>
        <v>#REF!</v>
      </c>
      <c r="X272" s="305" t="e">
        <f>'Digital Plan - UPI'!#REF!</f>
        <v>#REF!</v>
      </c>
      <c r="Y272" s="305" t="e">
        <f>'Digital Plan - UPI'!#REF!</f>
        <v>#REF!</v>
      </c>
      <c r="Z272" s="306" t="e">
        <f>'Digital Plan - UPI'!#REF!</f>
        <v>#REF!</v>
      </c>
      <c r="AA272" s="307" t="e">
        <f>'Digital Plan - UPI'!#REF!</f>
        <v>#REF!</v>
      </c>
      <c r="AB272" s="259"/>
      <c r="AC272" s="298"/>
      <c r="AD272" s="298"/>
      <c r="AE272" s="298"/>
      <c r="AF272" s="298"/>
      <c r="AG272" s="298"/>
      <c r="AH272" s="298" t="e">
        <f>$N272/3</f>
        <v>#REF!</v>
      </c>
      <c r="AI272" s="298" t="e">
        <f t="shared" si="89"/>
        <v>#REF!</v>
      </c>
      <c r="AJ272" s="298" t="e">
        <f t="shared" si="89"/>
        <v>#REF!</v>
      </c>
    </row>
    <row r="273" spans="1:36" x14ac:dyDescent="0.35">
      <c r="A273" s="323" t="str">
        <f>'Digital Plan - UPI'!B190</f>
        <v>Rest of T57 - Kannada</v>
      </c>
      <c r="B273" s="293" t="str">
        <f>'Digital Plan - UPI'!C190</f>
        <v>Core</v>
      </c>
      <c r="C273" s="264" t="str">
        <f>'Digital Plan - UPI'!D190</f>
        <v>Meta</v>
      </c>
      <c r="D273" s="264" t="str">
        <f>'Digital Plan - UPI'!E190</f>
        <v>Video</v>
      </c>
      <c r="E273" s="404" t="str">
        <f>'Digital Plan - UPI'!F190</f>
        <v xml:space="preserve">Entertainment </v>
      </c>
      <c r="F273" s="404" t="str">
        <f>'Digital Plan - UPI'!G190</f>
        <v xml:space="preserve">Mobile </v>
      </c>
      <c r="G273" s="265" t="str">
        <f>'Digital Plan - UPI'!H190</f>
        <v xml:space="preserve">Instream </v>
      </c>
      <c r="H273" s="265" t="str">
        <f>'Digital Plan - UPI'!I190</f>
        <v>Instream - 6 Sec</v>
      </c>
      <c r="I273" s="308" t="str">
        <f>'Digital Plan - UPI'!J190</f>
        <v>Reff : Targeting Sheet</v>
      </c>
      <c r="J273" s="263" t="str">
        <f>'Digital Plan - UPI'!K190</f>
        <v>CPM</v>
      </c>
      <c r="K273" s="266">
        <f>'Digital Plan - UPI'!L190</f>
        <v>21</v>
      </c>
      <c r="L273" s="267">
        <f>'Digital Plan - UPI'!M190</f>
        <v>45460</v>
      </c>
      <c r="M273" s="267">
        <f>'Digital Plan - UPI'!N190</f>
        <v>45480</v>
      </c>
      <c r="N273" s="266">
        <f>'Digital Plan - UPI'!O190</f>
        <v>243697.89</v>
      </c>
      <c r="O273" s="268" t="str">
        <f>'Digital Plan - UPI'!P190</f>
        <v>-</v>
      </c>
      <c r="P273" s="269">
        <f>'Digital Plan - UPI'!Q190</f>
        <v>1E-3</v>
      </c>
      <c r="Q273" s="266">
        <f>'Digital Plan - UPI'!R190</f>
        <v>243.69789000000003</v>
      </c>
      <c r="R273" s="270">
        <f>'Digital Plan - UPI'!S190</f>
        <v>0.7</v>
      </c>
      <c r="S273" s="271">
        <f>'Digital Plan - UPI'!T190</f>
        <v>170588.52299999999</v>
      </c>
      <c r="T273" s="266">
        <f>'Digital Plan - UPI'!U190</f>
        <v>162465.26</v>
      </c>
      <c r="U273" s="266">
        <f>'Digital Plan - UPI'!V190</f>
        <v>1.5</v>
      </c>
      <c r="V273" s="272">
        <f>'Digital Plan - UPI'!X190</f>
        <v>70</v>
      </c>
      <c r="W273" s="273">
        <f>'Digital Plan - UPI'!Y190</f>
        <v>17058.852299999999</v>
      </c>
      <c r="X273" s="273">
        <f>'Digital Plan - UPI'!Z190</f>
        <v>69.999999999999986</v>
      </c>
      <c r="Y273" s="273">
        <f>'Digital Plan - UPI'!AA190</f>
        <v>69.999999999999986</v>
      </c>
      <c r="Z273" s="274">
        <f>'Digital Plan - UPI'!AB190</f>
        <v>406163.14999999997</v>
      </c>
      <c r="AA273" s="275">
        <f>'Digital Plan - UPI'!AC190</f>
        <v>0.4</v>
      </c>
      <c r="AB273" s="259"/>
      <c r="AC273" s="266"/>
      <c r="AD273" s="266"/>
      <c r="AE273" s="266">
        <f>$N273/3</f>
        <v>81232.63</v>
      </c>
      <c r="AF273" s="266">
        <f t="shared" si="89"/>
        <v>81232.63</v>
      </c>
      <c r="AG273" s="266">
        <f t="shared" si="89"/>
        <v>81232.63</v>
      </c>
      <c r="AH273" s="266"/>
      <c r="AI273" s="266"/>
      <c r="AJ273" s="266"/>
    </row>
    <row r="274" spans="1:36" x14ac:dyDescent="0.35">
      <c r="A274" s="323" t="str">
        <f>'Digital Plan - UPI'!B191</f>
        <v>Rest of T57 - Kannada</v>
      </c>
      <c r="B274" s="293" t="str">
        <f>'Digital Plan - UPI'!C191</f>
        <v>Core</v>
      </c>
      <c r="C274" s="264" t="str">
        <f>'Digital Plan - UPI'!D191</f>
        <v xml:space="preserve">YouTube </v>
      </c>
      <c r="D274" s="264" t="str">
        <f>'Digital Plan - UPI'!E191</f>
        <v>Video</v>
      </c>
      <c r="E274" s="404" t="str">
        <f>'Digital Plan - UPI'!F191</f>
        <v xml:space="preserve">Entertainment </v>
      </c>
      <c r="F274" s="404" t="str">
        <f>'Digital Plan - UPI'!G191</f>
        <v xml:space="preserve">Mobile </v>
      </c>
      <c r="G274" s="265" t="str">
        <f>'Digital Plan - UPI'!H191</f>
        <v xml:space="preserve">Instream </v>
      </c>
      <c r="H274" s="265" t="str">
        <f>'Digital Plan - UPI'!I191</f>
        <v xml:space="preserve">Bumper 6 secs  </v>
      </c>
      <c r="I274" s="308" t="str">
        <f>'Digital Plan - UPI'!J191</f>
        <v>Reff : Targeting Sheet</v>
      </c>
      <c r="J274" s="263" t="str">
        <f>'Digital Plan - UPI'!K191</f>
        <v>CPM</v>
      </c>
      <c r="K274" s="266">
        <f>'Digital Plan - UPI'!L191</f>
        <v>21</v>
      </c>
      <c r="L274" s="267">
        <f>'Digital Plan - UPI'!M191</f>
        <v>45460</v>
      </c>
      <c r="M274" s="267">
        <f>'Digital Plan - UPI'!N191</f>
        <v>45480</v>
      </c>
      <c r="N274" s="266">
        <f>'Digital Plan - UPI'!O191</f>
        <v>328514.3125</v>
      </c>
      <c r="O274" s="268" t="str">
        <f>'Digital Plan - UPI'!P191</f>
        <v>-</v>
      </c>
      <c r="P274" s="269">
        <f>'Digital Plan - UPI'!Q191</f>
        <v>1E-3</v>
      </c>
      <c r="Q274" s="266">
        <f>'Digital Plan - UPI'!R191</f>
        <v>328.51431250000002</v>
      </c>
      <c r="R274" s="270">
        <f>'Digital Plan - UPI'!S191</f>
        <v>0.8</v>
      </c>
      <c r="S274" s="271">
        <f>'Digital Plan - UPI'!T191</f>
        <v>262811.45</v>
      </c>
      <c r="T274" s="266">
        <f>'Digital Plan - UPI'!U191</f>
        <v>234653.08035714287</v>
      </c>
      <c r="U274" s="266">
        <f>'Digital Plan - UPI'!V191</f>
        <v>1.4</v>
      </c>
      <c r="V274" s="272">
        <f>'Digital Plan - UPI'!X191</f>
        <v>80</v>
      </c>
      <c r="W274" s="273">
        <f>'Digital Plan - UPI'!Y191</f>
        <v>26281.145</v>
      </c>
      <c r="X274" s="273">
        <f>'Digital Plan - UPI'!Z191</f>
        <v>80</v>
      </c>
      <c r="Y274" s="273">
        <f>'Digital Plan - UPI'!AA191</f>
        <v>80</v>
      </c>
      <c r="Z274" s="274">
        <f>'Digital Plan - UPI'!AB191</f>
        <v>477839</v>
      </c>
      <c r="AA274" s="275">
        <f>'Digital Plan - UPI'!AC191</f>
        <v>0.4910714285714286</v>
      </c>
      <c r="AB274" s="259"/>
      <c r="AC274" s="266"/>
      <c r="AD274" s="266"/>
      <c r="AE274" s="266"/>
      <c r="AF274" s="266"/>
      <c r="AG274" s="266"/>
      <c r="AH274" s="266">
        <f>$N274/3</f>
        <v>109504.77083333333</v>
      </c>
      <c r="AI274" s="266">
        <f t="shared" si="89"/>
        <v>109504.77083333333</v>
      </c>
      <c r="AJ274" s="266">
        <f t="shared" si="89"/>
        <v>109504.77083333333</v>
      </c>
    </row>
    <row r="275" spans="1:36" x14ac:dyDescent="0.35">
      <c r="A275" s="323" t="str">
        <f>'Digital Plan - UPI'!B192</f>
        <v>Rest of T57</v>
      </c>
      <c r="B275" s="293" t="str">
        <f>'Digital Plan - UPI'!C192</f>
        <v>Core</v>
      </c>
      <c r="C275" s="263" t="str">
        <f>'Digital Plan - UPI'!D192</f>
        <v xml:space="preserve">DSP </v>
      </c>
      <c r="D275" s="263" t="str">
        <f>'Digital Plan - UPI'!E192</f>
        <v>Static</v>
      </c>
      <c r="E275" s="404" t="str">
        <f>'Digital Plan - UPI'!F192</f>
        <v xml:space="preserve">Network </v>
      </c>
      <c r="F275" s="404" t="str">
        <f>'Digital Plan - UPI'!G192</f>
        <v>Mobile</v>
      </c>
      <c r="G275" s="265" t="str">
        <f>'Digital Plan - UPI'!H192</f>
        <v>ROS</v>
      </c>
      <c r="H275" s="265" t="str">
        <f>'Digital Plan - UPI'!I192</f>
        <v>Large Formats</v>
      </c>
      <c r="I275" s="309" t="str">
        <f>'Digital Plan - UPI'!J192</f>
        <v>Reff : Targeting Sheet</v>
      </c>
      <c r="J275" s="263" t="str">
        <f>'Digital Plan - UPI'!K192</f>
        <v>CPM</v>
      </c>
      <c r="K275" s="266">
        <f>'Digital Plan - UPI'!L192</f>
        <v>21</v>
      </c>
      <c r="L275" s="267">
        <f>'Digital Plan - UPI'!M192</f>
        <v>45460</v>
      </c>
      <c r="M275" s="267">
        <f>'Digital Plan - UPI'!N192</f>
        <v>45480</v>
      </c>
      <c r="N275" s="266">
        <f>'Digital Plan - UPI'!O192</f>
        <v>3778074.0228000004</v>
      </c>
      <c r="O275" s="268" t="str">
        <f>'Digital Plan - UPI'!P192</f>
        <v>-</v>
      </c>
      <c r="P275" s="269">
        <f>'Digital Plan - UPI'!Q192</f>
        <v>1.4999999999999999E-2</v>
      </c>
      <c r="Q275" s="266">
        <f>'Digital Plan - UPI'!R192</f>
        <v>56671.110342000007</v>
      </c>
      <c r="R275" s="268" t="str">
        <f>'Digital Plan - UPI'!S192</f>
        <v>-</v>
      </c>
      <c r="S275" s="271" t="str">
        <f>'Digital Plan - UPI'!T192</f>
        <v>-</v>
      </c>
      <c r="T275" s="266">
        <f>'Digital Plan - UPI'!U192</f>
        <v>3778074.0228000004</v>
      </c>
      <c r="U275" s="266">
        <f>'Digital Plan - UPI'!V192</f>
        <v>1</v>
      </c>
      <c r="V275" s="272">
        <f>'Digital Plan - UPI'!X192</f>
        <v>105</v>
      </c>
      <c r="W275" s="273">
        <f>'Digital Plan - UPI'!Y192</f>
        <v>396697.77239400003</v>
      </c>
      <c r="X275" s="273">
        <f>'Digital Plan - UPI'!Z192</f>
        <v>105</v>
      </c>
      <c r="Y275" s="273">
        <f>'Digital Plan - UPI'!AA192</f>
        <v>7</v>
      </c>
      <c r="Z275" s="274">
        <f>'Digital Plan - UPI'!AB192</f>
        <v>9445185.057</v>
      </c>
      <c r="AA275" s="275">
        <f>'Digital Plan - UPI'!AC192</f>
        <v>0.4</v>
      </c>
      <c r="AB275" s="259"/>
      <c r="AC275" s="266">
        <f t="shared" ref="AC275:AD275" si="90">$N275*20%</f>
        <v>755614.80456000008</v>
      </c>
      <c r="AD275" s="266">
        <f t="shared" si="90"/>
        <v>755614.80456000008</v>
      </c>
      <c r="AE275" s="266">
        <f t="shared" ref="AE275:AF275" si="91">$N275*15%</f>
        <v>566711.10342000006</v>
      </c>
      <c r="AF275" s="266">
        <f t="shared" si="91"/>
        <v>566711.10342000006</v>
      </c>
      <c r="AG275" s="266">
        <f t="shared" ref="AG275:AH275" si="92">$N275*10%</f>
        <v>377807.40228000004</v>
      </c>
      <c r="AH275" s="266">
        <f t="shared" si="92"/>
        <v>377807.40228000004</v>
      </c>
      <c r="AI275" s="266">
        <f t="shared" ref="AI275:AJ275" si="93">$N275*5%</f>
        <v>188903.70114000002</v>
      </c>
      <c r="AJ275" s="266">
        <f t="shared" si="93"/>
        <v>188903.70114000002</v>
      </c>
    </row>
    <row r="276" spans="1:36" x14ac:dyDescent="0.35">
      <c r="A276" s="324" t="str">
        <f>'Digital Plan - UPI'!B193</f>
        <v>Rest of T57</v>
      </c>
      <c r="B276" s="325">
        <f>'Digital Plan - UPI'!C193</f>
        <v>0</v>
      </c>
      <c r="C276" s="326" t="str">
        <f>'Digital Plan - UPI'!D193</f>
        <v>Total</v>
      </c>
      <c r="D276" s="327">
        <f>'Digital Plan - UPI'!E193</f>
        <v>0</v>
      </c>
      <c r="E276" s="409">
        <f>'Digital Plan - UPI'!F193</f>
        <v>0</v>
      </c>
      <c r="F276" s="409">
        <f>'Digital Plan - UPI'!G193</f>
        <v>0</v>
      </c>
      <c r="G276" s="327">
        <f>'Digital Plan - UPI'!H193</f>
        <v>0</v>
      </c>
      <c r="H276" s="328">
        <f>'Digital Plan - UPI'!I193</f>
        <v>0</v>
      </c>
      <c r="I276" s="329">
        <f>'Digital Plan - UPI'!J193</f>
        <v>0</v>
      </c>
      <c r="J276" s="330">
        <f>'Digital Plan - UPI'!K193</f>
        <v>0</v>
      </c>
      <c r="K276" s="331">
        <f>'Digital Plan - UPI'!L193</f>
        <v>0</v>
      </c>
      <c r="L276" s="331">
        <f>'Digital Plan - UPI'!M193</f>
        <v>0</v>
      </c>
      <c r="M276" s="331">
        <f>'Digital Plan - UPI'!N193</f>
        <v>0</v>
      </c>
      <c r="N276" s="331">
        <f>'Digital Plan - UPI'!O193</f>
        <v>68981168.507027268</v>
      </c>
      <c r="O276" s="331">
        <f>'Digital Plan - UPI'!P193</f>
        <v>0</v>
      </c>
      <c r="P276" s="332">
        <f>'Digital Plan - UPI'!Q193</f>
        <v>1.1130080416320957E-3</v>
      </c>
      <c r="Q276" s="331">
        <f>'Digital Plan - UPI'!R193</f>
        <v>76776.595269500016</v>
      </c>
      <c r="R276" s="333">
        <f>'Digital Plan - UPI'!S193</f>
        <v>0</v>
      </c>
      <c r="S276" s="334">
        <f>'Digital Plan - UPI'!T193</f>
        <v>51558018.752581827</v>
      </c>
      <c r="T276" s="331">
        <f>'Digital Plan - UPI'!U193</f>
        <v>10569656.76457794</v>
      </c>
      <c r="U276" s="331">
        <f>'Digital Plan - UPI'!V193</f>
        <v>6.5263395059528948</v>
      </c>
      <c r="V276" s="335">
        <f>'Digital Plan - UPI'!X193</f>
        <v>0</v>
      </c>
      <c r="W276" s="336">
        <f>'Digital Plan - UPI'!Y193</f>
        <v>6955789.9671940012</v>
      </c>
      <c r="X276" s="337">
        <f>'Digital Plan - UPI'!Z193</f>
        <v>100.83607044849347</v>
      </c>
      <c r="Y276" s="337">
        <f>'Digital Plan - UPI'!AA193</f>
        <v>90.597791459466194</v>
      </c>
      <c r="Z276" s="331">
        <f>'Digital Plan - UPI'!AB193</f>
        <v>17470596.834139999</v>
      </c>
      <c r="AA276" s="338">
        <f>'Digital Plan - UPI'!AC193</f>
        <v>0.6049968907715475</v>
      </c>
      <c r="AB276" s="259"/>
      <c r="AC276" s="331"/>
      <c r="AD276" s="331"/>
      <c r="AE276" s="331"/>
      <c r="AF276" s="331"/>
      <c r="AG276" s="331"/>
      <c r="AH276" s="331"/>
      <c r="AI276" s="331"/>
      <c r="AJ276" s="331"/>
    </row>
    <row r="277" spans="1:36" x14ac:dyDescent="0.35">
      <c r="A277" s="339" t="str">
        <f>'Digital Plan - UPI'!B194</f>
        <v>All Geos</v>
      </c>
      <c r="B277" s="293" t="str">
        <f>'Digital Plan - UPI'!C194</f>
        <v>Core</v>
      </c>
      <c r="C277" s="340" t="str">
        <f>'Digital Plan - UPI'!D194</f>
        <v>Digital Turbine</v>
      </c>
      <c r="D277" s="341" t="str">
        <f>'Digital Plan - UPI'!E194</f>
        <v>Static</v>
      </c>
      <c r="E277" s="410" t="str">
        <f>'Digital Plan - UPI'!F194</f>
        <v>DMP</v>
      </c>
      <c r="F277" s="410" t="str">
        <f>'Digital Plan - UPI'!G194</f>
        <v>Mobile</v>
      </c>
      <c r="G277" s="341" t="str">
        <f>'Digital Plan - UPI'!H194</f>
        <v>ROS</v>
      </c>
      <c r="H277" s="341" t="str">
        <f>'Digital Plan - UPI'!I194</f>
        <v>Banners</v>
      </c>
      <c r="I277" s="309" t="str">
        <f>'Digital Plan - UPI'!J194</f>
        <v>Reff : Targeting Sheet</v>
      </c>
      <c r="J277" s="341" t="str">
        <f>'Digital Plan - UPI'!K194</f>
        <v>CPM</v>
      </c>
      <c r="K277" s="342">
        <f>'Digital Plan - UPI'!L194</f>
        <v>21</v>
      </c>
      <c r="L277" s="343">
        <f>'Digital Plan - UPI'!M194</f>
        <v>45460</v>
      </c>
      <c r="M277" s="343">
        <f>'Digital Plan - UPI'!N194</f>
        <v>45480</v>
      </c>
      <c r="N277" s="342">
        <f>'Digital Plan - UPI'!O194</f>
        <v>7142857.1428571427</v>
      </c>
      <c r="O277" s="344" t="str">
        <f>'Digital Plan - UPI'!P194</f>
        <v>-</v>
      </c>
      <c r="P277" s="345">
        <f>'Digital Plan - UPI'!Q194</f>
        <v>1.4999999999999999E-2</v>
      </c>
      <c r="Q277" s="346">
        <f>'Digital Plan - UPI'!R194</f>
        <v>107142.85714285713</v>
      </c>
      <c r="R277" s="344" t="str">
        <f>'Digital Plan - UPI'!S194</f>
        <v>-</v>
      </c>
      <c r="S277" s="344" t="str">
        <f>'Digital Plan - UPI'!T194</f>
        <v>-</v>
      </c>
      <c r="T277" s="342">
        <f>'Digital Plan - UPI'!U194</f>
        <v>3571428.5714285714</v>
      </c>
      <c r="U277" s="347">
        <f>'Digital Plan - UPI'!V194</f>
        <v>2</v>
      </c>
      <c r="V277" s="348">
        <f>'Digital Plan - UPI'!X194</f>
        <v>105</v>
      </c>
      <c r="W277" s="273">
        <f>'Digital Plan - UPI'!Y194</f>
        <v>750000</v>
      </c>
      <c r="X277" s="273">
        <f>'Digital Plan - UPI'!Z194</f>
        <v>105</v>
      </c>
      <c r="Y277" s="273">
        <f>'Digital Plan - UPI'!AA194</f>
        <v>7.0000000000000009</v>
      </c>
      <c r="Z277" s="346">
        <f>'Digital Plan - UPI'!AB194</f>
        <v>53766063</v>
      </c>
      <c r="AA277" s="209">
        <f>'Digital Plan - UPI'!AC194</f>
        <v>6.6425331745576605E-2</v>
      </c>
      <c r="AB277" s="259"/>
      <c r="AC277" s="266">
        <f t="shared" ref="AC277:AD279" si="94">$N277*20%</f>
        <v>1428571.4285714286</v>
      </c>
      <c r="AD277" s="266">
        <f t="shared" si="94"/>
        <v>1428571.4285714286</v>
      </c>
      <c r="AE277" s="266">
        <f t="shared" ref="AE277:AF279" si="95">$N277*15%</f>
        <v>1071428.5714285714</v>
      </c>
      <c r="AF277" s="266">
        <f t="shared" si="95"/>
        <v>1071428.5714285714</v>
      </c>
      <c r="AG277" s="266">
        <f t="shared" ref="AG277:AH279" si="96">$N277*10%</f>
        <v>714285.71428571432</v>
      </c>
      <c r="AH277" s="266">
        <f t="shared" si="96"/>
        <v>714285.71428571432</v>
      </c>
      <c r="AI277" s="266">
        <f t="shared" ref="AI277:AJ279" si="97">$N277*5%</f>
        <v>357142.85714285716</v>
      </c>
      <c r="AJ277" s="266">
        <f t="shared" si="97"/>
        <v>357142.85714285716</v>
      </c>
    </row>
    <row r="278" spans="1:36" x14ac:dyDescent="0.35">
      <c r="A278" s="339" t="str">
        <f>'Digital Plan - UPI'!B195</f>
        <v>All Geos</v>
      </c>
      <c r="B278" s="293" t="str">
        <f>'Digital Plan - UPI'!C195</f>
        <v>Core</v>
      </c>
      <c r="C278" s="340" t="str">
        <f>'Digital Plan - UPI'!D195</f>
        <v>DSP DMP</v>
      </c>
      <c r="D278" s="341" t="str">
        <f>'Digital Plan - UPI'!E195</f>
        <v>Static</v>
      </c>
      <c r="E278" s="410" t="str">
        <f>'Digital Plan - UPI'!F195</f>
        <v>DMP</v>
      </c>
      <c r="F278" s="410" t="str">
        <f>'Digital Plan - UPI'!G195</f>
        <v>Mobile</v>
      </c>
      <c r="G278" s="341" t="str">
        <f>'Digital Plan - UPI'!H195</f>
        <v>ROS</v>
      </c>
      <c r="H278" s="341" t="str">
        <f>'Digital Plan - UPI'!I195</f>
        <v>Banners</v>
      </c>
      <c r="I278" s="309" t="str">
        <f>'Digital Plan - UPI'!J195</f>
        <v>Reff : Targeting Sheet</v>
      </c>
      <c r="J278" s="341" t="str">
        <f>'Digital Plan - UPI'!K195</f>
        <v>CPM</v>
      </c>
      <c r="K278" s="342">
        <f>'Digital Plan - UPI'!L195</f>
        <v>21</v>
      </c>
      <c r="L278" s="343">
        <f>'Digital Plan - UPI'!M195</f>
        <v>45460</v>
      </c>
      <c r="M278" s="343">
        <f>'Digital Plan - UPI'!N195</f>
        <v>45480</v>
      </c>
      <c r="N278" s="342">
        <f>'Digital Plan - UPI'!O195</f>
        <v>7142857.1428571427</v>
      </c>
      <c r="O278" s="344" t="str">
        <f>'Digital Plan - UPI'!P195</f>
        <v>-</v>
      </c>
      <c r="P278" s="345">
        <f>'Digital Plan - UPI'!Q195</f>
        <v>1.4999999999999999E-2</v>
      </c>
      <c r="Q278" s="346">
        <f>'Digital Plan - UPI'!R195</f>
        <v>107142.85714285713</v>
      </c>
      <c r="R278" s="344" t="str">
        <f>'Digital Plan - UPI'!S195</f>
        <v>-</v>
      </c>
      <c r="S278" s="344" t="str">
        <f>'Digital Plan - UPI'!T195</f>
        <v>-</v>
      </c>
      <c r="T278" s="342">
        <f>'Digital Plan - UPI'!U195</f>
        <v>3571428.5714285714</v>
      </c>
      <c r="U278" s="347">
        <f>'Digital Plan - UPI'!V195</f>
        <v>2</v>
      </c>
      <c r="V278" s="348">
        <f>'Digital Plan - UPI'!X195</f>
        <v>105</v>
      </c>
      <c r="W278" s="273">
        <f>'Digital Plan - UPI'!Y195</f>
        <v>750000</v>
      </c>
      <c r="X278" s="273">
        <f>'Digital Plan - UPI'!Z195</f>
        <v>105</v>
      </c>
      <c r="Y278" s="273">
        <f>'Digital Plan - UPI'!AA195</f>
        <v>7.0000000000000009</v>
      </c>
      <c r="Z278" s="209">
        <f>'Digital Plan - UPI'!AB195</f>
        <v>0</v>
      </c>
      <c r="AA278" s="209">
        <f>'Digital Plan - UPI'!AC195</f>
        <v>0</v>
      </c>
      <c r="AB278" s="259"/>
      <c r="AC278" s="266">
        <f t="shared" si="94"/>
        <v>1428571.4285714286</v>
      </c>
      <c r="AD278" s="266">
        <f t="shared" si="94"/>
        <v>1428571.4285714286</v>
      </c>
      <c r="AE278" s="266">
        <f t="shared" si="95"/>
        <v>1071428.5714285714</v>
      </c>
      <c r="AF278" s="266">
        <f t="shared" si="95"/>
        <v>1071428.5714285714</v>
      </c>
      <c r="AG278" s="266">
        <f t="shared" si="96"/>
        <v>714285.71428571432</v>
      </c>
      <c r="AH278" s="266">
        <f t="shared" si="96"/>
        <v>714285.71428571432</v>
      </c>
      <c r="AI278" s="266">
        <f t="shared" si="97"/>
        <v>357142.85714285716</v>
      </c>
      <c r="AJ278" s="266">
        <f t="shared" si="97"/>
        <v>357142.85714285716</v>
      </c>
    </row>
    <row r="279" spans="1:36" x14ac:dyDescent="0.35">
      <c r="A279" s="339" t="e">
        <f>'Digital Plan - UPI'!#REF!</f>
        <v>#REF!</v>
      </c>
      <c r="B279" s="293" t="e">
        <f>'Digital Plan - UPI'!#REF!</f>
        <v>#REF!</v>
      </c>
      <c r="C279" s="340" t="e">
        <f>'Digital Plan - UPI'!#REF!</f>
        <v>#REF!</v>
      </c>
      <c r="D279" s="341" t="e">
        <f>'Digital Plan - UPI'!#REF!</f>
        <v>#REF!</v>
      </c>
      <c r="E279" s="410" t="e">
        <f>'Digital Plan - UPI'!#REF!</f>
        <v>#REF!</v>
      </c>
      <c r="F279" s="410" t="e">
        <f>'Digital Plan - UPI'!#REF!</f>
        <v>#REF!</v>
      </c>
      <c r="G279" s="341" t="e">
        <f>'Digital Plan - UPI'!#REF!</f>
        <v>#REF!</v>
      </c>
      <c r="H279" s="341" t="e">
        <f>'Digital Plan - UPI'!#REF!</f>
        <v>#REF!</v>
      </c>
      <c r="I279" s="309" t="e">
        <f>'Digital Plan - UPI'!#REF!</f>
        <v>#REF!</v>
      </c>
      <c r="J279" s="341" t="e">
        <f>'Digital Plan - UPI'!#REF!</f>
        <v>#REF!</v>
      </c>
      <c r="K279" s="342" t="e">
        <f>'Digital Plan - UPI'!#REF!</f>
        <v>#REF!</v>
      </c>
      <c r="L279" s="343" t="e">
        <f>'Digital Plan - UPI'!#REF!</f>
        <v>#REF!</v>
      </c>
      <c r="M279" s="343" t="e">
        <f>'Digital Plan - UPI'!#REF!</f>
        <v>#REF!</v>
      </c>
      <c r="N279" s="342" t="e">
        <f>'Digital Plan - UPI'!#REF!</f>
        <v>#REF!</v>
      </c>
      <c r="O279" s="344" t="e">
        <f>'Digital Plan - UPI'!#REF!</f>
        <v>#REF!</v>
      </c>
      <c r="P279" s="345" t="e">
        <f>'Digital Plan - UPI'!#REF!</f>
        <v>#REF!</v>
      </c>
      <c r="Q279" s="346" t="e">
        <f>'Digital Plan - UPI'!#REF!</f>
        <v>#REF!</v>
      </c>
      <c r="R279" s="344" t="e">
        <f>'Digital Plan - UPI'!#REF!</f>
        <v>#REF!</v>
      </c>
      <c r="S279" s="344" t="e">
        <f>'Digital Plan - UPI'!#REF!</f>
        <v>#REF!</v>
      </c>
      <c r="T279" s="342" t="e">
        <f>'Digital Plan - UPI'!#REF!</f>
        <v>#REF!</v>
      </c>
      <c r="U279" s="347" t="e">
        <f>'Digital Plan - UPI'!#REF!</f>
        <v>#REF!</v>
      </c>
      <c r="V279" s="348" t="e">
        <f>'Digital Plan - UPI'!#REF!</f>
        <v>#REF!</v>
      </c>
      <c r="W279" s="273" t="e">
        <f>'Digital Plan - UPI'!#REF!</f>
        <v>#REF!</v>
      </c>
      <c r="X279" s="273" t="e">
        <f>'Digital Plan - UPI'!#REF!</f>
        <v>#REF!</v>
      </c>
      <c r="Y279" s="273" t="e">
        <f>'Digital Plan - UPI'!#REF!</f>
        <v>#REF!</v>
      </c>
      <c r="Z279" s="349" t="e">
        <f>'Digital Plan - UPI'!#REF!</f>
        <v>#REF!</v>
      </c>
      <c r="AA279" s="209" t="e">
        <f>'Digital Plan - UPI'!#REF!</f>
        <v>#REF!</v>
      </c>
      <c r="AB279" s="259"/>
      <c r="AC279" s="266" t="e">
        <f t="shared" si="94"/>
        <v>#REF!</v>
      </c>
      <c r="AD279" s="266" t="e">
        <f t="shared" si="94"/>
        <v>#REF!</v>
      </c>
      <c r="AE279" s="266" t="e">
        <f t="shared" si="95"/>
        <v>#REF!</v>
      </c>
      <c r="AF279" s="266" t="e">
        <f t="shared" si="95"/>
        <v>#REF!</v>
      </c>
      <c r="AG279" s="266" t="e">
        <f t="shared" si="96"/>
        <v>#REF!</v>
      </c>
      <c r="AH279" s="266" t="e">
        <f t="shared" si="96"/>
        <v>#REF!</v>
      </c>
      <c r="AI279" s="266" t="e">
        <f t="shared" si="97"/>
        <v>#REF!</v>
      </c>
      <c r="AJ279" s="266" t="e">
        <f t="shared" si="97"/>
        <v>#REF!</v>
      </c>
    </row>
    <row r="280" spans="1:36" x14ac:dyDescent="0.35">
      <c r="A280" s="350" t="str">
        <f>'Digital Plan - UPI'!B196</f>
        <v>DMP Test</v>
      </c>
      <c r="B280" s="351">
        <f>'Digital Plan - UPI'!C196</f>
        <v>0</v>
      </c>
      <c r="C280" s="352">
        <f>'Digital Plan - UPI'!D196</f>
        <v>0</v>
      </c>
      <c r="D280" s="283">
        <f>'Digital Plan - UPI'!E196</f>
        <v>0</v>
      </c>
      <c r="E280" s="411">
        <f>'Digital Plan - UPI'!F196</f>
        <v>0</v>
      </c>
      <c r="F280" s="411">
        <f>'Digital Plan - UPI'!G196</f>
        <v>0</v>
      </c>
      <c r="G280" s="283">
        <f>'Digital Plan - UPI'!H196</f>
        <v>0</v>
      </c>
      <c r="H280" s="283">
        <f>'Digital Plan - UPI'!I196</f>
        <v>0</v>
      </c>
      <c r="I280" s="353">
        <f>'Digital Plan - UPI'!J196</f>
        <v>0</v>
      </c>
      <c r="J280" s="283">
        <f>'Digital Plan - UPI'!K196</f>
        <v>0</v>
      </c>
      <c r="K280" s="284">
        <f>'Digital Plan - UPI'!L196</f>
        <v>0</v>
      </c>
      <c r="L280" s="284">
        <f>'Digital Plan - UPI'!M196</f>
        <v>0</v>
      </c>
      <c r="M280" s="284">
        <f>'Digital Plan - UPI'!N196</f>
        <v>0</v>
      </c>
      <c r="N280" s="284">
        <f>'Digital Plan - UPI'!O196</f>
        <v>14285714.285714285</v>
      </c>
      <c r="O280" s="284">
        <f>'Digital Plan - UPI'!P196</f>
        <v>0</v>
      </c>
      <c r="P280" s="285">
        <f>'Digital Plan - UPI'!Q196</f>
        <v>1.4999999999999999E-2</v>
      </c>
      <c r="Q280" s="284">
        <f>'Digital Plan - UPI'!R196</f>
        <v>214285.71428571426</v>
      </c>
      <c r="R280" s="286">
        <f>'Digital Plan - UPI'!S196</f>
        <v>0</v>
      </c>
      <c r="S280" s="316">
        <f>'Digital Plan - UPI'!T196</f>
        <v>0</v>
      </c>
      <c r="T280" s="284">
        <f>'Digital Plan - UPI'!U196</f>
        <v>4107142.8571428573</v>
      </c>
      <c r="U280" s="284">
        <f>'Digital Plan - UPI'!V196</f>
        <v>10</v>
      </c>
      <c r="V280" s="287">
        <f>'Digital Plan - UPI'!X196</f>
        <v>175</v>
      </c>
      <c r="W280" s="317">
        <f>'Digital Plan - UPI'!Y196</f>
        <v>1500000</v>
      </c>
      <c r="X280" s="288">
        <f>'Digital Plan - UPI'!Z196</f>
        <v>0</v>
      </c>
      <c r="Y280" s="288">
        <f>'Digital Plan - UPI'!AA196</f>
        <v>0</v>
      </c>
      <c r="Z280" s="354">
        <f>'Digital Plan - UPI'!AB196</f>
        <v>0</v>
      </c>
      <c r="AA280" s="289">
        <f>'Digital Plan - UPI'!AC196</f>
        <v>0</v>
      </c>
      <c r="AB280" s="259"/>
      <c r="AC280" s="284"/>
      <c r="AD280" s="284"/>
      <c r="AE280" s="284"/>
      <c r="AF280" s="284"/>
      <c r="AG280" s="284"/>
      <c r="AH280" s="284"/>
      <c r="AI280" s="284"/>
      <c r="AJ280" s="284"/>
    </row>
    <row r="281" spans="1:36" x14ac:dyDescent="0.35">
      <c r="A281" s="461"/>
      <c r="B281" s="462"/>
      <c r="C281" s="463"/>
      <c r="D281" s="464" t="s">
        <v>46</v>
      </c>
      <c r="E281" s="465"/>
      <c r="F281" s="465" t="s">
        <v>101</v>
      </c>
      <c r="G281" s="464"/>
      <c r="H281" s="464"/>
      <c r="I281" s="466"/>
      <c r="J281" s="464"/>
      <c r="K281" s="467"/>
      <c r="L281" s="467"/>
      <c r="M281" s="467"/>
      <c r="N281" s="467"/>
      <c r="O281" s="467"/>
      <c r="P281" s="468"/>
      <c r="Q281" s="467"/>
      <c r="R281" s="469"/>
      <c r="S281" s="470"/>
      <c r="T281" s="467"/>
      <c r="U281" s="467"/>
      <c r="V281" s="471"/>
      <c r="W281" s="472"/>
      <c r="X281" s="473"/>
      <c r="Y281" s="473"/>
      <c r="Z281" s="467"/>
      <c r="AA281" s="289"/>
      <c r="AB281" s="259"/>
      <c r="AC281" s="467">
        <f>'Digital Plan - UPI'!$O$197/8</f>
        <v>34200000</v>
      </c>
      <c r="AD281" s="467">
        <f>'Digital Plan - UPI'!$O$197/8</f>
        <v>34200000</v>
      </c>
      <c r="AE281" s="467">
        <f>'Digital Plan - UPI'!$O$197/8</f>
        <v>34200000</v>
      </c>
      <c r="AF281" s="467">
        <f>'Digital Plan - UPI'!$O$197/8</f>
        <v>34200000</v>
      </c>
      <c r="AG281" s="467">
        <f>'Digital Plan - UPI'!$O$197/8</f>
        <v>34200000</v>
      </c>
      <c r="AH281" s="467">
        <f>'Digital Plan - UPI'!$O$197/8</f>
        <v>34200000</v>
      </c>
      <c r="AI281" s="467">
        <f>'Digital Plan - UPI'!$O$197/8</f>
        <v>34200000</v>
      </c>
      <c r="AJ281" s="467">
        <f>'Digital Plan - UPI'!$O$197/8</f>
        <v>34200000</v>
      </c>
    </row>
    <row r="282" spans="1:36" x14ac:dyDescent="0.35">
      <c r="A282" s="356" t="str">
        <f>'Digital Plan - UPI'!B198</f>
        <v>Total</v>
      </c>
      <c r="B282" s="356">
        <f>'Digital Plan - UPI'!C198</f>
        <v>0</v>
      </c>
      <c r="C282" s="356">
        <f>'Digital Plan - UPI'!D198</f>
        <v>0</v>
      </c>
      <c r="D282" s="357">
        <f>'Digital Plan - UPI'!E198</f>
        <v>0</v>
      </c>
      <c r="E282" s="412">
        <f>'Digital Plan - UPI'!F198</f>
        <v>0</v>
      </c>
      <c r="F282" s="412">
        <f>'Digital Plan - UPI'!G198</f>
        <v>0</v>
      </c>
      <c r="G282" s="356">
        <f>'Digital Plan - UPI'!H198</f>
        <v>0</v>
      </c>
      <c r="H282" s="356">
        <f>'Digital Plan - UPI'!I198</f>
        <v>0</v>
      </c>
      <c r="I282" s="356">
        <f>'Digital Plan - UPI'!J198</f>
        <v>0</v>
      </c>
      <c r="J282" s="356">
        <f>'Digital Plan - UPI'!K198</f>
        <v>0</v>
      </c>
      <c r="K282" s="356">
        <f>'Digital Plan - UPI'!L198</f>
        <v>0</v>
      </c>
      <c r="L282" s="356">
        <f>'Digital Plan - UPI'!M198</f>
        <v>0</v>
      </c>
      <c r="M282" s="356">
        <f>'Digital Plan - UPI'!N198</f>
        <v>0</v>
      </c>
      <c r="N282" s="358">
        <f>'Digital Plan - UPI'!O198</f>
        <v>871978986.82177234</v>
      </c>
      <c r="O282" s="356">
        <f>'Digital Plan - UPI'!P198</f>
        <v>0</v>
      </c>
      <c r="P282" s="356">
        <f>'Digital Plan - UPI'!Q198</f>
        <v>0</v>
      </c>
      <c r="Q282" s="358">
        <f>'Digital Plan - UPI'!R198</f>
        <v>3807172.0678086625</v>
      </c>
      <c r="R282" s="356">
        <f>'Digital Plan - UPI'!S198</f>
        <v>0</v>
      </c>
      <c r="S282" s="358">
        <f>'Digital Plan - UPI'!T198</f>
        <v>378861259.39508396</v>
      </c>
      <c r="T282" s="358">
        <f>'Digital Plan - UPI'!U198</f>
        <v>76528281.515083671</v>
      </c>
      <c r="U282" s="359">
        <f>'Digital Plan - UPI'!V198</f>
        <v>11.394205770188448</v>
      </c>
      <c r="V282" s="356">
        <f>'Digital Plan - UPI'!X198</f>
        <v>0</v>
      </c>
      <c r="W282" s="360">
        <f>'Digital Plan - UPI'!Y198</f>
        <v>72304473.263051361</v>
      </c>
      <c r="X282" s="356">
        <f>'Digital Plan - UPI'!Z198</f>
        <v>0</v>
      </c>
      <c r="Y282" s="356">
        <f>'Digital Plan - UPI'!AA198</f>
        <v>0</v>
      </c>
      <c r="Z282" s="358">
        <f>'Digital Plan - UPI'!AB198</f>
        <v>91000000</v>
      </c>
      <c r="AA282" s="361">
        <f>'Digital Plan - UPI'!AC198</f>
        <v>0.84097012653938097</v>
      </c>
      <c r="AB282" s="259"/>
      <c r="AC282" s="413" t="e">
        <f t="shared" ref="AC282:AJ282" si="98">SUM(AC2:AC279)/SUM($AC$2:$AJ$279)</f>
        <v>#REF!</v>
      </c>
      <c r="AD282" s="413" t="e">
        <f t="shared" si="98"/>
        <v>#REF!</v>
      </c>
      <c r="AE282" s="413" t="e">
        <f t="shared" si="98"/>
        <v>#REF!</v>
      </c>
      <c r="AF282" s="413" t="e">
        <f t="shared" si="98"/>
        <v>#REF!</v>
      </c>
      <c r="AG282" s="413" t="e">
        <f t="shared" si="98"/>
        <v>#REF!</v>
      </c>
      <c r="AH282" s="413" t="e">
        <f t="shared" si="98"/>
        <v>#REF!</v>
      </c>
      <c r="AI282" s="413" t="e">
        <f t="shared" si="98"/>
        <v>#REF!</v>
      </c>
      <c r="AJ282" s="413" t="e">
        <f t="shared" si="98"/>
        <v>#REF!</v>
      </c>
    </row>
    <row r="284" spans="1:36" x14ac:dyDescent="0.35">
      <c r="AC284" s="474"/>
      <c r="AD284" s="474"/>
      <c r="AE284" s="474"/>
      <c r="AF284" s="474"/>
      <c r="AG284" s="474"/>
      <c r="AH284" s="474"/>
      <c r="AI284" s="474"/>
      <c r="AJ284" s="474"/>
    </row>
  </sheetData>
  <autoFilter ref="A1:AJ282" xr:uid="{06139EB0-0667-481C-86F5-A33751C686BE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C7760F-35CA-4518-BCEB-55A7C569B4C8}">
  <sheetPr>
    <tabColor theme="9" tint="0.79998168889431442"/>
  </sheetPr>
  <dimension ref="A1:I12"/>
  <sheetViews>
    <sheetView workbookViewId="0">
      <selection activeCell="B12" sqref="B12:I12"/>
    </sheetView>
  </sheetViews>
  <sheetFormatPr defaultRowHeight="14.5" x14ac:dyDescent="0.35"/>
  <sheetData>
    <row r="1" spans="1:9" x14ac:dyDescent="0.35">
      <c r="B1" t="s">
        <v>535</v>
      </c>
      <c r="C1" t="s">
        <v>536</v>
      </c>
      <c r="D1" t="s">
        <v>537</v>
      </c>
      <c r="E1" t="s">
        <v>538</v>
      </c>
      <c r="F1" t="s">
        <v>539</v>
      </c>
      <c r="G1" t="s">
        <v>540</v>
      </c>
      <c r="H1" t="s">
        <v>541</v>
      </c>
      <c r="I1" t="s">
        <v>542</v>
      </c>
    </row>
    <row r="2" spans="1:9" x14ac:dyDescent="0.35">
      <c r="A2" t="s">
        <v>543</v>
      </c>
      <c r="B2">
        <v>44.729888895546665</v>
      </c>
      <c r="C2">
        <v>37.729888895546665</v>
      </c>
      <c r="D2">
        <v>37.729888895546665</v>
      </c>
      <c r="E2">
        <v>37.729888895546665</v>
      </c>
      <c r="F2">
        <v>37.729888895546665</v>
      </c>
      <c r="G2">
        <v>37.729888895546665</v>
      </c>
    </row>
    <row r="3" spans="1:9" x14ac:dyDescent="0.35">
      <c r="B3">
        <f t="shared" ref="B3:I3" si="0">B5/10^6</f>
        <v>65.640197999999998</v>
      </c>
      <c r="C3">
        <f t="shared" si="0"/>
        <v>65.640197999999998</v>
      </c>
      <c r="D3">
        <f t="shared" si="0"/>
        <v>70.722881000000001</v>
      </c>
      <c r="E3">
        <f t="shared" si="0"/>
        <v>70.722881000000001</v>
      </c>
      <c r="F3">
        <f t="shared" si="0"/>
        <v>70.839646999999999</v>
      </c>
      <c r="G3">
        <f t="shared" si="0"/>
        <v>63.432544</v>
      </c>
      <c r="H3">
        <f t="shared" si="0"/>
        <v>62.848711000000002</v>
      </c>
      <c r="I3">
        <f t="shared" si="0"/>
        <v>63.220711000000001</v>
      </c>
    </row>
    <row r="4" spans="1:9" x14ac:dyDescent="0.35">
      <c r="B4">
        <f>SUM(B2:B3)</f>
        <v>110.37008689554666</v>
      </c>
      <c r="C4">
        <f t="shared" ref="C4:I4" si="1">SUM(C2:C3)</f>
        <v>103.37008689554666</v>
      </c>
      <c r="D4">
        <f t="shared" si="1"/>
        <v>108.45276989554667</v>
      </c>
      <c r="E4">
        <f t="shared" si="1"/>
        <v>108.45276989554667</v>
      </c>
      <c r="F4">
        <f t="shared" si="1"/>
        <v>108.56953589554666</v>
      </c>
      <c r="G4">
        <f t="shared" si="1"/>
        <v>101.16243289554666</v>
      </c>
      <c r="H4">
        <f t="shared" si="1"/>
        <v>62.848711000000002</v>
      </c>
      <c r="I4">
        <f t="shared" si="1"/>
        <v>63.220711000000001</v>
      </c>
    </row>
    <row r="5" spans="1:9" x14ac:dyDescent="0.35">
      <c r="B5" s="474">
        <v>65640198</v>
      </c>
      <c r="C5" s="474">
        <v>65640198</v>
      </c>
      <c r="D5" s="474">
        <v>70722881</v>
      </c>
      <c r="E5" s="474">
        <v>70722881</v>
      </c>
      <c r="F5" s="474">
        <v>70839647</v>
      </c>
      <c r="G5" s="474">
        <v>63432544</v>
      </c>
      <c r="H5" s="474">
        <v>62848711</v>
      </c>
      <c r="I5" s="474">
        <v>63220711</v>
      </c>
    </row>
    <row r="8" spans="1:9" x14ac:dyDescent="0.35">
      <c r="B8" s="474">
        <v>9477422</v>
      </c>
      <c r="C8" s="474">
        <v>9477422</v>
      </c>
      <c r="D8" s="474">
        <v>46643507</v>
      </c>
      <c r="E8" s="474">
        <v>46643507</v>
      </c>
      <c r="F8" s="474">
        <v>46643507</v>
      </c>
      <c r="G8" s="474">
        <v>43976580</v>
      </c>
      <c r="H8" s="474">
        <v>43976580</v>
      </c>
      <c r="I8" s="474">
        <v>43976580</v>
      </c>
    </row>
    <row r="9" spans="1:9" x14ac:dyDescent="0.35">
      <c r="A9" t="s">
        <v>101</v>
      </c>
      <c r="B9">
        <f>B8/10^6</f>
        <v>9.4774220000000007</v>
      </c>
      <c r="C9">
        <f t="shared" ref="C9:I9" si="2">C8/10^6</f>
        <v>9.4774220000000007</v>
      </c>
      <c r="D9">
        <f t="shared" si="2"/>
        <v>46.643507</v>
      </c>
      <c r="E9">
        <f t="shared" si="2"/>
        <v>46.643507</v>
      </c>
      <c r="F9">
        <f t="shared" si="2"/>
        <v>46.643507</v>
      </c>
      <c r="G9">
        <f t="shared" si="2"/>
        <v>43.976579999999998</v>
      </c>
      <c r="H9">
        <f t="shared" si="2"/>
        <v>43.976579999999998</v>
      </c>
      <c r="I9">
        <f t="shared" si="2"/>
        <v>43.976579999999998</v>
      </c>
    </row>
    <row r="11" spans="1:9" x14ac:dyDescent="0.35">
      <c r="A11" t="s">
        <v>46</v>
      </c>
      <c r="B11" s="474">
        <v>87165230</v>
      </c>
      <c r="C11" s="474">
        <v>81924572</v>
      </c>
      <c r="D11" s="474">
        <v>77905488</v>
      </c>
      <c r="E11" s="474">
        <v>76279836</v>
      </c>
      <c r="F11" s="474">
        <v>65158268</v>
      </c>
      <c r="G11" s="474">
        <v>65158268</v>
      </c>
      <c r="H11" s="474">
        <v>62380401</v>
      </c>
      <c r="I11" s="474">
        <v>57760351</v>
      </c>
    </row>
    <row r="12" spans="1:9" x14ac:dyDescent="0.35">
      <c r="B12">
        <f>B11/10^6</f>
        <v>87.165229999999994</v>
      </c>
      <c r="C12">
        <f t="shared" ref="C12" si="3">C11/10^6</f>
        <v>81.924571999999998</v>
      </c>
      <c r="D12">
        <f t="shared" ref="D12" si="4">D11/10^6</f>
        <v>77.905488000000005</v>
      </c>
      <c r="E12">
        <f t="shared" ref="E12" si="5">E11/10^6</f>
        <v>76.279836000000003</v>
      </c>
      <c r="F12">
        <f t="shared" ref="F12" si="6">F11/10^6</f>
        <v>65.158268000000007</v>
      </c>
      <c r="G12">
        <f t="shared" ref="G12" si="7">G11/10^6</f>
        <v>65.158268000000007</v>
      </c>
      <c r="H12">
        <f t="shared" ref="H12" si="8">H11/10^6</f>
        <v>62.380400999999999</v>
      </c>
      <c r="I12">
        <f t="shared" ref="I12" si="9">I11/10^6</f>
        <v>57.760351</v>
      </c>
    </row>
  </sheetData>
  <phoneticPr fontId="42" type="noConversion"/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d026e4c1-5892-497a-b9da-ee493c9f0364}" enabled="0" method="" siteId="{d026e4c1-5892-497a-b9da-ee493c9f0364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46</vt:i4>
      </vt:variant>
    </vt:vector>
  </HeadingPairs>
  <TitlesOfParts>
    <vt:vector size="46" baseType="lpstr">
      <vt:lpstr>Overall Summary</vt:lpstr>
      <vt:lpstr>Digital - Summary</vt:lpstr>
      <vt:lpstr>Sheet1</vt:lpstr>
      <vt:lpstr>Digital Plan - UPI</vt:lpstr>
      <vt:lpstr>Digital Updated Schedule</vt:lpstr>
      <vt:lpstr>Digital Schedule-Overall</vt:lpstr>
      <vt:lpstr>Digital - Targeting</vt:lpstr>
      <vt:lpstr>Digital - Schedule</vt:lpstr>
      <vt:lpstr>Sheet4</vt:lpstr>
      <vt:lpstr>NoBroker Dates</vt:lpstr>
      <vt:lpstr>Creative Roll Out</vt:lpstr>
      <vt:lpstr>Sheet3</vt:lpstr>
      <vt:lpstr>Impact</vt:lpstr>
      <vt:lpstr>working</vt:lpstr>
      <vt:lpstr>Hindi GEC</vt:lpstr>
      <vt:lpstr>Hindi Movies</vt:lpstr>
      <vt:lpstr>Hindi News</vt:lpstr>
      <vt:lpstr>Kids</vt:lpstr>
      <vt:lpstr>AP GEC</vt:lpstr>
      <vt:lpstr>AP Movies</vt:lpstr>
      <vt:lpstr>AP News</vt:lpstr>
      <vt:lpstr>AP HD</vt:lpstr>
      <vt:lpstr>TN GEC</vt:lpstr>
      <vt:lpstr>TN Movies</vt:lpstr>
      <vt:lpstr>TN News</vt:lpstr>
      <vt:lpstr>TN HD</vt:lpstr>
      <vt:lpstr>KAR GEC</vt:lpstr>
      <vt:lpstr>Kar Movies</vt:lpstr>
      <vt:lpstr>KAR News</vt:lpstr>
      <vt:lpstr>KAR HD</vt:lpstr>
      <vt:lpstr>MAH GEC</vt:lpstr>
      <vt:lpstr>Mah Movies</vt:lpstr>
      <vt:lpstr>MAH News</vt:lpstr>
      <vt:lpstr>Mah HD</vt:lpstr>
      <vt:lpstr>WB GEC</vt:lpstr>
      <vt:lpstr>WB Movies</vt:lpstr>
      <vt:lpstr>WB News</vt:lpstr>
      <vt:lpstr>WB HD1</vt:lpstr>
      <vt:lpstr>English News</vt:lpstr>
      <vt:lpstr>Hindi HD</vt:lpstr>
      <vt:lpstr>KER GEC</vt:lpstr>
      <vt:lpstr>KER Movies</vt:lpstr>
      <vt:lpstr>KER News</vt:lpstr>
      <vt:lpstr>KER HD</vt:lpstr>
      <vt:lpstr>Cricket increment</vt:lpstr>
      <vt:lpstr>WB HD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Amaresh, Vibha (BLR-INI)</dc:creator>
  <cp:keywords/>
  <dc:description/>
  <cp:lastModifiedBy>Singhal, Pallavi (BLR-RUF)</cp:lastModifiedBy>
  <cp:revision/>
  <dcterms:created xsi:type="dcterms:W3CDTF">2022-02-24T17:44:46Z</dcterms:created>
  <dcterms:modified xsi:type="dcterms:W3CDTF">2024-06-21T05:23:23Z</dcterms:modified>
  <cp:category/>
  <cp:contentStatus/>
</cp:coreProperties>
</file>