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interpublic-my.sharepoint.com/personal/ishank_aggarwal_interactiveavenues_com/Documents/Documents/A_Plan_Automation/raw_plans/"/>
    </mc:Choice>
  </mc:AlternateContent>
  <xr:revisionPtr revIDLastSave="225" documentId="8_{FC2CF708-4E64-4BCC-A62C-064B13C2C03F}" xr6:coauthVersionLast="47" xr6:coauthVersionMax="47" xr10:uidLastSave="{1712A29C-3944-42FE-98A5-D4CAE999394D}"/>
  <bookViews>
    <workbookView xWindow="-108" yWindow="-108" windowWidth="23256" windowHeight="12456" tabRatio="805" activeTab="2" xr2:uid="{B5C7951D-14A7-4AB9-8DEC-FA18D0622009}"/>
  </bookViews>
  <sheets>
    <sheet name="Q1 Thematic Summary" sheetId="13" r:id="rId1"/>
    <sheet name="Core Summary" sheetId="14" r:id="rId2"/>
    <sheet name="Core" sheetId="1" r:id="rId3"/>
    <sheet name="Impact" sheetId="11" r:id="rId4"/>
    <sheet name="Differential + New Inputs" sheetId="12" r:id="rId5"/>
    <sheet name="Booster" sheetId="40" r:id="rId6"/>
    <sheet name="Ideas" sheetId="16" state="hidden" r:id="rId7"/>
    <sheet name="MMT Integration" sheetId="39" r:id="rId8"/>
    <sheet name="Targeting" sheetId="10" r:id="rId9"/>
    <sheet name="Audience Sizing" sheetId="6" r:id="rId10"/>
    <sheet name="Cities List" sheetId="9" r:id="rId11"/>
    <sheet name="Genre Selection" sheetId="37" r:id="rId12"/>
    <sheet name="Platform Selection" sheetId="38" r:id="rId13"/>
    <sheet name="CTV 30sec est." sheetId="34" state="hidden" r:id="rId14"/>
  </sheets>
  <definedNames>
    <definedName name="_xlnm._FilterDatabase" localSheetId="5" hidden="1">Booster!$B$2:$AF$109</definedName>
    <definedName name="_xlnm._FilterDatabase" localSheetId="10" hidden="1">'Cities List'!$H$2:$J$32</definedName>
    <definedName name="_xlnm._FilterDatabase" localSheetId="2" hidden="1">Core!$A$1:$AD$155</definedName>
    <definedName name="_xlnm._FilterDatabase" localSheetId="1" hidden="1">'Core Summary'!$B$2:$L$28</definedName>
    <definedName name="_xlnm._FilterDatabase" localSheetId="4" hidden="1">'Differential + New Inputs'!#REF!</definedName>
    <definedName name="_xlnm._FilterDatabase" localSheetId="11" hidden="1">'Genre Selection'!$A$2:$K$2</definedName>
    <definedName name="_xlnm._FilterDatabase" localSheetId="3" hidden="1">Impact!$B$2:$AQ$21</definedName>
    <definedName name="_xlnm._FilterDatabase" localSheetId="12" hidden="1">'Platform Selection'!$B$23:$I$37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3" i="40" l="1"/>
  <c r="U103" i="40" s="1"/>
  <c r="AA103" i="40" s="1"/>
  <c r="Q102" i="40"/>
  <c r="U102" i="40" s="1"/>
  <c r="AA102" i="40" s="1"/>
  <c r="Q94" i="40"/>
  <c r="Z94" i="40" s="1"/>
  <c r="Q93" i="40"/>
  <c r="U93" i="40" s="1"/>
  <c r="AA93" i="40" s="1"/>
  <c r="Q67" i="40"/>
  <c r="Z67" i="40" s="1"/>
  <c r="Q57" i="40"/>
  <c r="Z57" i="40" s="1"/>
  <c r="Q37" i="40"/>
  <c r="Z37" i="40" s="1"/>
  <c r="Q27" i="40"/>
  <c r="Q17" i="40"/>
  <c r="Q7" i="40"/>
  <c r="Z7" i="40" s="1"/>
  <c r="AC109" i="40"/>
  <c r="T102" i="40" l="1"/>
  <c r="V102" i="40"/>
  <c r="V103" i="40"/>
  <c r="T103" i="40"/>
  <c r="Z103" i="40"/>
  <c r="Z102" i="40"/>
  <c r="Z93" i="40"/>
  <c r="T93" i="40"/>
  <c r="V17" i="40"/>
  <c r="AO17" i="40"/>
  <c r="V93" i="40"/>
  <c r="V94" i="40"/>
  <c r="V57" i="40"/>
  <c r="AO57" i="40"/>
  <c r="V7" i="40"/>
  <c r="AO7" i="40"/>
  <c r="AP7" i="40" s="1"/>
  <c r="AQ7" i="40" s="1"/>
  <c r="T94" i="40"/>
  <c r="V27" i="40"/>
  <c r="AO27" i="40"/>
  <c r="Z27" i="40"/>
  <c r="U94" i="40"/>
  <c r="AA94" i="40" s="1"/>
  <c r="V37" i="40"/>
  <c r="AO37" i="40"/>
  <c r="Z17" i="40"/>
  <c r="V67" i="40"/>
  <c r="AO67" i="40"/>
  <c r="U7" i="40"/>
  <c r="AA7" i="40" s="1"/>
  <c r="T7" i="40"/>
  <c r="T17" i="40"/>
  <c r="U17" i="40"/>
  <c r="AA17" i="40" s="1"/>
  <c r="T27" i="40"/>
  <c r="U27" i="40"/>
  <c r="AA27" i="40" s="1"/>
  <c r="T67" i="40"/>
  <c r="U67" i="40"/>
  <c r="AA67" i="40" s="1"/>
  <c r="T57" i="40"/>
  <c r="U57" i="40"/>
  <c r="AA57" i="40" s="1"/>
  <c r="U37" i="40"/>
  <c r="AA37" i="40" s="1"/>
  <c r="T37" i="40"/>
  <c r="Y101" i="40"/>
  <c r="Y100" i="40"/>
  <c r="AC108" i="40"/>
  <c r="AC14" i="40"/>
  <c r="AC13" i="40"/>
  <c r="AC4" i="40"/>
  <c r="AC3" i="40"/>
  <c r="Y12" i="40"/>
  <c r="Y22" i="40" s="1"/>
  <c r="AC76" i="40"/>
  <c r="AC75" i="40"/>
  <c r="AP57" i="40" l="1"/>
  <c r="AQ57" i="40" s="1"/>
  <c r="AP27" i="40"/>
  <c r="AQ27" i="40" s="1"/>
  <c r="AP67" i="40"/>
  <c r="AQ67" i="40" s="1"/>
  <c r="AP17" i="40"/>
  <c r="AQ17" i="40" s="1"/>
  <c r="AP37" i="40"/>
  <c r="AQ37" i="40" s="1"/>
  <c r="AC85" i="40"/>
  <c r="AC84" i="40"/>
  <c r="AC94" i="40"/>
  <c r="AB94" i="40" s="1"/>
  <c r="AC93" i="40"/>
  <c r="AB93" i="40" s="1"/>
  <c r="AC104" i="40"/>
  <c r="AC105" i="40"/>
  <c r="AC106" i="40"/>
  <c r="AC107" i="40"/>
  <c r="AC103" i="40"/>
  <c r="AB103" i="40" s="1"/>
  <c r="AC102" i="40"/>
  <c r="AB102" i="40" s="1"/>
  <c r="AC100" i="40"/>
  <c r="AC101" i="40"/>
  <c r="C17" i="6"/>
  <c r="D17" i="6"/>
  <c r="E17" i="6"/>
  <c r="F17" i="6"/>
  <c r="G17" i="6"/>
  <c r="H17" i="6"/>
  <c r="I17" i="6"/>
  <c r="G12" i="9"/>
  <c r="Q85" i="40"/>
  <c r="Z85" i="40" s="1"/>
  <c r="Q84" i="40"/>
  <c r="Z84" i="40" s="1"/>
  <c r="Q76" i="40"/>
  <c r="Z76" i="40" s="1"/>
  <c r="Q75" i="40"/>
  <c r="Z75" i="40" s="1"/>
  <c r="AC46" i="40"/>
  <c r="Q46" i="40"/>
  <c r="Z46" i="40" s="1"/>
  <c r="AC66" i="40"/>
  <c r="AC65" i="40"/>
  <c r="AC56" i="40"/>
  <c r="AC55" i="40"/>
  <c r="AC36" i="40"/>
  <c r="AC35" i="40"/>
  <c r="AC26" i="40"/>
  <c r="AC25" i="40"/>
  <c r="AC16" i="40"/>
  <c r="AC15" i="40"/>
  <c r="AC6" i="40"/>
  <c r="AC5" i="40"/>
  <c r="Q66" i="40"/>
  <c r="Z66" i="40" s="1"/>
  <c r="Q56" i="40"/>
  <c r="V56" i="40" s="1"/>
  <c r="Q36" i="40"/>
  <c r="U36" i="40" s="1"/>
  <c r="AA36" i="40" s="1"/>
  <c r="Q26" i="40"/>
  <c r="Z26" i="40" s="1"/>
  <c r="Q16" i="40"/>
  <c r="Z16" i="40" s="1"/>
  <c r="Q106" i="40"/>
  <c r="V106" i="40" s="1"/>
  <c r="Q105" i="40"/>
  <c r="V105" i="40" s="1"/>
  <c r="Q104" i="40"/>
  <c r="V104" i="40" s="1"/>
  <c r="AB104" i="40" s="1"/>
  <c r="Q101" i="40"/>
  <c r="AO103" i="40" s="1"/>
  <c r="Q100" i="40"/>
  <c r="AO102" i="40" s="1"/>
  <c r="AP102" i="40" s="1"/>
  <c r="AQ102" i="40" s="1"/>
  <c r="Q6" i="40"/>
  <c r="T6" i="40" s="1"/>
  <c r="Q65" i="40"/>
  <c r="Z65" i="40" s="1"/>
  <c r="Q55" i="40"/>
  <c r="Z55" i="40" s="1"/>
  <c r="Q35" i="40"/>
  <c r="U35" i="40" s="1"/>
  <c r="AA35" i="40" s="1"/>
  <c r="Q25" i="40"/>
  <c r="U25" i="40" s="1"/>
  <c r="AA25" i="40" s="1"/>
  <c r="Q15" i="40"/>
  <c r="Z15" i="40" s="1"/>
  <c r="Q5" i="40"/>
  <c r="Z5" i="40" s="1"/>
  <c r="Y91" i="40"/>
  <c r="Q91" i="40" s="1"/>
  <c r="V91" i="40" s="1"/>
  <c r="AB91" i="40" s="1"/>
  <c r="Y92" i="40"/>
  <c r="Q92" i="40" s="1"/>
  <c r="V92" i="40" s="1"/>
  <c r="Q98" i="40"/>
  <c r="V98" i="40" s="1"/>
  <c r="Q97" i="40"/>
  <c r="V97" i="40" s="1"/>
  <c r="Q96" i="40"/>
  <c r="V96" i="40" s="1"/>
  <c r="Q95" i="40"/>
  <c r="V95" i="40" s="1"/>
  <c r="Y74" i="40"/>
  <c r="Q74" i="40" s="1"/>
  <c r="Z74" i="40" s="1"/>
  <c r="Y73" i="40"/>
  <c r="Q73" i="40" s="1"/>
  <c r="Z73" i="40" s="1"/>
  <c r="Q80" i="40"/>
  <c r="Z80" i="40" s="1"/>
  <c r="Q89" i="40"/>
  <c r="V89" i="40" s="1"/>
  <c r="AC96" i="40"/>
  <c r="AC97" i="40"/>
  <c r="AC98" i="40"/>
  <c r="AC95" i="40"/>
  <c r="AC89" i="40"/>
  <c r="AC88" i="40"/>
  <c r="AC87" i="40"/>
  <c r="AC86" i="40"/>
  <c r="AC80" i="40"/>
  <c r="AC79" i="40"/>
  <c r="AC78" i="40"/>
  <c r="AC77" i="40"/>
  <c r="AC92" i="40"/>
  <c r="AC91" i="40"/>
  <c r="AC83" i="40"/>
  <c r="AC82" i="40"/>
  <c r="AC74" i="40"/>
  <c r="AC73" i="40"/>
  <c r="AC99" i="40"/>
  <c r="AC90" i="40"/>
  <c r="AC81" i="40"/>
  <c r="Q88" i="40"/>
  <c r="V88" i="40" s="1"/>
  <c r="AB88" i="40" s="1"/>
  <c r="Q86" i="40"/>
  <c r="V86" i="40" s="1"/>
  <c r="Q83" i="40"/>
  <c r="V83" i="40" s="1"/>
  <c r="AB83" i="40" s="1"/>
  <c r="Q82" i="40"/>
  <c r="V82" i="40" s="1"/>
  <c r="AB82" i="40" s="1"/>
  <c r="Q79" i="40"/>
  <c r="Z79" i="40" s="1"/>
  <c r="Q77" i="40"/>
  <c r="Z77" i="40" s="1"/>
  <c r="AC72" i="40"/>
  <c r="D16" i="6"/>
  <c r="E16" i="6"/>
  <c r="F16" i="6"/>
  <c r="G16" i="6"/>
  <c r="H16" i="6"/>
  <c r="I16" i="6"/>
  <c r="C16" i="6"/>
  <c r="D15" i="6"/>
  <c r="E15" i="6"/>
  <c r="F15" i="6"/>
  <c r="G15" i="6"/>
  <c r="H15" i="6"/>
  <c r="I15" i="6"/>
  <c r="C15" i="6"/>
  <c r="D14" i="6"/>
  <c r="E14" i="6"/>
  <c r="F14" i="6"/>
  <c r="G14" i="6"/>
  <c r="H14" i="6"/>
  <c r="I14" i="6"/>
  <c r="C14" i="6"/>
  <c r="G18" i="9"/>
  <c r="G14" i="9"/>
  <c r="G21" i="9"/>
  <c r="V99" i="40" l="1"/>
  <c r="AB95" i="40"/>
  <c r="AB105" i="40"/>
  <c r="AB96" i="40"/>
  <c r="AB97" i="40"/>
  <c r="AB86" i="40"/>
  <c r="AB98" i="40"/>
  <c r="AB106" i="40"/>
  <c r="AB89" i="40"/>
  <c r="AB92" i="40"/>
  <c r="AO25" i="40"/>
  <c r="AP25" i="40" s="1"/>
  <c r="AJ25" i="40"/>
  <c r="AK25" i="40" s="1"/>
  <c r="AO92" i="40"/>
  <c r="AP92" i="40" s="1"/>
  <c r="AQ92" i="40" s="1"/>
  <c r="AO96" i="40"/>
  <c r="AP96" i="40" s="1"/>
  <c r="AQ96" i="40" s="1"/>
  <c r="AJ102" i="40"/>
  <c r="AK102" i="40" s="1"/>
  <c r="AL102" i="40" s="1"/>
  <c r="AO105" i="40"/>
  <c r="AP105" i="40" s="1"/>
  <c r="AJ93" i="40"/>
  <c r="AK93" i="40" s="1"/>
  <c r="AL93" i="40" s="1"/>
  <c r="AO106" i="40"/>
  <c r="AP106" i="40" s="1"/>
  <c r="AQ106" i="40" s="1"/>
  <c r="AJ82" i="40"/>
  <c r="AO88" i="40"/>
  <c r="AP88" i="40" s="1"/>
  <c r="AQ88" i="40" s="1"/>
  <c r="AO93" i="40"/>
  <c r="AO97" i="40"/>
  <c r="AP97" i="40" s="1"/>
  <c r="AQ97" i="40" s="1"/>
  <c r="AO6" i="40"/>
  <c r="AO89" i="40"/>
  <c r="AP89" i="40" s="1"/>
  <c r="AQ89" i="40" s="1"/>
  <c r="AO98" i="40"/>
  <c r="AP98" i="40" s="1"/>
  <c r="AJ100" i="40"/>
  <c r="AK100" i="40" s="1"/>
  <c r="AL100" i="40" s="1"/>
  <c r="AO82" i="40"/>
  <c r="AP82" i="40" s="1"/>
  <c r="AQ82" i="40" s="1"/>
  <c r="AO100" i="40"/>
  <c r="AJ83" i="40"/>
  <c r="AK83" i="40" s="1"/>
  <c r="AL83" i="40" s="1"/>
  <c r="AO86" i="40"/>
  <c r="AP86" i="40" s="1"/>
  <c r="AQ86" i="40" s="1"/>
  <c r="AO104" i="40"/>
  <c r="AO83" i="40"/>
  <c r="AP83" i="40" s="1"/>
  <c r="AQ83" i="40" s="1"/>
  <c r="AJ92" i="40"/>
  <c r="AK92" i="40" s="1"/>
  <c r="AL92" i="40" s="1"/>
  <c r="AO95" i="40"/>
  <c r="AP95" i="40" s="1"/>
  <c r="AQ95" i="40" s="1"/>
  <c r="AO85" i="40"/>
  <c r="AP85" i="40" s="1"/>
  <c r="AO16" i="40"/>
  <c r="AP16" i="40" s="1"/>
  <c r="AQ16" i="40" s="1"/>
  <c r="AO15" i="40"/>
  <c r="AP15" i="40" s="1"/>
  <c r="AJ15" i="40"/>
  <c r="AO5" i="40"/>
  <c r="AJ5" i="40"/>
  <c r="AK5" i="40" s="1"/>
  <c r="AL5" i="40" s="1"/>
  <c r="AP103" i="40"/>
  <c r="AQ103" i="40" s="1"/>
  <c r="T84" i="40"/>
  <c r="T85" i="40"/>
  <c r="U84" i="40"/>
  <c r="AA84" i="40" s="1"/>
  <c r="U85" i="40"/>
  <c r="AA85" i="40" s="1"/>
  <c r="V84" i="40"/>
  <c r="V85" i="40"/>
  <c r="AB85" i="40" s="1"/>
  <c r="T75" i="40"/>
  <c r="T76" i="40"/>
  <c r="U75" i="40"/>
  <c r="AA75" i="40" s="1"/>
  <c r="U76" i="40"/>
  <c r="AA76" i="40" s="1"/>
  <c r="V75" i="40"/>
  <c r="V76" i="40"/>
  <c r="AB76" i="40" s="1"/>
  <c r="T46" i="40"/>
  <c r="U46" i="40"/>
  <c r="AA46" i="40" s="1"/>
  <c r="V46" i="40"/>
  <c r="AB46" i="40" s="1"/>
  <c r="AB56" i="40"/>
  <c r="T66" i="40"/>
  <c r="U66" i="40"/>
  <c r="AA66" i="40" s="1"/>
  <c r="V66" i="40"/>
  <c r="AB66" i="40" s="1"/>
  <c r="T56" i="40"/>
  <c r="U56" i="40"/>
  <c r="AA56" i="40" s="1"/>
  <c r="Z56" i="40"/>
  <c r="T36" i="40"/>
  <c r="V36" i="40"/>
  <c r="AB36" i="40" s="1"/>
  <c r="Z36" i="40"/>
  <c r="T26" i="40"/>
  <c r="U26" i="40"/>
  <c r="AA26" i="40" s="1"/>
  <c r="V26" i="40"/>
  <c r="AB26" i="40" s="1"/>
  <c r="T16" i="40"/>
  <c r="U16" i="40"/>
  <c r="AA16" i="40" s="1"/>
  <c r="V16" i="40"/>
  <c r="AB16" i="40" s="1"/>
  <c r="Z106" i="40"/>
  <c r="Q107" i="40"/>
  <c r="T100" i="40"/>
  <c r="V100" i="40"/>
  <c r="U100" i="40"/>
  <c r="V101" i="40"/>
  <c r="U101" i="40"/>
  <c r="AA101" i="40" s="1"/>
  <c r="T101" i="40"/>
  <c r="T104" i="40"/>
  <c r="U104" i="40"/>
  <c r="AA104" i="40" s="1"/>
  <c r="T105" i="40"/>
  <c r="Z100" i="40"/>
  <c r="U105" i="40"/>
  <c r="AA105" i="40" s="1"/>
  <c r="T106" i="40"/>
  <c r="Z101" i="40"/>
  <c r="U106" i="40"/>
  <c r="AA106" i="40" s="1"/>
  <c r="Z104" i="40"/>
  <c r="Z105" i="40"/>
  <c r="Z6" i="40"/>
  <c r="U6" i="40"/>
  <c r="AA6" i="40" s="1"/>
  <c r="V6" i="40"/>
  <c r="AB6" i="40" s="1"/>
  <c r="T65" i="40"/>
  <c r="U65" i="40"/>
  <c r="AA65" i="40" s="1"/>
  <c r="V65" i="40"/>
  <c r="T55" i="40"/>
  <c r="U55" i="40"/>
  <c r="AA55" i="40" s="1"/>
  <c r="V55" i="40"/>
  <c r="T35" i="40"/>
  <c r="V35" i="40"/>
  <c r="AB35" i="40" s="1"/>
  <c r="Z35" i="40"/>
  <c r="T25" i="40"/>
  <c r="V25" i="40"/>
  <c r="AB25" i="40" s="1"/>
  <c r="Z25" i="40"/>
  <c r="T15" i="40"/>
  <c r="U15" i="40"/>
  <c r="AA15" i="40" s="1"/>
  <c r="V15" i="40"/>
  <c r="AB15" i="40" s="1"/>
  <c r="U5" i="40"/>
  <c r="AA5" i="40" s="1"/>
  <c r="T5" i="40"/>
  <c r="V5" i="40"/>
  <c r="AB5" i="40" s="1"/>
  <c r="Z98" i="40"/>
  <c r="Z92" i="40"/>
  <c r="Q78" i="40"/>
  <c r="Q87" i="40"/>
  <c r="Z95" i="40"/>
  <c r="Z97" i="40"/>
  <c r="Z91" i="40"/>
  <c r="Z96" i="40"/>
  <c r="T91" i="40"/>
  <c r="T92" i="40"/>
  <c r="T95" i="40"/>
  <c r="T96" i="40"/>
  <c r="T97" i="40"/>
  <c r="T98" i="40"/>
  <c r="U91" i="40"/>
  <c r="U92" i="40"/>
  <c r="AA92" i="40" s="1"/>
  <c r="U95" i="40"/>
  <c r="AA95" i="40" s="1"/>
  <c r="U96" i="40"/>
  <c r="AA96" i="40" s="1"/>
  <c r="U97" i="40"/>
  <c r="AA97" i="40" s="1"/>
  <c r="U98" i="40"/>
  <c r="AA98" i="40" s="1"/>
  <c r="Z82" i="40"/>
  <c r="Z83" i="40"/>
  <c r="Z86" i="40"/>
  <c r="Z88" i="40"/>
  <c r="Z89" i="40"/>
  <c r="T82" i="40"/>
  <c r="T83" i="40"/>
  <c r="T86" i="40"/>
  <c r="T88" i="40"/>
  <c r="T89" i="40"/>
  <c r="U82" i="40"/>
  <c r="U83" i="40"/>
  <c r="AA83" i="40" s="1"/>
  <c r="U86" i="40"/>
  <c r="AA86" i="40" s="1"/>
  <c r="U88" i="40"/>
  <c r="AA88" i="40" s="1"/>
  <c r="U89" i="40"/>
  <c r="AA89" i="40" s="1"/>
  <c r="T73" i="40"/>
  <c r="T77" i="40"/>
  <c r="T80" i="40"/>
  <c r="U73" i="40"/>
  <c r="U74" i="40"/>
  <c r="AA74" i="40" s="1"/>
  <c r="U77" i="40"/>
  <c r="AA77" i="40" s="1"/>
  <c r="U79" i="40"/>
  <c r="AA79" i="40" s="1"/>
  <c r="U80" i="40"/>
  <c r="AA80" i="40" s="1"/>
  <c r="T74" i="40"/>
  <c r="T79" i="40"/>
  <c r="V73" i="40"/>
  <c r="AB73" i="40" s="1"/>
  <c r="V74" i="40"/>
  <c r="V77" i="40"/>
  <c r="AB77" i="40" s="1"/>
  <c r="V79" i="40"/>
  <c r="AB79" i="40" s="1"/>
  <c r="V80" i="40"/>
  <c r="AB80" i="40" s="1"/>
  <c r="AB101" i="40" l="1"/>
  <c r="AB55" i="40"/>
  <c r="AB65" i="40"/>
  <c r="AB84" i="40"/>
  <c r="AB75" i="40"/>
  <c r="AB100" i="40"/>
  <c r="AL25" i="40"/>
  <c r="AQ25" i="40"/>
  <c r="AQ105" i="40"/>
  <c r="AQ85" i="40"/>
  <c r="AQ98" i="40"/>
  <c r="AP100" i="40"/>
  <c r="AQ100" i="40" s="1"/>
  <c r="AK82" i="40"/>
  <c r="AL82" i="40" s="1"/>
  <c r="V107" i="40"/>
  <c r="AB107" i="40" s="1"/>
  <c r="AO107" i="40"/>
  <c r="AP107" i="40" s="1"/>
  <c r="AQ107" i="40" s="1"/>
  <c r="Z78" i="40"/>
  <c r="AO84" i="40"/>
  <c r="AJ84" i="40"/>
  <c r="AK84" i="40" s="1"/>
  <c r="AL84" i="40" s="1"/>
  <c r="AP93" i="40"/>
  <c r="AQ93" i="40" s="1"/>
  <c r="V87" i="40"/>
  <c r="AB87" i="40" s="1"/>
  <c r="AO91" i="40"/>
  <c r="AJ91" i="40"/>
  <c r="AK91" i="40" s="1"/>
  <c r="AL91" i="40" s="1"/>
  <c r="AP104" i="40"/>
  <c r="AQ104" i="40" s="1"/>
  <c r="AP6" i="40"/>
  <c r="AQ6" i="40" s="1"/>
  <c r="U107" i="40"/>
  <c r="AA107" i="40" s="1"/>
  <c r="AQ15" i="40"/>
  <c r="AK15" i="40"/>
  <c r="AL15" i="40" s="1"/>
  <c r="AP5" i="40"/>
  <c r="AQ5" i="40" s="1"/>
  <c r="Z107" i="40"/>
  <c r="T107" i="40"/>
  <c r="AA100" i="40"/>
  <c r="Z87" i="40"/>
  <c r="T87" i="40"/>
  <c r="V78" i="40"/>
  <c r="AB78" i="40" s="1"/>
  <c r="U87" i="40"/>
  <c r="AA87" i="40" s="1"/>
  <c r="U78" i="40"/>
  <c r="AA78" i="40" s="1"/>
  <c r="T78" i="40"/>
  <c r="AA91" i="40"/>
  <c r="AB74" i="40"/>
  <c r="AA73" i="40"/>
  <c r="AA82" i="40"/>
  <c r="V90" i="40" l="1"/>
  <c r="V81" i="40"/>
  <c r="V108" i="40"/>
  <c r="AP84" i="40"/>
  <c r="AQ84" i="40" s="1"/>
  <c r="AP91" i="40"/>
  <c r="AQ91" i="40" s="1"/>
  <c r="W21" i="11" l="1"/>
  <c r="V21" i="11"/>
  <c r="V20" i="11"/>
  <c r="Y20" i="11" l="1"/>
  <c r="X21" i="11"/>
  <c r="AO20" i="11"/>
  <c r="AA20" i="11"/>
  <c r="AP20" i="11" l="1"/>
  <c r="AQ20" i="11" s="1"/>
  <c r="AC20" i="11"/>
  <c r="AB20" i="11"/>
  <c r="S159" i="1" l="1"/>
  <c r="Q51" i="40" l="1"/>
  <c r="AC45" i="40"/>
  <c r="Q45" i="40"/>
  <c r="Z45" i="40" s="1"/>
  <c r="T51" i="40" l="1"/>
  <c r="U51" i="40"/>
  <c r="AA51" i="40" s="1"/>
  <c r="V51" i="40"/>
  <c r="Z51" i="40"/>
  <c r="V45" i="40"/>
  <c r="AB45" i="40" s="1"/>
  <c r="T45" i="40"/>
  <c r="U45" i="40"/>
  <c r="AA45" i="40" s="1"/>
  <c r="AB51" i="40" l="1"/>
  <c r="Q71" i="40"/>
  <c r="Q70" i="40"/>
  <c r="AO78" i="40" s="1"/>
  <c r="AP78" i="40" s="1"/>
  <c r="AQ78" i="40" s="1"/>
  <c r="Q69" i="40"/>
  <c r="AO77" i="40" s="1"/>
  <c r="Q68" i="40"/>
  <c r="AO76" i="40" s="1"/>
  <c r="AP76" i="40" s="1"/>
  <c r="AQ76" i="40" s="1"/>
  <c r="Q64" i="40"/>
  <c r="Q63" i="40"/>
  <c r="AC71" i="40"/>
  <c r="AC70" i="40"/>
  <c r="AC69" i="40"/>
  <c r="AC68" i="40"/>
  <c r="AC64" i="40"/>
  <c r="AC63" i="40"/>
  <c r="AC62" i="40"/>
  <c r="AC61" i="40"/>
  <c r="AC60" i="40"/>
  <c r="AC59" i="40"/>
  <c r="AC58" i="40"/>
  <c r="AC54" i="40"/>
  <c r="AC53" i="40"/>
  <c r="Q61" i="40"/>
  <c r="Q60" i="40"/>
  <c r="Q59" i="40"/>
  <c r="Q58" i="40"/>
  <c r="Q54" i="40"/>
  <c r="Q53" i="40"/>
  <c r="AO66" i="40" s="1"/>
  <c r="AJ75" i="40" l="1"/>
  <c r="AO75" i="40"/>
  <c r="AP77" i="40"/>
  <c r="AQ77" i="40" s="1"/>
  <c r="AO74" i="40"/>
  <c r="AJ74" i="40"/>
  <c r="AK74" i="40" s="1"/>
  <c r="AL74" i="40" s="1"/>
  <c r="AP66" i="40"/>
  <c r="AQ66" i="40" s="1"/>
  <c r="AO79" i="40"/>
  <c r="V71" i="40"/>
  <c r="AB71" i="40" s="1"/>
  <c r="AO71" i="40"/>
  <c r="AP71" i="40" s="1"/>
  <c r="AQ71" i="40" s="1"/>
  <c r="U70" i="40"/>
  <c r="AA70" i="40" s="1"/>
  <c r="AO70" i="40"/>
  <c r="AP70" i="40" s="1"/>
  <c r="AQ70" i="40" s="1"/>
  <c r="Z69" i="40"/>
  <c r="AO69" i="40"/>
  <c r="U64" i="40"/>
  <c r="AA64" i="40" s="1"/>
  <c r="AO64" i="40"/>
  <c r="AP64" i="40" s="1"/>
  <c r="AQ64" i="40" s="1"/>
  <c r="AJ64" i="40"/>
  <c r="AK64" i="40" s="1"/>
  <c r="AL64" i="40" s="1"/>
  <c r="T63" i="40"/>
  <c r="V68" i="40"/>
  <c r="AB68" i="40" s="1"/>
  <c r="AO68" i="40"/>
  <c r="T59" i="40"/>
  <c r="AO59" i="40"/>
  <c r="Z61" i="40"/>
  <c r="Z58" i="40"/>
  <c r="T53" i="40"/>
  <c r="Z60" i="40"/>
  <c r="T54" i="40"/>
  <c r="V70" i="40"/>
  <c r="AB70" i="40" s="1"/>
  <c r="Z70" i="40"/>
  <c r="U68" i="40"/>
  <c r="AA68" i="40" s="1"/>
  <c r="Z68" i="40"/>
  <c r="Z71" i="40"/>
  <c r="U69" i="40"/>
  <c r="AA69" i="40" s="1"/>
  <c r="V69" i="40"/>
  <c r="AB69" i="40" s="1"/>
  <c r="T68" i="40"/>
  <c r="V63" i="40"/>
  <c r="AB63" i="40" s="1"/>
  <c r="Z64" i="40"/>
  <c r="Z63" i="40"/>
  <c r="T71" i="40"/>
  <c r="T70" i="40"/>
  <c r="U71" i="40"/>
  <c r="U63" i="40"/>
  <c r="V64" i="40"/>
  <c r="T69" i="40"/>
  <c r="T64" i="40"/>
  <c r="T61" i="40"/>
  <c r="U53" i="40"/>
  <c r="U54" i="40"/>
  <c r="AA54" i="40" s="1"/>
  <c r="U58" i="40"/>
  <c r="AA58" i="40" s="1"/>
  <c r="U59" i="40"/>
  <c r="AA59" i="40" s="1"/>
  <c r="U60" i="40"/>
  <c r="AA60" i="40" s="1"/>
  <c r="U61" i="40"/>
  <c r="AA61" i="40" s="1"/>
  <c r="T60" i="40"/>
  <c r="V53" i="40"/>
  <c r="AB53" i="40" s="1"/>
  <c r="V54" i="40"/>
  <c r="V58" i="40"/>
  <c r="AB58" i="40" s="1"/>
  <c r="V59" i="40"/>
  <c r="AB59" i="40" s="1"/>
  <c r="V60" i="40"/>
  <c r="AB60" i="40" s="1"/>
  <c r="V61" i="40"/>
  <c r="AB61" i="40" s="1"/>
  <c r="T58" i="40"/>
  <c r="Z53" i="40"/>
  <c r="Z54" i="40"/>
  <c r="Z59" i="40"/>
  <c r="V62" i="40" l="1"/>
  <c r="V72" i="40"/>
  <c r="AA71" i="40"/>
  <c r="AP74" i="40"/>
  <c r="AQ74" i="40" s="1"/>
  <c r="AP75" i="40"/>
  <c r="AQ75" i="40" s="1"/>
  <c r="AP79" i="40"/>
  <c r="AQ79" i="40" s="1"/>
  <c r="AK75" i="40"/>
  <c r="AL75" i="40" s="1"/>
  <c r="AP68" i="40"/>
  <c r="AQ68" i="40" s="1"/>
  <c r="AP69" i="40"/>
  <c r="AQ69" i="40" s="1"/>
  <c r="AP59" i="40"/>
  <c r="AQ59" i="40" s="1"/>
  <c r="AB54" i="40"/>
  <c r="AA53" i="40"/>
  <c r="AB64" i="40"/>
  <c r="AA63" i="40"/>
  <c r="AC50" i="40" l="1"/>
  <c r="AC49" i="40"/>
  <c r="AC48" i="40"/>
  <c r="AC47" i="40"/>
  <c r="AC41" i="40"/>
  <c r="AC40" i="40"/>
  <c r="AC39" i="40"/>
  <c r="AC38" i="40"/>
  <c r="AC31" i="40"/>
  <c r="AC30" i="40"/>
  <c r="AC29" i="40"/>
  <c r="AC28" i="40"/>
  <c r="AC52" i="40" l="1"/>
  <c r="AC44" i="40"/>
  <c r="AC43" i="40"/>
  <c r="H13" i="6"/>
  <c r="D13" i="6"/>
  <c r="E13" i="6"/>
  <c r="F13" i="6"/>
  <c r="G13" i="6"/>
  <c r="I13" i="6"/>
  <c r="C13" i="6"/>
  <c r="Q50" i="40"/>
  <c r="Q49" i="40"/>
  <c r="Z49" i="40" s="1"/>
  <c r="Q48" i="40"/>
  <c r="Q47" i="40"/>
  <c r="AO60" i="40" s="1"/>
  <c r="AP60" i="40" s="1"/>
  <c r="AQ60" i="40" s="1"/>
  <c r="Q44" i="40"/>
  <c r="Q43" i="40"/>
  <c r="AO56" i="40" s="1"/>
  <c r="AP56" i="40" s="1"/>
  <c r="AQ56" i="40" s="1"/>
  <c r="Z48" i="40" l="1"/>
  <c r="AO61" i="40"/>
  <c r="AP61" i="40" s="1"/>
  <c r="AQ61" i="40" s="1"/>
  <c r="V50" i="40"/>
  <c r="AB50" i="40" s="1"/>
  <c r="AJ63" i="40"/>
  <c r="AK63" i="40" s="1"/>
  <c r="AL63" i="40" s="1"/>
  <c r="AO63" i="40"/>
  <c r="AP63" i="40" s="1"/>
  <c r="AQ63" i="40" s="1"/>
  <c r="Z44" i="40"/>
  <c r="AO58" i="40"/>
  <c r="AP58" i="40" s="1"/>
  <c r="AQ58" i="40" s="1"/>
  <c r="Z43" i="40"/>
  <c r="Z47" i="40"/>
  <c r="T50" i="40"/>
  <c r="U50" i="40"/>
  <c r="AA50" i="40" s="1"/>
  <c r="T43" i="40"/>
  <c r="T44" i="40"/>
  <c r="T47" i="40"/>
  <c r="T48" i="40"/>
  <c r="T49" i="40"/>
  <c r="U43" i="40"/>
  <c r="U44" i="40"/>
  <c r="AA44" i="40" s="1"/>
  <c r="U47" i="40"/>
  <c r="U49" i="40"/>
  <c r="AA49" i="40" s="1"/>
  <c r="V43" i="40"/>
  <c r="V47" i="40"/>
  <c r="V49" i="40"/>
  <c r="AB49" i="40" s="1"/>
  <c r="Z50" i="40"/>
  <c r="U48" i="40"/>
  <c r="AA48" i="40" s="1"/>
  <c r="V44" i="40"/>
  <c r="V48" i="40"/>
  <c r="AB48" i="40" s="1"/>
  <c r="V52" i="40" l="1"/>
  <c r="AB47" i="40"/>
  <c r="AA47" i="40"/>
  <c r="AB44" i="40"/>
  <c r="AA43" i="40"/>
  <c r="AB43" i="40"/>
  <c r="AC42" i="40" l="1"/>
  <c r="AC32" i="40"/>
  <c r="AC34" i="40"/>
  <c r="AC33" i="40"/>
  <c r="AC23" i="40"/>
  <c r="AC24" i="40"/>
  <c r="Q41" i="40"/>
  <c r="Q40" i="40"/>
  <c r="Q39" i="40"/>
  <c r="Q38" i="40"/>
  <c r="AO51" i="40" s="1"/>
  <c r="AP51" i="40" s="1"/>
  <c r="AQ51" i="40" s="1"/>
  <c r="Q34" i="40"/>
  <c r="AO50" i="40" s="1"/>
  <c r="AP50" i="40" s="1"/>
  <c r="AQ50" i="40" s="1"/>
  <c r="Q33" i="40"/>
  <c r="AO49" i="40" s="1"/>
  <c r="AP49" i="40" s="1"/>
  <c r="AQ49" i="40" s="1"/>
  <c r="Q31" i="40"/>
  <c r="Q30" i="40"/>
  <c r="AO46" i="40" s="1"/>
  <c r="AP46" i="40" s="1"/>
  <c r="AQ46" i="40" s="1"/>
  <c r="Q29" i="40"/>
  <c r="Q28" i="40"/>
  <c r="Q24" i="40"/>
  <c r="Q23" i="40"/>
  <c r="AO47" i="40" l="1"/>
  <c r="AP47" i="40" s="1"/>
  <c r="AQ47" i="40" s="1"/>
  <c r="AJ43" i="40"/>
  <c r="AK43" i="40" s="1"/>
  <c r="AL43" i="40" s="1"/>
  <c r="AO43" i="40"/>
  <c r="AP43" i="40" s="1"/>
  <c r="AQ43" i="40" s="1"/>
  <c r="AJ44" i="40"/>
  <c r="AK44" i="40" s="1"/>
  <c r="AL44" i="40" s="1"/>
  <c r="AO44" i="40"/>
  <c r="AP44" i="40" s="1"/>
  <c r="AQ44" i="40" s="1"/>
  <c r="AO53" i="40"/>
  <c r="AP53" i="40" s="1"/>
  <c r="AQ53" i="40" s="1"/>
  <c r="AJ53" i="40"/>
  <c r="AK53" i="40" s="1"/>
  <c r="AL53" i="40" s="1"/>
  <c r="AO45" i="40"/>
  <c r="AP45" i="40" s="1"/>
  <c r="AQ45" i="40" s="1"/>
  <c r="AJ45" i="40"/>
  <c r="AK45" i="40" s="1"/>
  <c r="AL45" i="40" s="1"/>
  <c r="AJ54" i="40"/>
  <c r="AK54" i="40" s="1"/>
  <c r="AL54" i="40" s="1"/>
  <c r="AO54" i="40"/>
  <c r="AP54" i="40" s="1"/>
  <c r="AQ54" i="40" s="1"/>
  <c r="Z34" i="40"/>
  <c r="Z30" i="40"/>
  <c r="T33" i="40"/>
  <c r="V23" i="40"/>
  <c r="AB23" i="40" s="1"/>
  <c r="AO23" i="40"/>
  <c r="AP23" i="40" s="1"/>
  <c r="AQ23" i="40" s="1"/>
  <c r="AJ23" i="40"/>
  <c r="Z38" i="40"/>
  <c r="V24" i="40"/>
  <c r="AO24" i="40"/>
  <c r="AP24" i="40" s="1"/>
  <c r="AQ24" i="40" s="1"/>
  <c r="AJ24" i="40"/>
  <c r="AK24" i="40" s="1"/>
  <c r="AL24" i="40" s="1"/>
  <c r="V28" i="40"/>
  <c r="AB28" i="40" s="1"/>
  <c r="Z40" i="40"/>
  <c r="T34" i="40"/>
  <c r="U34" i="40"/>
  <c r="AA34" i="40" s="1"/>
  <c r="U38" i="40"/>
  <c r="AA38" i="40" s="1"/>
  <c r="V34" i="40"/>
  <c r="T40" i="40"/>
  <c r="U40" i="40"/>
  <c r="AA40" i="40" s="1"/>
  <c r="T38" i="40"/>
  <c r="V40" i="40"/>
  <c r="AB40" i="40" s="1"/>
  <c r="V38" i="40"/>
  <c r="AB38" i="40" s="1"/>
  <c r="T28" i="40"/>
  <c r="U28" i="40"/>
  <c r="AA28" i="40" s="1"/>
  <c r="Z28" i="40"/>
  <c r="T39" i="40"/>
  <c r="Z39" i="40"/>
  <c r="V39" i="40"/>
  <c r="AB39" i="40" s="1"/>
  <c r="U39" i="40"/>
  <c r="AA39" i="40" s="1"/>
  <c r="V41" i="40"/>
  <c r="AB41" i="40" s="1"/>
  <c r="U41" i="40"/>
  <c r="AA41" i="40" s="1"/>
  <c r="Z41" i="40"/>
  <c r="T41" i="40"/>
  <c r="U33" i="40"/>
  <c r="Z33" i="40"/>
  <c r="V33" i="40"/>
  <c r="AB33" i="40" s="1"/>
  <c r="Z31" i="40"/>
  <c r="V31" i="40"/>
  <c r="AB31" i="40" s="1"/>
  <c r="U31" i="40"/>
  <c r="AA31" i="40" s="1"/>
  <c r="T31" i="40"/>
  <c r="T29" i="40"/>
  <c r="Z29" i="40"/>
  <c r="V29" i="40"/>
  <c r="AB29" i="40" s="1"/>
  <c r="U29" i="40"/>
  <c r="AA29" i="40" s="1"/>
  <c r="T30" i="40"/>
  <c r="T23" i="40"/>
  <c r="U24" i="40"/>
  <c r="AA24" i="40" s="1"/>
  <c r="U30" i="40"/>
  <c r="AA30" i="40" s="1"/>
  <c r="V30" i="40"/>
  <c r="AB30" i="40" s="1"/>
  <c r="Z23" i="40"/>
  <c r="Z24" i="40"/>
  <c r="T24" i="40"/>
  <c r="U23" i="40"/>
  <c r="Y32" i="40"/>
  <c r="Y42" i="40" s="1"/>
  <c r="Y52" i="40" s="1"/>
  <c r="AC21" i="40"/>
  <c r="AC20" i="40"/>
  <c r="AC19" i="40"/>
  <c r="AC18" i="40"/>
  <c r="Q21" i="40"/>
  <c r="AO21" i="40" s="1"/>
  <c r="Q20" i="40"/>
  <c r="AO20" i="40" s="1"/>
  <c r="Q18" i="40"/>
  <c r="AC11" i="40"/>
  <c r="I5" i="13" s="1"/>
  <c r="AC10" i="40"/>
  <c r="Q11" i="40"/>
  <c r="AO11" i="40" s="1"/>
  <c r="Q10" i="40"/>
  <c r="AO31" i="40" s="1"/>
  <c r="AP31" i="40" s="1"/>
  <c r="AQ31" i="40" s="1"/>
  <c r="AC9" i="40"/>
  <c r="AC8" i="40"/>
  <c r="Q8" i="40"/>
  <c r="AO29" i="40" s="1"/>
  <c r="AP29" i="40" s="1"/>
  <c r="AQ29" i="40" s="1"/>
  <c r="Q14" i="40"/>
  <c r="Q13" i="40"/>
  <c r="AO34" i="40" s="1"/>
  <c r="V42" i="40" l="1"/>
  <c r="AO39" i="40"/>
  <c r="AP39" i="40" s="1"/>
  <c r="AQ39" i="40" s="1"/>
  <c r="AJ34" i="40"/>
  <c r="AK34" i="40" s="1"/>
  <c r="AL34" i="40" s="1"/>
  <c r="AO40" i="40"/>
  <c r="AP40" i="40" s="1"/>
  <c r="AQ40" i="40" s="1"/>
  <c r="AO35" i="40"/>
  <c r="AP35" i="40" s="1"/>
  <c r="AQ35" i="40" s="1"/>
  <c r="AJ35" i="40"/>
  <c r="Y62" i="40"/>
  <c r="AO18" i="40"/>
  <c r="AP18" i="40" s="1"/>
  <c r="AQ18" i="40" s="1"/>
  <c r="AO36" i="40"/>
  <c r="AB24" i="40"/>
  <c r="AB34" i="40"/>
  <c r="AK23" i="40"/>
  <c r="AL23" i="40" s="1"/>
  <c r="AP20" i="40"/>
  <c r="AQ20" i="40" s="1"/>
  <c r="AP21" i="40"/>
  <c r="AQ21" i="40" s="1"/>
  <c r="AP34" i="40"/>
  <c r="AQ34" i="40" s="1"/>
  <c r="AJ14" i="40"/>
  <c r="AO14" i="40"/>
  <c r="AA33" i="40"/>
  <c r="AA23" i="40"/>
  <c r="U8" i="40"/>
  <c r="AA8" i="40" s="1"/>
  <c r="AO8" i="40"/>
  <c r="V18" i="40"/>
  <c r="AB18" i="40" s="1"/>
  <c r="AP11" i="40"/>
  <c r="AQ11" i="40" s="1"/>
  <c r="U20" i="40"/>
  <c r="AA20" i="40" s="1"/>
  <c r="Z10" i="40"/>
  <c r="AO10" i="40"/>
  <c r="AP10" i="40" s="1"/>
  <c r="AQ10" i="40" s="1"/>
  <c r="T21" i="40"/>
  <c r="Z13" i="40"/>
  <c r="AJ13" i="40"/>
  <c r="AO13" i="40"/>
  <c r="Z14" i="40"/>
  <c r="V20" i="40"/>
  <c r="AB20" i="40" s="1"/>
  <c r="Z20" i="40"/>
  <c r="Z18" i="40"/>
  <c r="T20" i="40"/>
  <c r="V10" i="40"/>
  <c r="AB10" i="40" s="1"/>
  <c r="T10" i="40"/>
  <c r="U10" i="40"/>
  <c r="AA10" i="40" s="1"/>
  <c r="T8" i="40"/>
  <c r="V8" i="40"/>
  <c r="AB8" i="40" s="1"/>
  <c r="Z8" i="40"/>
  <c r="V21" i="40"/>
  <c r="AB21" i="40" s="1"/>
  <c r="Z21" i="40"/>
  <c r="U21" i="40"/>
  <c r="AA21" i="40" s="1"/>
  <c r="Q19" i="40"/>
  <c r="T18" i="40"/>
  <c r="U18" i="40"/>
  <c r="T11" i="40"/>
  <c r="Z11" i="40"/>
  <c r="U11" i="40"/>
  <c r="AA11" i="40" s="1"/>
  <c r="V11" i="40"/>
  <c r="AB11" i="40" s="1"/>
  <c r="Q9" i="40"/>
  <c r="AO30" i="40" s="1"/>
  <c r="AP30" i="40" s="1"/>
  <c r="AQ30" i="40" s="1"/>
  <c r="T14" i="40"/>
  <c r="T13" i="40"/>
  <c r="U13" i="40"/>
  <c r="AA13" i="40" s="1"/>
  <c r="V13" i="40"/>
  <c r="U14" i="40"/>
  <c r="AA14" i="40" s="1"/>
  <c r="V14" i="40"/>
  <c r="Y72" i="40" l="1"/>
  <c r="AK35" i="40"/>
  <c r="AL35" i="40" s="1"/>
  <c r="AO19" i="40"/>
  <c r="AP19" i="40" s="1"/>
  <c r="AQ19" i="40" s="1"/>
  <c r="AO38" i="40"/>
  <c r="AP38" i="40" s="1"/>
  <c r="AQ38" i="40" s="1"/>
  <c r="AP36" i="40"/>
  <c r="AQ36" i="40" s="1"/>
  <c r="AB14" i="40"/>
  <c r="AP14" i="40"/>
  <c r="AQ14" i="40" s="1"/>
  <c r="AK14" i="40"/>
  <c r="AL14" i="40" s="1"/>
  <c r="Z9" i="40"/>
  <c r="AO9" i="40"/>
  <c r="AP9" i="40" s="1"/>
  <c r="AQ9" i="40" s="1"/>
  <c r="AP8" i="40"/>
  <c r="AQ8" i="40" s="1"/>
  <c r="Z19" i="40"/>
  <c r="AP13" i="40"/>
  <c r="AQ13" i="40" s="1"/>
  <c r="AK13" i="40"/>
  <c r="AL13" i="40" s="1"/>
  <c r="V9" i="40"/>
  <c r="AB9" i="40" s="1"/>
  <c r="T9" i="40"/>
  <c r="U9" i="40"/>
  <c r="AA9" i="40" s="1"/>
  <c r="AA18" i="40"/>
  <c r="V19" i="40"/>
  <c r="U19" i="40"/>
  <c r="AA19" i="40" s="1"/>
  <c r="T19" i="40"/>
  <c r="AB13" i="40"/>
  <c r="Y81" i="40" l="1"/>
  <c r="AB19" i="40"/>
  <c r="Y90" i="40" l="1"/>
  <c r="Y99" i="40" l="1"/>
  <c r="Q4" i="40"/>
  <c r="AO28" i="40" s="1"/>
  <c r="AP28" i="40" s="1"/>
  <c r="AQ28" i="40" s="1"/>
  <c r="Q3" i="40"/>
  <c r="AO26" i="40" s="1"/>
  <c r="AP26" i="40" l="1"/>
  <c r="AQ26" i="40" s="1"/>
  <c r="Y108" i="40"/>
  <c r="AO3" i="40"/>
  <c r="AJ3" i="40"/>
  <c r="Z4" i="40"/>
  <c r="AJ4" i="40"/>
  <c r="AO4" i="40"/>
  <c r="Q12" i="40"/>
  <c r="Z3" i="40"/>
  <c r="T3" i="40"/>
  <c r="U3" i="40"/>
  <c r="V3" i="40"/>
  <c r="T4" i="40"/>
  <c r="U4" i="40"/>
  <c r="AA4" i="40" s="1"/>
  <c r="V4" i="40"/>
  <c r="V12" i="40" l="1"/>
  <c r="Y109" i="40"/>
  <c r="AJ33" i="40"/>
  <c r="AK33" i="40" s="1"/>
  <c r="AL33" i="40" s="1"/>
  <c r="AO33" i="40"/>
  <c r="AP33" i="40" s="1"/>
  <c r="AQ33" i="40" s="1"/>
  <c r="Q22" i="40"/>
  <c r="Z12" i="40"/>
  <c r="AP3" i="40"/>
  <c r="AQ3" i="40" s="1"/>
  <c r="AK4" i="40"/>
  <c r="AL4" i="40" s="1"/>
  <c r="AP4" i="40"/>
  <c r="AQ4" i="40" s="1"/>
  <c r="AK3" i="40"/>
  <c r="AL3" i="40" s="1"/>
  <c r="AB4" i="40"/>
  <c r="T12" i="40"/>
  <c r="AA3" i="40"/>
  <c r="U12" i="40"/>
  <c r="AB3" i="40"/>
  <c r="F5" i="13" l="1"/>
  <c r="V22" i="40"/>
  <c r="T22" i="40"/>
  <c r="U22" i="40"/>
  <c r="AO41" i="40"/>
  <c r="AP41" i="40" s="1"/>
  <c r="AQ41" i="40" s="1"/>
  <c r="Q32" i="40"/>
  <c r="Z22" i="40"/>
  <c r="S12" i="40"/>
  <c r="R12" i="40"/>
  <c r="AA12" i="40"/>
  <c r="W22" i="40" l="1"/>
  <c r="AO48" i="40"/>
  <c r="AP48" i="40" s="1"/>
  <c r="AQ48" i="40" s="1"/>
  <c r="Q42" i="40"/>
  <c r="Z32" i="40"/>
  <c r="U32" i="40"/>
  <c r="R22" i="40"/>
  <c r="AA22" i="40"/>
  <c r="T32" i="40"/>
  <c r="S22" i="40"/>
  <c r="V32" i="40"/>
  <c r="W32" i="40" s="1"/>
  <c r="AB22" i="40"/>
  <c r="V109" i="40" l="1"/>
  <c r="U42" i="40"/>
  <c r="R32" i="40"/>
  <c r="AA32" i="40"/>
  <c r="AB32" i="40"/>
  <c r="AO55" i="40"/>
  <c r="AJ55" i="40"/>
  <c r="Q52" i="40"/>
  <c r="Z42" i="40"/>
  <c r="S32" i="40"/>
  <c r="T42" i="40"/>
  <c r="AK55" i="40" l="1"/>
  <c r="AL55" i="40" s="1"/>
  <c r="Z52" i="40"/>
  <c r="AJ65" i="40"/>
  <c r="AO65" i="40"/>
  <c r="Q62" i="40"/>
  <c r="AP55" i="40"/>
  <c r="AQ55" i="40" s="1"/>
  <c r="T52" i="40"/>
  <c r="S42" i="40"/>
  <c r="AB42" i="40"/>
  <c r="W42" i="40"/>
  <c r="U52" i="40"/>
  <c r="AA42" i="40"/>
  <c r="R42" i="40"/>
  <c r="AB12" i="40"/>
  <c r="W12" i="40"/>
  <c r="Z62" i="40" l="1"/>
  <c r="AO73" i="40"/>
  <c r="AP73" i="40" s="1"/>
  <c r="AQ73" i="40" s="1"/>
  <c r="AJ73" i="40"/>
  <c r="AK73" i="40" s="1"/>
  <c r="AL73" i="40" s="1"/>
  <c r="Q72" i="40"/>
  <c r="AP65" i="40"/>
  <c r="AQ65" i="40" s="1"/>
  <c r="U62" i="40"/>
  <c r="R52" i="40"/>
  <c r="AA52" i="40"/>
  <c r="AK65" i="40"/>
  <c r="AL65" i="40" s="1"/>
  <c r="W52" i="40"/>
  <c r="AB52" i="40"/>
  <c r="T62" i="40"/>
  <c r="S52" i="40"/>
  <c r="Y11" i="12"/>
  <c r="P10" i="12"/>
  <c r="Q10" i="12"/>
  <c r="P9" i="12"/>
  <c r="Q9" i="12"/>
  <c r="U9" i="12" l="1"/>
  <c r="AA9" i="12" s="1"/>
  <c r="AH9" i="12"/>
  <c r="U10" i="12"/>
  <c r="AA10" i="12" s="1"/>
  <c r="AH10" i="12"/>
  <c r="U72" i="40"/>
  <c r="R62" i="40"/>
  <c r="AA62" i="40"/>
  <c r="W62" i="40"/>
  <c r="W72" i="40"/>
  <c r="AB62" i="40"/>
  <c r="Z72" i="40"/>
  <c r="AO80" i="40"/>
  <c r="Q81" i="40"/>
  <c r="S62" i="40"/>
  <c r="T72" i="40"/>
  <c r="AM10" i="12"/>
  <c r="AM9" i="12"/>
  <c r="T10" i="12"/>
  <c r="Z10" i="12"/>
  <c r="V10" i="12"/>
  <c r="Z9" i="12"/>
  <c r="V9" i="12"/>
  <c r="T9" i="12"/>
  <c r="AI9" i="12" l="1"/>
  <c r="AJ9" i="12" s="1"/>
  <c r="AI10" i="12"/>
  <c r="AJ10" i="12" s="1"/>
  <c r="AB109" i="40"/>
  <c r="S72" i="40"/>
  <c r="T81" i="40"/>
  <c r="AP80" i="40"/>
  <c r="AQ80" i="40" s="1"/>
  <c r="AB72" i="40"/>
  <c r="Z81" i="40"/>
  <c r="AO87" i="40"/>
  <c r="Q90" i="40"/>
  <c r="U81" i="40"/>
  <c r="R72" i="40"/>
  <c r="AA72" i="40"/>
  <c r="AN9" i="12"/>
  <c r="AO9" i="12" s="1"/>
  <c r="AN10" i="12"/>
  <c r="AO10" i="12" s="1"/>
  <c r="T90" i="40" l="1"/>
  <c r="S81" i="40"/>
  <c r="AP87" i="40"/>
  <c r="AQ87" i="40" s="1"/>
  <c r="AB81" i="40"/>
  <c r="W90" i="40"/>
  <c r="R81" i="40"/>
  <c r="U90" i="40"/>
  <c r="AA81" i="40"/>
  <c r="W81" i="40"/>
  <c r="AO94" i="40"/>
  <c r="AP94" i="40" s="1"/>
  <c r="AQ94" i="40" s="1"/>
  <c r="Q99" i="40"/>
  <c r="Z90" i="40"/>
  <c r="R19" i="11"/>
  <c r="AC19" i="11"/>
  <c r="AB90" i="40" l="1"/>
  <c r="W99" i="40"/>
  <c r="AO101" i="40"/>
  <c r="AJ101" i="40"/>
  <c r="AK101" i="40" s="1"/>
  <c r="AL101" i="40" s="1"/>
  <c r="AL109" i="40" s="1"/>
  <c r="Q108" i="40"/>
  <c r="Q109" i="40" s="1"/>
  <c r="Z99" i="40"/>
  <c r="R90" i="40"/>
  <c r="U99" i="40"/>
  <c r="AA90" i="40"/>
  <c r="T99" i="40"/>
  <c r="S90" i="40"/>
  <c r="S19" i="11"/>
  <c r="AB145" i="1"/>
  <c r="AB147" i="1"/>
  <c r="AB148" i="1"/>
  <c r="AB149" i="1"/>
  <c r="P148" i="1"/>
  <c r="T148" i="1" s="1"/>
  <c r="Z148" i="1" s="1"/>
  <c r="O148" i="1"/>
  <c r="P145" i="1"/>
  <c r="T145" i="1" s="1"/>
  <c r="Z145" i="1" s="1"/>
  <c r="O145" i="1"/>
  <c r="AB126" i="1"/>
  <c r="AB128" i="1"/>
  <c r="AB129" i="1"/>
  <c r="AB130" i="1"/>
  <c r="P129" i="1"/>
  <c r="Y129" i="1" s="1"/>
  <c r="O129" i="1"/>
  <c r="P126" i="1"/>
  <c r="S126" i="1" s="1"/>
  <c r="O126" i="1"/>
  <c r="AB30" i="1"/>
  <c r="AB32" i="1"/>
  <c r="AB33" i="1"/>
  <c r="AB34" i="1"/>
  <c r="P33" i="1"/>
  <c r="Y33" i="1" s="1"/>
  <c r="O33" i="1"/>
  <c r="P30" i="1"/>
  <c r="Y30" i="1" s="1"/>
  <c r="O30" i="1"/>
  <c r="AB106" i="1"/>
  <c r="AB108" i="1"/>
  <c r="AB109" i="1"/>
  <c r="AB110" i="1"/>
  <c r="P109" i="1"/>
  <c r="Y109" i="1" s="1"/>
  <c r="O109" i="1"/>
  <c r="P106" i="1"/>
  <c r="Y106" i="1" s="1"/>
  <c r="O106" i="1"/>
  <c r="AB71" i="1"/>
  <c r="P71" i="1"/>
  <c r="Y71" i="1" s="1"/>
  <c r="O71" i="1"/>
  <c r="AB68" i="1"/>
  <c r="AB69" i="1"/>
  <c r="AB70" i="1"/>
  <c r="AB72" i="1"/>
  <c r="P68" i="1"/>
  <c r="S68" i="1" s="1"/>
  <c r="O68" i="1"/>
  <c r="AB90" i="1"/>
  <c r="P90" i="1"/>
  <c r="U90" i="1" s="1"/>
  <c r="O90" i="1"/>
  <c r="AB87" i="1"/>
  <c r="AB89" i="1"/>
  <c r="AB91" i="1"/>
  <c r="P87" i="1"/>
  <c r="U87" i="1" s="1"/>
  <c r="O87" i="1"/>
  <c r="AB52" i="1"/>
  <c r="P52" i="1"/>
  <c r="Y52" i="1" s="1"/>
  <c r="O52" i="1"/>
  <c r="AB49" i="1"/>
  <c r="AB51" i="1"/>
  <c r="AB53" i="1"/>
  <c r="P49" i="1"/>
  <c r="Y49" i="1" s="1"/>
  <c r="O49" i="1"/>
  <c r="P14" i="1"/>
  <c r="S14" i="1" s="1"/>
  <c r="O14" i="1"/>
  <c r="AB11" i="1"/>
  <c r="AB13" i="1"/>
  <c r="P11" i="1"/>
  <c r="S11" i="1" s="1"/>
  <c r="O11" i="1"/>
  <c r="O12" i="1"/>
  <c r="P12" i="1"/>
  <c r="Y12" i="1" s="1"/>
  <c r="AB12" i="1"/>
  <c r="Z109" i="40" l="1"/>
  <c r="W109" i="40"/>
  <c r="C5" i="13"/>
  <c r="Z108" i="40"/>
  <c r="S99" i="40"/>
  <c r="T108" i="40"/>
  <c r="T109" i="40" s="1"/>
  <c r="S109" i="40" s="1"/>
  <c r="AP101" i="40"/>
  <c r="AQ101" i="40" s="1"/>
  <c r="AQ109" i="40" s="1"/>
  <c r="AB99" i="40"/>
  <c r="U108" i="40"/>
  <c r="U109" i="40" s="1"/>
  <c r="R99" i="40"/>
  <c r="AA99" i="40"/>
  <c r="AO19" i="11"/>
  <c r="AP19" i="11" s="1"/>
  <c r="AQ19" i="11" s="1"/>
  <c r="AB19" i="11"/>
  <c r="S148" i="1"/>
  <c r="U148" i="1"/>
  <c r="AA148" i="1" s="1"/>
  <c r="Y148" i="1"/>
  <c r="S145" i="1"/>
  <c r="U145" i="1"/>
  <c r="AA145" i="1" s="1"/>
  <c r="Y145" i="1"/>
  <c r="S129" i="1"/>
  <c r="U129" i="1"/>
  <c r="AA129" i="1" s="1"/>
  <c r="T129" i="1"/>
  <c r="Z129" i="1" s="1"/>
  <c r="T126" i="1"/>
  <c r="Z126" i="1" s="1"/>
  <c r="U126" i="1"/>
  <c r="AA126" i="1" s="1"/>
  <c r="Y126" i="1"/>
  <c r="T30" i="1"/>
  <c r="Z30" i="1" s="1"/>
  <c r="T33" i="1"/>
  <c r="Z33" i="1" s="1"/>
  <c r="U33" i="1"/>
  <c r="AA33" i="1" s="1"/>
  <c r="S30" i="1"/>
  <c r="U30" i="1"/>
  <c r="AA30" i="1" s="1"/>
  <c r="S109" i="1"/>
  <c r="T109" i="1"/>
  <c r="Z109" i="1" s="1"/>
  <c r="U109" i="1"/>
  <c r="AA109" i="1" s="1"/>
  <c r="S106" i="1"/>
  <c r="T106" i="1"/>
  <c r="Z106" i="1" s="1"/>
  <c r="U106" i="1"/>
  <c r="AA106" i="1" s="1"/>
  <c r="S71" i="1"/>
  <c r="T71" i="1"/>
  <c r="Z71" i="1" s="1"/>
  <c r="U71" i="1"/>
  <c r="AA71" i="1" s="1"/>
  <c r="T68" i="1"/>
  <c r="Z68" i="1" s="1"/>
  <c r="U68" i="1"/>
  <c r="AA68" i="1" s="1"/>
  <c r="Y68" i="1"/>
  <c r="Y90" i="1"/>
  <c r="AA90" i="1"/>
  <c r="S90" i="1"/>
  <c r="T90" i="1"/>
  <c r="Z90" i="1" s="1"/>
  <c r="AA87" i="1"/>
  <c r="S87" i="1"/>
  <c r="T87" i="1"/>
  <c r="Z87" i="1" s="1"/>
  <c r="Y87" i="1"/>
  <c r="S52" i="1"/>
  <c r="T52" i="1"/>
  <c r="Z52" i="1" s="1"/>
  <c r="U52" i="1"/>
  <c r="AA52" i="1" s="1"/>
  <c r="S49" i="1"/>
  <c r="T49" i="1"/>
  <c r="Z49" i="1" s="1"/>
  <c r="U49" i="1"/>
  <c r="AA49" i="1" s="1"/>
  <c r="U11" i="1"/>
  <c r="AA11" i="1" s="1"/>
  <c r="U12" i="1"/>
  <c r="AA12" i="1" s="1"/>
  <c r="U14" i="1"/>
  <c r="AA14" i="1" s="1"/>
  <c r="T14" i="1"/>
  <c r="Z14" i="1" s="1"/>
  <c r="Y14" i="1"/>
  <c r="T12" i="1"/>
  <c r="Z12" i="1" s="1"/>
  <c r="S12" i="1"/>
  <c r="Y11" i="1"/>
  <c r="T11" i="1"/>
  <c r="Z11" i="1" s="1"/>
  <c r="AO12" i="11"/>
  <c r="AP12" i="11" s="1"/>
  <c r="AQ12" i="11" s="1"/>
  <c r="AO13" i="11"/>
  <c r="AP13" i="11" s="1"/>
  <c r="AO14" i="11"/>
  <c r="AP14" i="11" s="1"/>
  <c r="AO15" i="11"/>
  <c r="AP15" i="11" s="1"/>
  <c r="AO16" i="11"/>
  <c r="AP16" i="11" s="1"/>
  <c r="AQ16" i="11" s="1"/>
  <c r="AO17" i="11"/>
  <c r="AP17" i="11" s="1"/>
  <c r="AO18" i="11"/>
  <c r="AP18" i="11" s="1"/>
  <c r="AQ18" i="11" s="1"/>
  <c r="AA12" i="11"/>
  <c r="AA13" i="11"/>
  <c r="AA14" i="11"/>
  <c r="AB14" i="11" s="1"/>
  <c r="AA15" i="11"/>
  <c r="AB15" i="11" s="1"/>
  <c r="AA16" i="11"/>
  <c r="AB16" i="11" s="1"/>
  <c r="AA17" i="11"/>
  <c r="AB17" i="11" s="1"/>
  <c r="AA18" i="11"/>
  <c r="W12" i="11"/>
  <c r="W13" i="11"/>
  <c r="W14" i="11"/>
  <c r="W15" i="11"/>
  <c r="W16" i="11"/>
  <c r="W17" i="11"/>
  <c r="W18" i="11"/>
  <c r="X12" i="11"/>
  <c r="X13" i="11"/>
  <c r="X14" i="11"/>
  <c r="X15" i="11"/>
  <c r="X16" i="11"/>
  <c r="X17" i="11"/>
  <c r="X18" i="11"/>
  <c r="AA109" i="40" l="1"/>
  <c r="R109" i="40"/>
  <c r="D5" i="13"/>
  <c r="AB108" i="40"/>
  <c r="H5" i="13" s="1"/>
  <c r="G5" i="13"/>
  <c r="S108" i="40"/>
  <c r="E5" i="13"/>
  <c r="W108" i="40"/>
  <c r="R108" i="40"/>
  <c r="AA108" i="40"/>
  <c r="AC13" i="11"/>
  <c r="AC18" i="11"/>
  <c r="AC16" i="11"/>
  <c r="AB13" i="11"/>
  <c r="AC15" i="11"/>
  <c r="AC12" i="11"/>
  <c r="AB18" i="11"/>
  <c r="AC14" i="11"/>
  <c r="AB12" i="11"/>
  <c r="AC17" i="11"/>
  <c r="AQ14" i="11"/>
  <c r="AQ13" i="11"/>
  <c r="AQ15" i="11"/>
  <c r="AQ17" i="11"/>
  <c r="W150" i="1" l="1"/>
  <c r="W147" i="1"/>
  <c r="P147" i="1" s="1"/>
  <c r="W131" i="1"/>
  <c r="W128" i="1"/>
  <c r="W111" i="1"/>
  <c r="W108" i="1"/>
  <c r="P108" i="1" s="1"/>
  <c r="W92" i="1"/>
  <c r="W89" i="1"/>
  <c r="P89" i="1" s="1"/>
  <c r="W73" i="1"/>
  <c r="W70" i="1"/>
  <c r="P70" i="1" s="1"/>
  <c r="W54" i="1"/>
  <c r="W51" i="1"/>
  <c r="P51" i="1" s="1"/>
  <c r="W35" i="1"/>
  <c r="W32" i="1"/>
  <c r="P32" i="1" s="1"/>
  <c r="W16" i="1"/>
  <c r="P16" i="1" s="1"/>
  <c r="W13" i="1"/>
  <c r="P13" i="1" s="1"/>
  <c r="U13" i="1" s="1"/>
  <c r="O149" i="1"/>
  <c r="P149" i="1"/>
  <c r="O147" i="1"/>
  <c r="O130" i="1"/>
  <c r="P130" i="1"/>
  <c r="O128" i="1"/>
  <c r="P128" i="1"/>
  <c r="P110" i="1"/>
  <c r="O110" i="1"/>
  <c r="O108" i="1"/>
  <c r="P91" i="1"/>
  <c r="O91" i="1"/>
  <c r="O89" i="1"/>
  <c r="P72" i="1"/>
  <c r="O72" i="1"/>
  <c r="O70" i="1"/>
  <c r="P53" i="1"/>
  <c r="O53" i="1"/>
  <c r="O51" i="1"/>
  <c r="P34" i="1"/>
  <c r="O34" i="1"/>
  <c r="O32" i="1"/>
  <c r="O13" i="1"/>
  <c r="P15" i="1"/>
  <c r="U15" i="1" s="1"/>
  <c r="O15" i="1"/>
  <c r="AL16" i="1" l="1"/>
  <c r="AM16" i="1" s="1"/>
  <c r="AN16" i="1" s="1"/>
  <c r="U16" i="1"/>
  <c r="S130" i="1"/>
  <c r="AL130" i="1"/>
  <c r="AM130" i="1" s="1"/>
  <c r="AN130" i="1" s="1"/>
  <c r="S32" i="1"/>
  <c r="AL32" i="1"/>
  <c r="S51" i="1"/>
  <c r="AL51" i="1"/>
  <c r="Y72" i="1"/>
  <c r="AL72" i="1"/>
  <c r="AM72" i="1" s="1"/>
  <c r="AN72" i="1" s="1"/>
  <c r="U108" i="1"/>
  <c r="AA108" i="1" s="1"/>
  <c r="AL108" i="1"/>
  <c r="AM108" i="1" s="1"/>
  <c r="AN108" i="1" s="1"/>
  <c r="S13" i="1"/>
  <c r="AL13" i="1"/>
  <c r="AM13" i="1" s="1"/>
  <c r="AN13" i="1" s="1"/>
  <c r="T89" i="1"/>
  <c r="Z89" i="1" s="1"/>
  <c r="AL89" i="1"/>
  <c r="AM89" i="1" s="1"/>
  <c r="AN89" i="1" s="1"/>
  <c r="Y53" i="1"/>
  <c r="AL53" i="1"/>
  <c r="AM53" i="1" s="1"/>
  <c r="AN53" i="1" s="1"/>
  <c r="Y110" i="1"/>
  <c r="AL110" i="1"/>
  <c r="AM110" i="1" s="1"/>
  <c r="AN110" i="1" s="1"/>
  <c r="Y15" i="1"/>
  <c r="AL15" i="1"/>
  <c r="U34" i="1"/>
  <c r="AA34" i="1" s="1"/>
  <c r="AL34" i="1"/>
  <c r="AM34" i="1" s="1"/>
  <c r="AN34" i="1" s="1"/>
  <c r="Y91" i="1"/>
  <c r="AL91" i="1"/>
  <c r="T128" i="1"/>
  <c r="Z128" i="1" s="1"/>
  <c r="AL128" i="1"/>
  <c r="AM128" i="1" s="1"/>
  <c r="AN128" i="1" s="1"/>
  <c r="S149" i="1"/>
  <c r="AL149" i="1"/>
  <c r="S70" i="1"/>
  <c r="AL70" i="1"/>
  <c r="S147" i="1"/>
  <c r="AL147" i="1"/>
  <c r="Y149" i="1"/>
  <c r="U149" i="1"/>
  <c r="AA149" i="1" s="1"/>
  <c r="T149" i="1"/>
  <c r="Z149" i="1" s="1"/>
  <c r="Y147" i="1"/>
  <c r="U147" i="1"/>
  <c r="AA147" i="1" s="1"/>
  <c r="T147" i="1"/>
  <c r="Z147" i="1" s="1"/>
  <c r="U130" i="1"/>
  <c r="AA130" i="1" s="1"/>
  <c r="T130" i="1"/>
  <c r="Z130" i="1" s="1"/>
  <c r="U128" i="1"/>
  <c r="AA128" i="1" s="1"/>
  <c r="S128" i="1"/>
  <c r="Y130" i="1"/>
  <c r="Y128" i="1"/>
  <c r="T108" i="1"/>
  <c r="Z108" i="1" s="1"/>
  <c r="S108" i="1"/>
  <c r="S110" i="1"/>
  <c r="T110" i="1"/>
  <c r="Z110" i="1" s="1"/>
  <c r="U110" i="1"/>
  <c r="AA110" i="1" s="1"/>
  <c r="Y108" i="1"/>
  <c r="Y89" i="1"/>
  <c r="U89" i="1"/>
  <c r="AA89" i="1" s="1"/>
  <c r="S89" i="1"/>
  <c r="S91" i="1"/>
  <c r="T91" i="1"/>
  <c r="Z91" i="1" s="1"/>
  <c r="U91" i="1"/>
  <c r="AA91" i="1" s="1"/>
  <c r="S72" i="1"/>
  <c r="T72" i="1"/>
  <c r="Z72" i="1" s="1"/>
  <c r="U72" i="1"/>
  <c r="AA72" i="1" s="1"/>
  <c r="Y70" i="1"/>
  <c r="U70" i="1"/>
  <c r="AA70" i="1" s="1"/>
  <c r="T70" i="1"/>
  <c r="Z70" i="1" s="1"/>
  <c r="S53" i="1"/>
  <c r="T53" i="1"/>
  <c r="Z53" i="1" s="1"/>
  <c r="U53" i="1"/>
  <c r="AA53" i="1" s="1"/>
  <c r="Y51" i="1"/>
  <c r="U51" i="1"/>
  <c r="AA51" i="1" s="1"/>
  <c r="T51" i="1"/>
  <c r="Z51" i="1" s="1"/>
  <c r="T34" i="1"/>
  <c r="Z34" i="1" s="1"/>
  <c r="Y34" i="1"/>
  <c r="Y32" i="1"/>
  <c r="U32" i="1"/>
  <c r="AA32" i="1" s="1"/>
  <c r="T32" i="1"/>
  <c r="Z32" i="1" s="1"/>
  <c r="Y13" i="1"/>
  <c r="T13" i="1"/>
  <c r="Z13" i="1" s="1"/>
  <c r="AA13" i="1"/>
  <c r="T15" i="1"/>
  <c r="Z15" i="1" s="1"/>
  <c r="AA15" i="1"/>
  <c r="S15" i="1"/>
  <c r="AM149" i="1" l="1"/>
  <c r="AN149" i="1" s="1"/>
  <c r="AM51" i="1"/>
  <c r="AN51" i="1" s="1"/>
  <c r="AM70" i="1"/>
  <c r="AN70" i="1" s="1"/>
  <c r="AM91" i="1"/>
  <c r="AN91" i="1" s="1"/>
  <c r="AM15" i="1"/>
  <c r="AN15" i="1" s="1"/>
  <c r="AM32" i="1"/>
  <c r="AN32" i="1" s="1"/>
  <c r="AM147" i="1"/>
  <c r="AN147" i="1" s="1"/>
  <c r="AC19" i="12" l="1"/>
  <c r="I7" i="13" l="1"/>
  <c r="Y19" i="12"/>
  <c r="F7" i="13" s="1"/>
  <c r="Q18" i="12"/>
  <c r="P18" i="12"/>
  <c r="Q17" i="12"/>
  <c r="P17" i="12"/>
  <c r="Q16" i="12"/>
  <c r="P16" i="12"/>
  <c r="Q15" i="12"/>
  <c r="P15" i="12"/>
  <c r="U15" i="12" l="1"/>
  <c r="AA15" i="12" s="1"/>
  <c r="AM15" i="12"/>
  <c r="AN15" i="12" s="1"/>
  <c r="AO15" i="12" s="1"/>
  <c r="V16" i="12"/>
  <c r="AB16" i="12" s="1"/>
  <c r="AM16" i="12"/>
  <c r="Z17" i="12"/>
  <c r="AM17" i="12"/>
  <c r="AN17" i="12" s="1"/>
  <c r="AO17" i="12" s="1"/>
  <c r="V18" i="12"/>
  <c r="AB18" i="12" s="1"/>
  <c r="AM18" i="12"/>
  <c r="AN18" i="12" s="1"/>
  <c r="AO18" i="12" s="1"/>
  <c r="Z16" i="12"/>
  <c r="Q19" i="12"/>
  <c r="Z15" i="12"/>
  <c r="V15" i="12"/>
  <c r="AB15" i="12" s="1"/>
  <c r="T15" i="12"/>
  <c r="U16" i="12"/>
  <c r="AA16" i="12" s="1"/>
  <c r="V17" i="12"/>
  <c r="AB17" i="12" s="1"/>
  <c r="Z18" i="12"/>
  <c r="T18" i="12"/>
  <c r="T17" i="12"/>
  <c r="U18" i="12"/>
  <c r="AA18" i="12" s="1"/>
  <c r="T16" i="12"/>
  <c r="U17" i="12"/>
  <c r="AA17" i="12" s="1"/>
  <c r="AN16" i="12" l="1"/>
  <c r="AO16" i="12" s="1"/>
  <c r="Z19" i="12"/>
  <c r="C7" i="13"/>
  <c r="V19" i="12"/>
  <c r="AB19" i="12" s="1"/>
  <c r="H7" i="13" s="1"/>
  <c r="T19" i="12"/>
  <c r="U19" i="12"/>
  <c r="R19" i="12" l="1"/>
  <c r="D7" i="13"/>
  <c r="S19" i="12"/>
  <c r="E7" i="13"/>
  <c r="W19" i="12"/>
  <c r="G7" i="13"/>
  <c r="F8" i="13" l="1"/>
  <c r="J9" i="39"/>
  <c r="C8" i="13" s="1"/>
  <c r="I9" i="39"/>
  <c r="G8" i="13" s="1"/>
  <c r="I5" i="39"/>
  <c r="O3" i="39"/>
  <c r="P3" i="39" s="1"/>
  <c r="Q3" i="39" s="1"/>
  <c r="Q9" i="39" s="1"/>
  <c r="AA8" i="11" l="1"/>
  <c r="S8" i="11" l="1"/>
  <c r="AO8" i="11" s="1"/>
  <c r="AC8" i="11"/>
  <c r="AB8" i="11" l="1"/>
  <c r="AP8" i="11"/>
  <c r="AQ8" i="11" s="1"/>
  <c r="X8" i="11"/>
  <c r="E28" i="11"/>
  <c r="E27" i="11"/>
  <c r="AB4" i="13"/>
  <c r="AB3" i="13"/>
  <c r="AB8" i="13" l="1"/>
  <c r="Q8" i="12"/>
  <c r="Q7" i="12"/>
  <c r="P7" i="12"/>
  <c r="P8" i="12"/>
  <c r="AM8" i="12" l="1"/>
  <c r="AN8" i="12" s="1"/>
  <c r="AO8" i="12" s="1"/>
  <c r="AH8" i="12"/>
  <c r="AM7" i="12"/>
  <c r="AH7" i="12"/>
  <c r="Z7" i="12"/>
  <c r="V8" i="12"/>
  <c r="V7" i="12"/>
  <c r="U7" i="12"/>
  <c r="T7" i="12"/>
  <c r="AN7" i="12" l="1"/>
  <c r="AO7" i="12" s="1"/>
  <c r="AI7" i="12"/>
  <c r="AJ7" i="12" s="1"/>
  <c r="AI8" i="12"/>
  <c r="AJ8" i="12"/>
  <c r="AA7" i="12"/>
  <c r="Z8" i="12"/>
  <c r="T8" i="12"/>
  <c r="U8" i="12"/>
  <c r="AA8" i="12" s="1"/>
  <c r="S7" i="11" l="1"/>
  <c r="AO7" i="11" s="1"/>
  <c r="AC7" i="11"/>
  <c r="AP7" i="11" l="1"/>
  <c r="AQ7" i="11" s="1"/>
  <c r="E26" i="11"/>
  <c r="E25" i="11"/>
  <c r="AB12" i="13"/>
  <c r="AB7" i="11"/>
  <c r="X7" i="11"/>
  <c r="H37" i="38"/>
  <c r="G37" i="38"/>
  <c r="F37" i="38"/>
  <c r="H36" i="38"/>
  <c r="G36" i="38"/>
  <c r="F36" i="38"/>
  <c r="H35" i="38"/>
  <c r="G35" i="38"/>
  <c r="F35" i="38"/>
  <c r="H34" i="38"/>
  <c r="G34" i="38"/>
  <c r="F34" i="38"/>
  <c r="H33" i="38"/>
  <c r="G33" i="38"/>
  <c r="F33" i="38"/>
  <c r="H32" i="38"/>
  <c r="G32" i="38"/>
  <c r="F32" i="38"/>
  <c r="H31" i="38"/>
  <c r="G31" i="38"/>
  <c r="F31" i="38"/>
  <c r="H30" i="38"/>
  <c r="G30" i="38"/>
  <c r="F30" i="38"/>
  <c r="H29" i="38"/>
  <c r="G29" i="38"/>
  <c r="F29" i="38"/>
  <c r="H28" i="38"/>
  <c r="I28" i="38" s="1"/>
  <c r="G28" i="38"/>
  <c r="F28" i="38"/>
  <c r="H27" i="38"/>
  <c r="G27" i="38"/>
  <c r="F27" i="38"/>
  <c r="H26" i="38"/>
  <c r="G26" i="38"/>
  <c r="F26" i="38"/>
  <c r="H25" i="38"/>
  <c r="G25" i="38"/>
  <c r="F25" i="38"/>
  <c r="H24" i="38"/>
  <c r="G24" i="38"/>
  <c r="F24" i="38"/>
  <c r="H21" i="38"/>
  <c r="G21" i="38"/>
  <c r="I21" i="38" s="1"/>
  <c r="F21" i="38"/>
  <c r="H20" i="38"/>
  <c r="G20" i="38"/>
  <c r="F20" i="38"/>
  <c r="H19" i="38"/>
  <c r="G19" i="38"/>
  <c r="F19" i="38"/>
  <c r="I19" i="38" s="1"/>
  <c r="H18" i="38"/>
  <c r="G18" i="38"/>
  <c r="F18" i="38"/>
  <c r="H17" i="38"/>
  <c r="G17" i="38"/>
  <c r="F17" i="38"/>
  <c r="H16" i="38"/>
  <c r="G16" i="38"/>
  <c r="F16" i="38"/>
  <c r="H15" i="38"/>
  <c r="G15" i="38"/>
  <c r="F15" i="38"/>
  <c r="I15" i="38" s="1"/>
  <c r="H14" i="38"/>
  <c r="G14" i="38"/>
  <c r="F14" i="38"/>
  <c r="H13" i="38"/>
  <c r="G13" i="38"/>
  <c r="F13" i="38"/>
  <c r="H12" i="38"/>
  <c r="G12" i="38"/>
  <c r="F12" i="38"/>
  <c r="H11" i="38"/>
  <c r="G11" i="38"/>
  <c r="F11" i="38"/>
  <c r="I11" i="38" s="1"/>
  <c r="H8" i="38"/>
  <c r="G8" i="38"/>
  <c r="F8" i="38"/>
  <c r="H7" i="38"/>
  <c r="I7" i="38" s="1"/>
  <c r="G7" i="38"/>
  <c r="F7" i="38"/>
  <c r="H6" i="38"/>
  <c r="G6" i="38"/>
  <c r="F6" i="38"/>
  <c r="H5" i="38"/>
  <c r="G5" i="38"/>
  <c r="F5" i="38"/>
  <c r="H4" i="38"/>
  <c r="G4" i="38"/>
  <c r="F4" i="38"/>
  <c r="H3" i="38"/>
  <c r="G3" i="38"/>
  <c r="F3" i="38"/>
  <c r="G21" i="37"/>
  <c r="F21" i="37"/>
  <c r="E21" i="37"/>
  <c r="H21" i="37" s="1"/>
  <c r="G20" i="37"/>
  <c r="F20" i="37"/>
  <c r="E20" i="37"/>
  <c r="H20" i="37" s="1"/>
  <c r="H19" i="37"/>
  <c r="G19" i="37"/>
  <c r="F19" i="37"/>
  <c r="E19" i="37"/>
  <c r="G18" i="37"/>
  <c r="F18" i="37"/>
  <c r="E18" i="37"/>
  <c r="H18" i="37" s="1"/>
  <c r="H17" i="37"/>
  <c r="G17" i="37"/>
  <c r="F17" i="37"/>
  <c r="E17" i="37"/>
  <c r="G16" i="37"/>
  <c r="F16" i="37"/>
  <c r="E16" i="37"/>
  <c r="H16" i="37" s="1"/>
  <c r="H15" i="37"/>
  <c r="G15" i="37"/>
  <c r="F15" i="37"/>
  <c r="E15" i="37"/>
  <c r="G14" i="37"/>
  <c r="F14" i="37"/>
  <c r="E14" i="37"/>
  <c r="H14" i="37" s="1"/>
  <c r="H13" i="37"/>
  <c r="G13" i="37"/>
  <c r="F13" i="37"/>
  <c r="E13" i="37"/>
  <c r="G12" i="37"/>
  <c r="F12" i="37"/>
  <c r="E12" i="37"/>
  <c r="H12" i="37" s="1"/>
  <c r="H11" i="37"/>
  <c r="G11" i="37"/>
  <c r="F11" i="37"/>
  <c r="E11" i="37"/>
  <c r="G10" i="37"/>
  <c r="F10" i="37"/>
  <c r="E10" i="37"/>
  <c r="H10" i="37" s="1"/>
  <c r="H9" i="37"/>
  <c r="G9" i="37"/>
  <c r="F9" i="37"/>
  <c r="E9" i="37"/>
  <c r="G8" i="37"/>
  <c r="F8" i="37"/>
  <c r="E8" i="37"/>
  <c r="H8" i="37" s="1"/>
  <c r="H7" i="37"/>
  <c r="G7" i="37"/>
  <c r="F7" i="37"/>
  <c r="E7" i="37"/>
  <c r="G6" i="37"/>
  <c r="F6" i="37"/>
  <c r="E6" i="37"/>
  <c r="H6" i="37" s="1"/>
  <c r="H5" i="37"/>
  <c r="G5" i="37"/>
  <c r="F5" i="37"/>
  <c r="E5" i="37"/>
  <c r="G4" i="37"/>
  <c r="F4" i="37"/>
  <c r="E4" i="37"/>
  <c r="H4" i="37" s="1"/>
  <c r="H3" i="37"/>
  <c r="G3" i="37"/>
  <c r="F3" i="37"/>
  <c r="E3" i="37"/>
  <c r="E29" i="11" l="1"/>
  <c r="I20" i="38"/>
  <c r="I25" i="38"/>
  <c r="I5" i="38"/>
  <c r="I3" i="38"/>
  <c r="I13" i="38"/>
  <c r="I16" i="38"/>
  <c r="I17" i="38"/>
  <c r="I8" i="38"/>
  <c r="I24" i="38"/>
  <c r="I27" i="38"/>
  <c r="I32" i="38"/>
  <c r="I35" i="38"/>
  <c r="I6" i="38"/>
  <c r="I4" i="38"/>
  <c r="I30" i="38"/>
  <c r="I33" i="38"/>
  <c r="I18" i="38"/>
  <c r="I31" i="38"/>
  <c r="I36" i="38"/>
  <c r="I14" i="38"/>
  <c r="I37" i="38"/>
  <c r="I12" i="38"/>
  <c r="I26" i="38"/>
  <c r="I29" i="38"/>
  <c r="I34" i="38"/>
  <c r="B19" i="13" l="1"/>
  <c r="B20" i="13"/>
  <c r="B21" i="13"/>
  <c r="B18" i="13"/>
  <c r="R6" i="11" l="1"/>
  <c r="S6" i="11"/>
  <c r="AC6" i="11"/>
  <c r="AO6" i="11" l="1"/>
  <c r="AJ6" i="11"/>
  <c r="AK6" i="11" s="1"/>
  <c r="AL6" i="11" s="1"/>
  <c r="V6" i="11"/>
  <c r="AB6" i="11"/>
  <c r="X6" i="11"/>
  <c r="AP6" i="11" l="1"/>
  <c r="AQ6" i="11" s="1"/>
  <c r="E6" i="13"/>
  <c r="B2" i="14"/>
  <c r="C2" i="14"/>
  <c r="D2" i="14"/>
  <c r="E2" i="14"/>
  <c r="F2" i="14"/>
  <c r="G2" i="14"/>
  <c r="H2" i="14"/>
  <c r="I2" i="14"/>
  <c r="J2" i="14"/>
  <c r="K2" i="14"/>
  <c r="L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U6" i="12" l="1"/>
  <c r="Q6" i="12" s="1"/>
  <c r="P6" i="12"/>
  <c r="P4" i="12"/>
  <c r="Q4" i="12"/>
  <c r="AM4" i="12" s="1"/>
  <c r="P3" i="12"/>
  <c r="Q3" i="12"/>
  <c r="U5" i="12"/>
  <c r="AA5" i="12" s="1"/>
  <c r="P5" i="12"/>
  <c r="AM3" i="12" l="1"/>
  <c r="AN3" i="12" s="1"/>
  <c r="AN4" i="12"/>
  <c r="AO4" i="12" s="1"/>
  <c r="AM6" i="12"/>
  <c r="AN6" i="12" s="1"/>
  <c r="AO6" i="12" s="1"/>
  <c r="AH6" i="12"/>
  <c r="AI6" i="12" s="1"/>
  <c r="AJ6" i="12" s="1"/>
  <c r="AJ20" i="12" s="1"/>
  <c r="V4" i="12"/>
  <c r="AA6" i="12"/>
  <c r="F6" i="13"/>
  <c r="Z6" i="12"/>
  <c r="Z3" i="12"/>
  <c r="V6" i="12"/>
  <c r="Q5" i="12"/>
  <c r="AM5" i="12" s="1"/>
  <c r="AN5" i="12" s="1"/>
  <c r="AO5" i="12" s="1"/>
  <c r="U4" i="12"/>
  <c r="AA4" i="12" s="1"/>
  <c r="Z4" i="12"/>
  <c r="U3" i="12"/>
  <c r="V3" i="12"/>
  <c r="AO3" i="12" l="1"/>
  <c r="AO20" i="12" s="1"/>
  <c r="U11" i="12"/>
  <c r="Q11" i="12"/>
  <c r="AA3" i="12"/>
  <c r="Z5" i="12"/>
  <c r="V5" i="12"/>
  <c r="V11" i="12" s="1"/>
  <c r="Z11" i="12" l="1"/>
  <c r="I6" i="13"/>
  <c r="C6" i="13"/>
  <c r="D6" i="13"/>
  <c r="AA11" i="12"/>
  <c r="R11" i="12"/>
  <c r="AB11" i="12"/>
  <c r="H6" i="13" s="1"/>
  <c r="G6" i="13"/>
  <c r="K4" i="6"/>
  <c r="K5" i="6"/>
  <c r="K6" i="6"/>
  <c r="K7" i="6"/>
  <c r="K8" i="6"/>
  <c r="K9" i="6"/>
  <c r="K10" i="6"/>
  <c r="K11" i="6"/>
  <c r="K12" i="6"/>
  <c r="K3" i="6"/>
  <c r="L11" i="6"/>
  <c r="L10" i="6"/>
  <c r="L8" i="6"/>
  <c r="L7" i="6"/>
  <c r="L6" i="6"/>
  <c r="L5" i="6"/>
  <c r="L4" i="6"/>
  <c r="L3" i="6"/>
  <c r="M4" i="6"/>
  <c r="M5" i="6"/>
  <c r="M6" i="6"/>
  <c r="M7" i="6"/>
  <c r="M8" i="6"/>
  <c r="M3" i="6"/>
  <c r="AB154" i="1"/>
  <c r="AB153" i="1"/>
  <c r="AB152" i="1"/>
  <c r="AB151" i="1"/>
  <c r="AB150" i="1"/>
  <c r="AB146" i="1"/>
  <c r="AB144" i="1"/>
  <c r="AB143" i="1"/>
  <c r="AB142" i="1"/>
  <c r="AB140" i="1"/>
  <c r="AB139" i="1"/>
  <c r="AB138" i="1"/>
  <c r="AB137" i="1"/>
  <c r="O152" i="1"/>
  <c r="O151" i="1"/>
  <c r="O150" i="1"/>
  <c r="O146" i="1"/>
  <c r="O144" i="1"/>
  <c r="O143" i="1"/>
  <c r="O142" i="1"/>
  <c r="O141" i="1"/>
  <c r="O139" i="1"/>
  <c r="O138" i="1"/>
  <c r="O137" i="1"/>
  <c r="O136" i="1"/>
  <c r="AB134" i="1"/>
  <c r="AB133" i="1"/>
  <c r="AB132" i="1"/>
  <c r="AB131" i="1"/>
  <c r="AB127" i="1"/>
  <c r="AB125" i="1"/>
  <c r="AB124" i="1"/>
  <c r="AB123" i="1"/>
  <c r="AB121" i="1"/>
  <c r="AB120" i="1"/>
  <c r="AB119" i="1"/>
  <c r="AB118" i="1"/>
  <c r="O133" i="1"/>
  <c r="O132" i="1"/>
  <c r="O131" i="1"/>
  <c r="O127" i="1"/>
  <c r="O125" i="1"/>
  <c r="O124" i="1"/>
  <c r="O123" i="1"/>
  <c r="O122" i="1"/>
  <c r="O120" i="1"/>
  <c r="O119" i="1"/>
  <c r="O118" i="1"/>
  <c r="O117" i="1"/>
  <c r="AB115" i="1"/>
  <c r="AB114" i="1"/>
  <c r="AB113" i="1"/>
  <c r="AB112" i="1"/>
  <c r="AB111" i="1"/>
  <c r="AB107" i="1"/>
  <c r="AB105" i="1"/>
  <c r="AB104" i="1"/>
  <c r="AB103" i="1"/>
  <c r="AB102" i="1"/>
  <c r="AB101" i="1"/>
  <c r="AB100" i="1"/>
  <c r="AB99" i="1"/>
  <c r="AB98" i="1"/>
  <c r="AB97" i="1"/>
  <c r="O113" i="1"/>
  <c r="O112" i="1"/>
  <c r="O111" i="1"/>
  <c r="O107" i="1"/>
  <c r="O105" i="1"/>
  <c r="O104" i="1"/>
  <c r="O103" i="1"/>
  <c r="O102" i="1"/>
  <c r="O100" i="1"/>
  <c r="O99" i="1"/>
  <c r="O98" i="1"/>
  <c r="O97" i="1"/>
  <c r="AB96" i="1"/>
  <c r="AB95" i="1"/>
  <c r="AB94" i="1"/>
  <c r="AB93" i="1"/>
  <c r="AB92" i="1"/>
  <c r="AB88" i="1"/>
  <c r="AB86" i="1"/>
  <c r="AB85" i="1"/>
  <c r="AB84" i="1"/>
  <c r="AB83" i="1"/>
  <c r="AB82" i="1"/>
  <c r="AB81" i="1"/>
  <c r="AB80" i="1"/>
  <c r="AB79" i="1"/>
  <c r="AB78" i="1"/>
  <c r="O94" i="1"/>
  <c r="O93" i="1"/>
  <c r="O92" i="1"/>
  <c r="O88" i="1"/>
  <c r="O86" i="1"/>
  <c r="O85" i="1"/>
  <c r="O84" i="1"/>
  <c r="O83" i="1"/>
  <c r="O81" i="1"/>
  <c r="O80" i="1"/>
  <c r="O79" i="1"/>
  <c r="O78" i="1"/>
  <c r="AB77" i="1"/>
  <c r="AB76" i="1"/>
  <c r="AB75" i="1"/>
  <c r="AB74" i="1"/>
  <c r="AB73" i="1"/>
  <c r="AB67" i="1"/>
  <c r="AB66" i="1"/>
  <c r="AB65" i="1"/>
  <c r="AB64" i="1"/>
  <c r="AB63" i="1"/>
  <c r="AB62" i="1"/>
  <c r="AB61" i="1"/>
  <c r="AB60" i="1"/>
  <c r="AB59" i="1"/>
  <c r="O75" i="1"/>
  <c r="O74" i="1"/>
  <c r="O73" i="1"/>
  <c r="O69" i="1"/>
  <c r="O67" i="1"/>
  <c r="O66" i="1"/>
  <c r="O65" i="1"/>
  <c r="O64" i="1"/>
  <c r="O62" i="1"/>
  <c r="O61" i="1"/>
  <c r="O60" i="1"/>
  <c r="O59" i="1"/>
  <c r="AB58" i="1"/>
  <c r="AB57" i="1"/>
  <c r="AB56" i="1"/>
  <c r="AB55" i="1"/>
  <c r="AB54" i="1"/>
  <c r="AB50" i="1"/>
  <c r="AB48" i="1"/>
  <c r="AB47" i="1"/>
  <c r="AB46" i="1"/>
  <c r="AB45" i="1"/>
  <c r="AB44" i="1"/>
  <c r="AB43" i="1"/>
  <c r="AB42" i="1"/>
  <c r="AB41" i="1"/>
  <c r="AB40" i="1"/>
  <c r="O56" i="1"/>
  <c r="O55" i="1"/>
  <c r="O54" i="1"/>
  <c r="O50" i="1"/>
  <c r="O48" i="1"/>
  <c r="O47" i="1"/>
  <c r="O46" i="1"/>
  <c r="O45" i="1"/>
  <c r="O43" i="1"/>
  <c r="O42" i="1"/>
  <c r="O41" i="1"/>
  <c r="O40" i="1"/>
  <c r="AB39" i="1"/>
  <c r="AB38" i="1"/>
  <c r="AB37" i="1"/>
  <c r="AB36" i="1"/>
  <c r="AB35" i="1"/>
  <c r="AB31" i="1"/>
  <c r="AB29" i="1"/>
  <c r="AB28" i="1"/>
  <c r="AB27" i="1"/>
  <c r="AB26" i="1"/>
  <c r="AB25" i="1"/>
  <c r="AB24" i="1"/>
  <c r="AB23" i="1"/>
  <c r="AB22" i="1"/>
  <c r="AB21" i="1"/>
  <c r="O37" i="1"/>
  <c r="O36" i="1"/>
  <c r="O35" i="1"/>
  <c r="O31" i="1"/>
  <c r="O29" i="1"/>
  <c r="O28" i="1"/>
  <c r="O27" i="1"/>
  <c r="O26" i="1"/>
  <c r="O24" i="1"/>
  <c r="O23" i="1"/>
  <c r="O22" i="1"/>
  <c r="O21" i="1"/>
  <c r="AB20" i="1"/>
  <c r="AB19" i="1"/>
  <c r="AB6" i="1"/>
  <c r="I11" i="6"/>
  <c r="I10" i="6"/>
  <c r="I4" i="6"/>
  <c r="I5" i="6"/>
  <c r="I6" i="6"/>
  <c r="I7" i="6"/>
  <c r="I8" i="6"/>
  <c r="I3" i="6"/>
  <c r="O4" i="1"/>
  <c r="O3" i="1"/>
  <c r="O2" i="1"/>
  <c r="L9" i="14" l="1"/>
  <c r="L20" i="14"/>
  <c r="L23" i="14"/>
  <c r="L26" i="14"/>
  <c r="L13" i="14"/>
  <c r="L18" i="14"/>
  <c r="L27" i="14"/>
  <c r="L22" i="14"/>
  <c r="L25" i="14"/>
  <c r="L7" i="14"/>
  <c r="L17" i="14"/>
  <c r="L12" i="14"/>
  <c r="L15" i="14"/>
  <c r="L14" i="14"/>
  <c r="L3" i="14"/>
  <c r="L8" i="14"/>
  <c r="L16" i="14"/>
  <c r="L10" i="14"/>
  <c r="L11" i="14"/>
  <c r="L19" i="14"/>
  <c r="W11" i="12"/>
  <c r="AA5" i="13" l="1"/>
  <c r="AA4" i="13"/>
  <c r="X140" i="1"/>
  <c r="X63" i="1"/>
  <c r="X101" i="1"/>
  <c r="X82" i="1"/>
  <c r="X57" i="1"/>
  <c r="X38" i="1"/>
  <c r="X121" i="1"/>
  <c r="X95" i="1"/>
  <c r="X76" i="1"/>
  <c r="X25" i="1"/>
  <c r="X44" i="1"/>
  <c r="X134" i="1"/>
  <c r="X114" i="1"/>
  <c r="X153" i="1"/>
  <c r="P144" i="1"/>
  <c r="P152" i="1"/>
  <c r="P143" i="1"/>
  <c r="P151" i="1"/>
  <c r="P146" i="1"/>
  <c r="AL146" i="1" s="1"/>
  <c r="AM146" i="1" s="1"/>
  <c r="AN146" i="1" s="1"/>
  <c r="P150" i="1"/>
  <c r="AL150" i="1" s="1"/>
  <c r="AM150" i="1" s="1"/>
  <c r="AN150" i="1" s="1"/>
  <c r="P132" i="1"/>
  <c r="P94" i="1"/>
  <c r="P86" i="1"/>
  <c r="S99" i="1"/>
  <c r="P99" i="1" s="1"/>
  <c r="P122" i="1"/>
  <c r="S98" i="1"/>
  <c r="P98" i="1" s="1"/>
  <c r="P105" i="1"/>
  <c r="P46" i="1"/>
  <c r="P56" i="1"/>
  <c r="S97" i="1"/>
  <c r="P112" i="1"/>
  <c r="P124" i="1"/>
  <c r="P125" i="1"/>
  <c r="P84" i="1"/>
  <c r="P111" i="1"/>
  <c r="AL111" i="1" s="1"/>
  <c r="AM111" i="1" s="1"/>
  <c r="AN111" i="1" s="1"/>
  <c r="P123" i="1"/>
  <c r="P88" i="1"/>
  <c r="AL88" i="1" s="1"/>
  <c r="AM88" i="1" s="1"/>
  <c r="AN88" i="1" s="1"/>
  <c r="P102" i="1"/>
  <c r="P133" i="1"/>
  <c r="P93" i="1"/>
  <c r="P85" i="1"/>
  <c r="P104" i="1"/>
  <c r="P127" i="1"/>
  <c r="AL127" i="1" s="1"/>
  <c r="P64" i="1"/>
  <c r="P81" i="1"/>
  <c r="S42" i="1"/>
  <c r="P42" i="1" s="1"/>
  <c r="S40" i="1"/>
  <c r="P40" i="1" s="1"/>
  <c r="P69" i="1"/>
  <c r="AL69" i="1" s="1"/>
  <c r="AM69" i="1" s="1"/>
  <c r="AN69" i="1" s="1"/>
  <c r="P67" i="1"/>
  <c r="S80" i="1"/>
  <c r="P80" i="1" s="1"/>
  <c r="P73" i="1"/>
  <c r="AL73" i="1" s="1"/>
  <c r="AM73" i="1" s="1"/>
  <c r="AN73" i="1" s="1"/>
  <c r="P48" i="1"/>
  <c r="AL48" i="1" s="1"/>
  <c r="P43" i="1"/>
  <c r="P66" i="1"/>
  <c r="P74" i="1"/>
  <c r="S79" i="1"/>
  <c r="P79" i="1" s="1"/>
  <c r="S78" i="1"/>
  <c r="S41" i="1"/>
  <c r="P41" i="1" s="1"/>
  <c r="P75" i="1"/>
  <c r="P83" i="1"/>
  <c r="P113" i="1"/>
  <c r="P54" i="1"/>
  <c r="AL54" i="1" s="1"/>
  <c r="P55" i="1"/>
  <c r="P50" i="1"/>
  <c r="AL50" i="1" s="1"/>
  <c r="P47" i="1"/>
  <c r="P45" i="1"/>
  <c r="P62" i="1"/>
  <c r="S61" i="1"/>
  <c r="P61" i="1" s="1"/>
  <c r="S60" i="1"/>
  <c r="P60" i="1" s="1"/>
  <c r="P120" i="1"/>
  <c r="AL120" i="1" s="1"/>
  <c r="AM120" i="1" s="1"/>
  <c r="AN120" i="1" s="1"/>
  <c r="S117" i="1"/>
  <c r="S119" i="1"/>
  <c r="P119" i="1" s="1"/>
  <c r="P131" i="1"/>
  <c r="AL131" i="1" s="1"/>
  <c r="AM131" i="1" s="1"/>
  <c r="AN131" i="1" s="1"/>
  <c r="P107" i="1"/>
  <c r="AL107" i="1" s="1"/>
  <c r="AM107" i="1" s="1"/>
  <c r="AN107" i="1" s="1"/>
  <c r="P100" i="1"/>
  <c r="P92" i="1"/>
  <c r="AL92" i="1" s="1"/>
  <c r="P65" i="1"/>
  <c r="S59" i="1"/>
  <c r="T125" i="1" l="1"/>
  <c r="Z125" i="1" s="1"/>
  <c r="AL125" i="1"/>
  <c r="AM48" i="1"/>
  <c r="AN48" i="1" s="1"/>
  <c r="T100" i="1"/>
  <c r="Z100" i="1" s="1"/>
  <c r="AL100" i="1"/>
  <c r="AM100" i="1" s="1"/>
  <c r="AN100" i="1" s="1"/>
  <c r="T105" i="1"/>
  <c r="Z105" i="1" s="1"/>
  <c r="AL105" i="1"/>
  <c r="AM105" i="1" s="1"/>
  <c r="AN105" i="1" s="1"/>
  <c r="T86" i="1"/>
  <c r="Z86" i="1" s="1"/>
  <c r="AL86" i="1"/>
  <c r="T144" i="1"/>
  <c r="Z144" i="1" s="1"/>
  <c r="AL144" i="1"/>
  <c r="AM144" i="1" s="1"/>
  <c r="AN144" i="1" s="1"/>
  <c r="AM127" i="1"/>
  <c r="AN127" i="1" s="1"/>
  <c r="AM92" i="1"/>
  <c r="AN92" i="1" s="1"/>
  <c r="T67" i="1"/>
  <c r="Z67" i="1" s="1"/>
  <c r="AL67" i="1"/>
  <c r="AM67" i="1" s="1"/>
  <c r="AN67" i="1" s="1"/>
  <c r="AM50" i="1"/>
  <c r="AN50" i="1" s="1"/>
  <c r="AM54" i="1"/>
  <c r="AN54" i="1" s="1"/>
  <c r="T62" i="1"/>
  <c r="Z62" i="1" s="1"/>
  <c r="AL62" i="1"/>
  <c r="AM62" i="1" s="1"/>
  <c r="AN62" i="1" s="1"/>
  <c r="T43" i="1"/>
  <c r="Z43" i="1" s="1"/>
  <c r="AL43" i="1"/>
  <c r="AM43" i="1" s="1"/>
  <c r="AN43" i="1" s="1"/>
  <c r="T81" i="1"/>
  <c r="Z81" i="1" s="1"/>
  <c r="AL81" i="1"/>
  <c r="AM81" i="1" s="1"/>
  <c r="AN81" i="1" s="1"/>
  <c r="AL64" i="1"/>
  <c r="AM64" i="1" s="1"/>
  <c r="AN64" i="1" s="1"/>
  <c r="AG64" i="1"/>
  <c r="AH64" i="1" s="1"/>
  <c r="AI64" i="1" s="1"/>
  <c r="AL61" i="1"/>
  <c r="AM61" i="1" s="1"/>
  <c r="AN61" i="1" s="1"/>
  <c r="AG61" i="1"/>
  <c r="AH61" i="1" s="1"/>
  <c r="AI61" i="1" s="1"/>
  <c r="AG80" i="1"/>
  <c r="AH80" i="1" s="1"/>
  <c r="AI80" i="1" s="1"/>
  <c r="AL80" i="1"/>
  <c r="AG104" i="1"/>
  <c r="AH104" i="1" s="1"/>
  <c r="AI104" i="1" s="1"/>
  <c r="AL104" i="1"/>
  <c r="AL84" i="1"/>
  <c r="AG84" i="1"/>
  <c r="AG98" i="1"/>
  <c r="AH98" i="1" s="1"/>
  <c r="AI98" i="1" s="1"/>
  <c r="AL98" i="1"/>
  <c r="AG151" i="1"/>
  <c r="AL151" i="1"/>
  <c r="AM151" i="1" s="1"/>
  <c r="AN151" i="1" s="1"/>
  <c r="AL85" i="1"/>
  <c r="AG85" i="1"/>
  <c r="AL122" i="1"/>
  <c r="AM122" i="1" s="1"/>
  <c r="AN122" i="1" s="1"/>
  <c r="AG122" i="1"/>
  <c r="AH122" i="1" s="1"/>
  <c r="AI122" i="1" s="1"/>
  <c r="AG143" i="1"/>
  <c r="AH143" i="1" s="1"/>
  <c r="AI143" i="1" s="1"/>
  <c r="AL143" i="1"/>
  <c r="AG123" i="1"/>
  <c r="AL123" i="1"/>
  <c r="AM123" i="1" s="1"/>
  <c r="AN123" i="1" s="1"/>
  <c r="AG60" i="1"/>
  <c r="AL60" i="1"/>
  <c r="AL41" i="1"/>
  <c r="AG41" i="1"/>
  <c r="AH41" i="1" s="1"/>
  <c r="AI41" i="1" s="1"/>
  <c r="AG45" i="1"/>
  <c r="AH45" i="1" s="1"/>
  <c r="AI45" i="1" s="1"/>
  <c r="AL45" i="1"/>
  <c r="AM45" i="1" s="1"/>
  <c r="AN45" i="1" s="1"/>
  <c r="AL79" i="1"/>
  <c r="AG79" i="1"/>
  <c r="AG93" i="1"/>
  <c r="AH93" i="1" s="1"/>
  <c r="AI93" i="1" s="1"/>
  <c r="AL93" i="1"/>
  <c r="AM93" i="1" s="1"/>
  <c r="AN93" i="1" s="1"/>
  <c r="AL124" i="1"/>
  <c r="AG124" i="1"/>
  <c r="AH124" i="1" s="1"/>
  <c r="AI124" i="1" s="1"/>
  <c r="AL99" i="1"/>
  <c r="AG99" i="1"/>
  <c r="AH99" i="1" s="1"/>
  <c r="AI99" i="1" s="1"/>
  <c r="AG152" i="1"/>
  <c r="AH152" i="1" s="1"/>
  <c r="AI152" i="1" s="1"/>
  <c r="AL152" i="1"/>
  <c r="AG83" i="1"/>
  <c r="AH83" i="1" s="1"/>
  <c r="AI83" i="1" s="1"/>
  <c r="AL83" i="1"/>
  <c r="AM83" i="1" s="1"/>
  <c r="AN83" i="1" s="1"/>
  <c r="AG46" i="1"/>
  <c r="AH46" i="1" s="1"/>
  <c r="AI46" i="1" s="1"/>
  <c r="AL46" i="1"/>
  <c r="AM46" i="1" s="1"/>
  <c r="AN46" i="1" s="1"/>
  <c r="AL65" i="1"/>
  <c r="AG65" i="1"/>
  <c r="AL75" i="1"/>
  <c r="AM75" i="1" s="1"/>
  <c r="AN75" i="1" s="1"/>
  <c r="AG75" i="1"/>
  <c r="AH75" i="1" s="1"/>
  <c r="AI75" i="1" s="1"/>
  <c r="AL47" i="1"/>
  <c r="AG47" i="1"/>
  <c r="AL74" i="1"/>
  <c r="AG74" i="1"/>
  <c r="AG40" i="1"/>
  <c r="AH40" i="1" s="1"/>
  <c r="AI40" i="1" s="1"/>
  <c r="AL40" i="1"/>
  <c r="AM40" i="1" s="1"/>
  <c r="AN40" i="1" s="1"/>
  <c r="AL133" i="1"/>
  <c r="AM133" i="1" s="1"/>
  <c r="AN133" i="1" s="1"/>
  <c r="AG133" i="1"/>
  <c r="AL112" i="1"/>
  <c r="AM112" i="1" s="1"/>
  <c r="AN112" i="1" s="1"/>
  <c r="AG112" i="1"/>
  <c r="AH112" i="1" s="1"/>
  <c r="AI112" i="1" s="1"/>
  <c r="AG119" i="1"/>
  <c r="AH119" i="1" s="1"/>
  <c r="AI119" i="1" s="1"/>
  <c r="AL119" i="1"/>
  <c r="AL42" i="1"/>
  <c r="AG42" i="1"/>
  <c r="AH42" i="1" s="1"/>
  <c r="AI42" i="1" s="1"/>
  <c r="AG94" i="1"/>
  <c r="AH94" i="1" s="1"/>
  <c r="AI94" i="1" s="1"/>
  <c r="AL94" i="1"/>
  <c r="AM94" i="1" s="1"/>
  <c r="AN94" i="1" s="1"/>
  <c r="AG66" i="1"/>
  <c r="AL66" i="1"/>
  <c r="AL102" i="1"/>
  <c r="AM102" i="1" s="1"/>
  <c r="AN102" i="1" s="1"/>
  <c r="AG102" i="1"/>
  <c r="AH102" i="1" s="1"/>
  <c r="AI102" i="1" s="1"/>
  <c r="AG55" i="1"/>
  <c r="AH55" i="1" s="1"/>
  <c r="AI55" i="1" s="1"/>
  <c r="AL55" i="1"/>
  <c r="AM55" i="1" s="1"/>
  <c r="AN55" i="1" s="1"/>
  <c r="AL113" i="1"/>
  <c r="AM113" i="1" s="1"/>
  <c r="AN113" i="1" s="1"/>
  <c r="AG113" i="1"/>
  <c r="AL56" i="1"/>
  <c r="AG56" i="1"/>
  <c r="AH56" i="1" s="1"/>
  <c r="AI56" i="1" s="1"/>
  <c r="AG132" i="1"/>
  <c r="AH132" i="1" s="1"/>
  <c r="AI132" i="1" s="1"/>
  <c r="AL132" i="1"/>
  <c r="AM132" i="1" s="1"/>
  <c r="AN132" i="1" s="1"/>
  <c r="T48" i="1"/>
  <c r="Z48" i="1" s="1"/>
  <c r="T120" i="1"/>
  <c r="Z120" i="1" s="1"/>
  <c r="P141" i="1"/>
  <c r="Y86" i="1"/>
  <c r="Y150" i="1"/>
  <c r="Y125" i="1"/>
  <c r="Y43" i="1"/>
  <c r="Y127" i="1"/>
  <c r="Y54" i="1"/>
  <c r="Y100" i="1"/>
  <c r="S152" i="1"/>
  <c r="Y62" i="1"/>
  <c r="Y92" i="1"/>
  <c r="Y146" i="1"/>
  <c r="Y50" i="1"/>
  <c r="T42" i="1"/>
  <c r="Z42" i="1" s="1"/>
  <c r="Y88" i="1"/>
  <c r="Y107" i="1"/>
  <c r="Y131" i="1"/>
  <c r="Y67" i="1"/>
  <c r="Y111" i="1"/>
  <c r="Y105" i="1"/>
  <c r="T79" i="1"/>
  <c r="Z79" i="1" s="1"/>
  <c r="Y152" i="1"/>
  <c r="U152" i="1"/>
  <c r="S144" i="1"/>
  <c r="Y144" i="1"/>
  <c r="P142" i="1"/>
  <c r="T152" i="1"/>
  <c r="Z152" i="1" s="1"/>
  <c r="U144" i="1"/>
  <c r="AA144" i="1" s="1"/>
  <c r="S81" i="1"/>
  <c r="Y42" i="1"/>
  <c r="U81" i="1"/>
  <c r="AA81" i="1" s="1"/>
  <c r="Y81" i="1"/>
  <c r="S64" i="1"/>
  <c r="U64" i="1"/>
  <c r="T64" i="1"/>
  <c r="Z64" i="1" s="1"/>
  <c r="P103" i="1"/>
  <c r="Y64" i="1"/>
  <c r="Y94" i="1"/>
  <c r="Y123" i="1"/>
  <c r="Y47" i="1"/>
  <c r="Y99" i="1"/>
  <c r="U42" i="1"/>
  <c r="Y55" i="1"/>
  <c r="Y46" i="1"/>
  <c r="Y122" i="1"/>
  <c r="U61" i="1"/>
  <c r="U79" i="1"/>
  <c r="Y75" i="1"/>
  <c r="Y66" i="1"/>
  <c r="Y80" i="1"/>
  <c r="Y84" i="1"/>
  <c r="Y56" i="1"/>
  <c r="Y104" i="1"/>
  <c r="S74" i="1"/>
  <c r="Y143" i="1"/>
  <c r="Y41" i="1"/>
  <c r="Y102" i="1"/>
  <c r="Y119" i="1"/>
  <c r="Y45" i="1"/>
  <c r="Y74" i="1"/>
  <c r="T61" i="1"/>
  <c r="Z61" i="1" s="1"/>
  <c r="U74" i="1"/>
  <c r="Y79" i="1"/>
  <c r="Y61" i="1"/>
  <c r="T74" i="1"/>
  <c r="Z74" i="1" s="1"/>
  <c r="S136" i="1"/>
  <c r="S143" i="1"/>
  <c r="U143" i="1"/>
  <c r="T143" i="1"/>
  <c r="Z143" i="1" s="1"/>
  <c r="U151" i="1"/>
  <c r="T151" i="1"/>
  <c r="Z151" i="1" s="1"/>
  <c r="S151" i="1"/>
  <c r="S137" i="1"/>
  <c r="P137" i="1" s="1"/>
  <c r="Y151" i="1"/>
  <c r="P139" i="1"/>
  <c r="U150" i="1"/>
  <c r="AA150" i="1" s="1"/>
  <c r="T150" i="1"/>
  <c r="Z150" i="1" s="1"/>
  <c r="S150" i="1"/>
  <c r="S138" i="1"/>
  <c r="P138" i="1" s="1"/>
  <c r="S146" i="1"/>
  <c r="U146" i="1"/>
  <c r="AA146" i="1" s="1"/>
  <c r="T146" i="1"/>
  <c r="Z146" i="1" s="1"/>
  <c r="S118" i="1"/>
  <c r="P118" i="1" s="1"/>
  <c r="U133" i="1"/>
  <c r="T133" i="1"/>
  <c r="Z133" i="1" s="1"/>
  <c r="S133" i="1"/>
  <c r="T132" i="1"/>
  <c r="Z132" i="1" s="1"/>
  <c r="S132" i="1"/>
  <c r="U132" i="1"/>
  <c r="Y132" i="1"/>
  <c r="T124" i="1"/>
  <c r="Z124" i="1" s="1"/>
  <c r="U124" i="1"/>
  <c r="S124" i="1"/>
  <c r="U123" i="1"/>
  <c r="T123" i="1"/>
  <c r="Z123" i="1" s="1"/>
  <c r="S123" i="1"/>
  <c r="U120" i="1"/>
  <c r="AA120" i="1" s="1"/>
  <c r="S120" i="1"/>
  <c r="Y120" i="1"/>
  <c r="U119" i="1"/>
  <c r="T119" i="1"/>
  <c r="Z119" i="1" s="1"/>
  <c r="Y124" i="1"/>
  <c r="T131" i="1"/>
  <c r="Z131" i="1" s="1"/>
  <c r="S131" i="1"/>
  <c r="U131" i="1"/>
  <c r="AA131" i="1" s="1"/>
  <c r="T122" i="1"/>
  <c r="S122" i="1"/>
  <c r="U122" i="1"/>
  <c r="P117" i="1"/>
  <c r="S125" i="1"/>
  <c r="U125" i="1"/>
  <c r="AA125" i="1" s="1"/>
  <c r="T127" i="1"/>
  <c r="Z127" i="1" s="1"/>
  <c r="S127" i="1"/>
  <c r="U127" i="1"/>
  <c r="AA127" i="1" s="1"/>
  <c r="Y133" i="1"/>
  <c r="P97" i="1"/>
  <c r="T112" i="1"/>
  <c r="Z112" i="1" s="1"/>
  <c r="S112" i="1"/>
  <c r="U112" i="1"/>
  <c r="U113" i="1"/>
  <c r="T113" i="1"/>
  <c r="Z113" i="1" s="1"/>
  <c r="S113" i="1"/>
  <c r="U100" i="1"/>
  <c r="AA100" i="1" s="1"/>
  <c r="S100" i="1"/>
  <c r="U105" i="1"/>
  <c r="AA105" i="1" s="1"/>
  <c r="S105" i="1"/>
  <c r="U98" i="1"/>
  <c r="T98" i="1"/>
  <c r="Z98" i="1" s="1"/>
  <c r="Y98" i="1"/>
  <c r="T104" i="1"/>
  <c r="Z104" i="1" s="1"/>
  <c r="U104" i="1"/>
  <c r="S104" i="1"/>
  <c r="U107" i="1"/>
  <c r="AA107" i="1" s="1"/>
  <c r="T107" i="1"/>
  <c r="Z107" i="1" s="1"/>
  <c r="S107" i="1"/>
  <c r="T102" i="1"/>
  <c r="S102" i="1"/>
  <c r="U102" i="1"/>
  <c r="S111" i="1"/>
  <c r="U111" i="1"/>
  <c r="AA111" i="1" s="1"/>
  <c r="T111" i="1"/>
  <c r="Z111" i="1" s="1"/>
  <c r="U99" i="1"/>
  <c r="T99" i="1"/>
  <c r="Z99" i="1" s="1"/>
  <c r="Y112" i="1"/>
  <c r="Y113" i="1"/>
  <c r="U85" i="1"/>
  <c r="T85" i="1"/>
  <c r="Z85" i="1" s="1"/>
  <c r="S85" i="1"/>
  <c r="U93" i="1"/>
  <c r="T93" i="1"/>
  <c r="Z93" i="1" s="1"/>
  <c r="S93" i="1"/>
  <c r="U86" i="1"/>
  <c r="AA86" i="1" s="1"/>
  <c r="S86" i="1"/>
  <c r="T83" i="1"/>
  <c r="S83" i="1"/>
  <c r="U83" i="1"/>
  <c r="U94" i="1"/>
  <c r="T94" i="1"/>
  <c r="Z94" i="1" s="1"/>
  <c r="S94" i="1"/>
  <c r="U84" i="1"/>
  <c r="T84" i="1"/>
  <c r="Z84" i="1" s="1"/>
  <c r="S84" i="1"/>
  <c r="U80" i="1"/>
  <c r="T80" i="1"/>
  <c r="Z80" i="1" s="1"/>
  <c r="P78" i="1"/>
  <c r="T88" i="1"/>
  <c r="Z88" i="1" s="1"/>
  <c r="U88" i="1"/>
  <c r="AA88" i="1" s="1"/>
  <c r="S88" i="1"/>
  <c r="Y93" i="1"/>
  <c r="Y85" i="1"/>
  <c r="Y83" i="1"/>
  <c r="T92" i="1"/>
  <c r="Z92" i="1" s="1"/>
  <c r="S92" i="1"/>
  <c r="U92" i="1"/>
  <c r="AA92" i="1" s="1"/>
  <c r="U73" i="1"/>
  <c r="AA73" i="1" s="1"/>
  <c r="T73" i="1"/>
  <c r="Z73" i="1" s="1"/>
  <c r="S73" i="1"/>
  <c r="T65" i="1"/>
  <c r="Z65" i="1" s="1"/>
  <c r="S65" i="1"/>
  <c r="U65" i="1"/>
  <c r="Y73" i="1"/>
  <c r="U69" i="1"/>
  <c r="AA69" i="1" s="1"/>
  <c r="T69" i="1"/>
  <c r="Z69" i="1" s="1"/>
  <c r="S69" i="1"/>
  <c r="Y69" i="1"/>
  <c r="U75" i="1"/>
  <c r="T75" i="1"/>
  <c r="Z75" i="1" s="1"/>
  <c r="S75" i="1"/>
  <c r="U60" i="1"/>
  <c r="T60" i="1"/>
  <c r="Z60" i="1" s="1"/>
  <c r="P59" i="1"/>
  <c r="S66" i="1"/>
  <c r="U66" i="1"/>
  <c r="T66" i="1"/>
  <c r="Z66" i="1" s="1"/>
  <c r="Y60" i="1"/>
  <c r="U67" i="1"/>
  <c r="AA67" i="1" s="1"/>
  <c r="S67" i="1"/>
  <c r="Y65" i="1"/>
  <c r="U62" i="1"/>
  <c r="AA62" i="1" s="1"/>
  <c r="S62" i="1"/>
  <c r="T54" i="1"/>
  <c r="Z54" i="1" s="1"/>
  <c r="S54" i="1"/>
  <c r="U54" i="1"/>
  <c r="AA54" i="1" s="1"/>
  <c r="U56" i="1"/>
  <c r="S56" i="1"/>
  <c r="T56" i="1"/>
  <c r="Z56" i="1" s="1"/>
  <c r="U48" i="1"/>
  <c r="AA48" i="1" s="1"/>
  <c r="S48" i="1"/>
  <c r="T55" i="1"/>
  <c r="Z55" i="1" s="1"/>
  <c r="S55" i="1"/>
  <c r="U55" i="1"/>
  <c r="T40" i="1"/>
  <c r="U40" i="1"/>
  <c r="Y40" i="1"/>
  <c r="Y48" i="1"/>
  <c r="U50" i="1"/>
  <c r="AA50" i="1" s="1"/>
  <c r="S50" i="1"/>
  <c r="T50" i="1"/>
  <c r="Z50" i="1" s="1"/>
  <c r="U41" i="1"/>
  <c r="T41" i="1"/>
  <c r="Z41" i="1" s="1"/>
  <c r="T45" i="1"/>
  <c r="S45" i="1"/>
  <c r="U45" i="1"/>
  <c r="U46" i="1"/>
  <c r="T46" i="1"/>
  <c r="Z46" i="1" s="1"/>
  <c r="S46" i="1"/>
  <c r="U43" i="1"/>
  <c r="AA43" i="1" s="1"/>
  <c r="S43" i="1"/>
  <c r="T47" i="1"/>
  <c r="Z47" i="1" s="1"/>
  <c r="S47" i="1"/>
  <c r="U47" i="1"/>
  <c r="S23" i="1"/>
  <c r="P23" i="1" s="1"/>
  <c r="S21" i="1"/>
  <c r="S22" i="1"/>
  <c r="P22" i="1" s="1"/>
  <c r="P24" i="1"/>
  <c r="T139" i="1" l="1"/>
  <c r="Z139" i="1" s="1"/>
  <c r="AL139" i="1"/>
  <c r="AM86" i="1"/>
  <c r="AN86" i="1" s="1"/>
  <c r="AM125" i="1"/>
  <c r="AN125" i="1" s="1"/>
  <c r="T24" i="1"/>
  <c r="Z24" i="1" s="1"/>
  <c r="AL24" i="1"/>
  <c r="AM24" i="1" s="1"/>
  <c r="AN24" i="1" s="1"/>
  <c r="AM104" i="1"/>
  <c r="AN104" i="1" s="1"/>
  <c r="AM56" i="1"/>
  <c r="AN56" i="1" s="1"/>
  <c r="AH66" i="1"/>
  <c r="AI66" i="1" s="1"/>
  <c r="AM47" i="1"/>
  <c r="AN47" i="1" s="1"/>
  <c r="AH60" i="1"/>
  <c r="AI60" i="1" s="1"/>
  <c r="AM85" i="1"/>
  <c r="AN85" i="1" s="1"/>
  <c r="AM66" i="1"/>
  <c r="AN66" i="1" s="1"/>
  <c r="AG118" i="1"/>
  <c r="AL118" i="1"/>
  <c r="AM118" i="1" s="1"/>
  <c r="AN118" i="1" s="1"/>
  <c r="AH113" i="1"/>
  <c r="AI113" i="1" s="1"/>
  <c r="AH133" i="1"/>
  <c r="AI133" i="1" s="1"/>
  <c r="AM152" i="1"/>
  <c r="AN152" i="1" s="1"/>
  <c r="AH79" i="1"/>
  <c r="AI79" i="1" s="1"/>
  <c r="AM80" i="1"/>
  <c r="AN80" i="1" s="1"/>
  <c r="AG59" i="1"/>
  <c r="AH59" i="1" s="1"/>
  <c r="AI59" i="1" s="1"/>
  <c r="AL59" i="1"/>
  <c r="AM59" i="1" s="1"/>
  <c r="AN59" i="1" s="1"/>
  <c r="AG141" i="1"/>
  <c r="AH141" i="1" s="1"/>
  <c r="AI141" i="1" s="1"/>
  <c r="AL141" i="1"/>
  <c r="AM141" i="1" s="1"/>
  <c r="AN141" i="1" s="1"/>
  <c r="AM79" i="1"/>
  <c r="AN79" i="1" s="1"/>
  <c r="AH123" i="1"/>
  <c r="AI123" i="1" s="1"/>
  <c r="AH151" i="1"/>
  <c r="AI151" i="1" s="1"/>
  <c r="AL97" i="1"/>
  <c r="AM97" i="1" s="1"/>
  <c r="AN97" i="1" s="1"/>
  <c r="AG97" i="1"/>
  <c r="AH97" i="1" s="1"/>
  <c r="AI97" i="1" s="1"/>
  <c r="AH47" i="1"/>
  <c r="AI47" i="1" s="1"/>
  <c r="AG22" i="1"/>
  <c r="AL22" i="1"/>
  <c r="AL78" i="1"/>
  <c r="AM78" i="1" s="1"/>
  <c r="AN78" i="1" s="1"/>
  <c r="AG78" i="1"/>
  <c r="AH78" i="1" s="1"/>
  <c r="AI78" i="1" s="1"/>
  <c r="AL137" i="1"/>
  <c r="AG137" i="1"/>
  <c r="AH65" i="1"/>
  <c r="AI65" i="1" s="1"/>
  <c r="AM143" i="1"/>
  <c r="AN143" i="1" s="1"/>
  <c r="AM98" i="1"/>
  <c r="AN98" i="1" s="1"/>
  <c r="AG103" i="1"/>
  <c r="AH103" i="1" s="1"/>
  <c r="AI103" i="1" s="1"/>
  <c r="AL103" i="1"/>
  <c r="AM42" i="1"/>
  <c r="AN42" i="1" s="1"/>
  <c r="AM65" i="1"/>
  <c r="AN65" i="1" s="1"/>
  <c r="AM99" i="1"/>
  <c r="AN99" i="1" s="1"/>
  <c r="AL117" i="1"/>
  <c r="AM117" i="1" s="1"/>
  <c r="AN117" i="1" s="1"/>
  <c r="AG117" i="1"/>
  <c r="AH117" i="1" s="1"/>
  <c r="AI117" i="1" s="1"/>
  <c r="AM60" i="1"/>
  <c r="AN60" i="1" s="1"/>
  <c r="AL138" i="1"/>
  <c r="AG138" i="1"/>
  <c r="AH138" i="1" s="1"/>
  <c r="AI138" i="1" s="1"/>
  <c r="AM119" i="1"/>
  <c r="AN119" i="1" s="1"/>
  <c r="AH74" i="1"/>
  <c r="AI74" i="1" s="1"/>
  <c r="AH84" i="1"/>
  <c r="AI84" i="1" s="1"/>
  <c r="AH85" i="1"/>
  <c r="AI85" i="1" s="1"/>
  <c r="AL23" i="1"/>
  <c r="AM23" i="1" s="1"/>
  <c r="AN23" i="1" s="1"/>
  <c r="AG23" i="1"/>
  <c r="AH23" i="1" s="1"/>
  <c r="AI23" i="1" s="1"/>
  <c r="AG142" i="1"/>
  <c r="AH142" i="1" s="1"/>
  <c r="AI142" i="1" s="1"/>
  <c r="AL142" i="1"/>
  <c r="AM142" i="1" s="1"/>
  <c r="AN142" i="1" s="1"/>
  <c r="AM74" i="1"/>
  <c r="AN74" i="1" s="1"/>
  <c r="AM124" i="1"/>
  <c r="AN124" i="1" s="1"/>
  <c r="AM41" i="1"/>
  <c r="AN41" i="1" s="1"/>
  <c r="AM84" i="1"/>
  <c r="AN84" i="1" s="1"/>
  <c r="Y141" i="1"/>
  <c r="T141" i="1"/>
  <c r="Z141" i="1" s="1"/>
  <c r="U141" i="1"/>
  <c r="S141" i="1"/>
  <c r="Y142" i="1"/>
  <c r="Y139" i="1"/>
  <c r="Y24" i="1"/>
  <c r="AA40" i="1"/>
  <c r="AA112" i="1"/>
  <c r="AA132" i="1"/>
  <c r="AA152" i="1"/>
  <c r="AA85" i="1"/>
  <c r="AA119" i="1"/>
  <c r="AA151" i="1"/>
  <c r="AA74" i="1"/>
  <c r="AA61" i="1"/>
  <c r="AA102" i="1"/>
  <c r="AA124" i="1"/>
  <c r="AA47" i="1"/>
  <c r="AA75" i="1"/>
  <c r="AA94" i="1"/>
  <c r="AA93" i="1"/>
  <c r="AA64" i="1"/>
  <c r="AA45" i="1"/>
  <c r="AA83" i="1"/>
  <c r="AA79" i="1"/>
  <c r="AA66" i="1"/>
  <c r="AA55" i="1"/>
  <c r="AA104" i="1"/>
  <c r="AA113" i="1"/>
  <c r="AA42" i="1"/>
  <c r="AA56" i="1"/>
  <c r="AA99" i="1"/>
  <c r="AA133" i="1"/>
  <c r="U142" i="1"/>
  <c r="T142" i="1"/>
  <c r="Z142" i="1" s="1"/>
  <c r="S142" i="1"/>
  <c r="Y103" i="1"/>
  <c r="S103" i="1"/>
  <c r="U103" i="1"/>
  <c r="T103" i="1"/>
  <c r="Z103" i="1" s="1"/>
  <c r="Y138" i="1"/>
  <c r="Y118" i="1"/>
  <c r="U139" i="1"/>
  <c r="AA139" i="1" s="1"/>
  <c r="S139" i="1"/>
  <c r="U137" i="1"/>
  <c r="T137" i="1"/>
  <c r="Z137" i="1" s="1"/>
  <c r="U118" i="1"/>
  <c r="U138" i="1"/>
  <c r="T138" i="1"/>
  <c r="Z138" i="1" s="1"/>
  <c r="Y137" i="1"/>
  <c r="AA143" i="1"/>
  <c r="T118" i="1"/>
  <c r="Z118" i="1" s="1"/>
  <c r="P136" i="1"/>
  <c r="Z122" i="1"/>
  <c r="U117" i="1"/>
  <c r="T117" i="1"/>
  <c r="Y117" i="1"/>
  <c r="AA123" i="1"/>
  <c r="Z102" i="1"/>
  <c r="U97" i="1"/>
  <c r="T97" i="1"/>
  <c r="Y97" i="1"/>
  <c r="AA98" i="1"/>
  <c r="AA80" i="1"/>
  <c r="T78" i="1"/>
  <c r="U78" i="1"/>
  <c r="Y78" i="1"/>
  <c r="AA84" i="1"/>
  <c r="Z83" i="1"/>
  <c r="U59" i="1"/>
  <c r="T59" i="1"/>
  <c r="Y59" i="1"/>
  <c r="AA60" i="1"/>
  <c r="AA65" i="1"/>
  <c r="U76" i="1"/>
  <c r="AA46" i="1"/>
  <c r="Z45" i="1"/>
  <c r="AA41" i="1"/>
  <c r="Z40" i="1"/>
  <c r="P21" i="1"/>
  <c r="T23" i="1"/>
  <c r="Z23" i="1" s="1"/>
  <c r="U23" i="1"/>
  <c r="U24" i="1"/>
  <c r="AA24" i="1" s="1"/>
  <c r="S24" i="1"/>
  <c r="Y23" i="1"/>
  <c r="U22" i="1"/>
  <c r="T22" i="1"/>
  <c r="Z22" i="1" s="1"/>
  <c r="Y22" i="1"/>
  <c r="U57" i="1" l="1"/>
  <c r="AA57" i="1" s="1"/>
  <c r="AM139" i="1"/>
  <c r="AN139" i="1" s="1"/>
  <c r="AH118" i="1"/>
  <c r="AI118" i="1" s="1"/>
  <c r="AM103" i="1"/>
  <c r="AN103" i="1" s="1"/>
  <c r="AH137" i="1"/>
  <c r="AI137" i="1" s="1"/>
  <c r="AM137" i="1"/>
  <c r="AN137" i="1" s="1"/>
  <c r="AL136" i="1"/>
  <c r="AM136" i="1" s="1"/>
  <c r="AN136" i="1" s="1"/>
  <c r="AG136" i="1"/>
  <c r="AH136" i="1" s="1"/>
  <c r="AI136" i="1" s="1"/>
  <c r="AM22" i="1"/>
  <c r="AN22" i="1" s="1"/>
  <c r="AG21" i="1"/>
  <c r="AH21" i="1" s="1"/>
  <c r="AI21" i="1" s="1"/>
  <c r="AL21" i="1"/>
  <c r="AM21" i="1" s="1"/>
  <c r="AN21" i="1" s="1"/>
  <c r="AM138" i="1"/>
  <c r="AN138" i="1" s="1"/>
  <c r="AH22" i="1"/>
  <c r="AI22" i="1" s="1"/>
  <c r="AA97" i="1"/>
  <c r="AA118" i="1"/>
  <c r="AA103" i="1"/>
  <c r="AA59" i="1"/>
  <c r="AA142" i="1"/>
  <c r="AA23" i="1"/>
  <c r="AA78" i="1"/>
  <c r="AA138" i="1"/>
  <c r="U95" i="1"/>
  <c r="H13" i="14"/>
  <c r="AA137" i="1"/>
  <c r="T136" i="1"/>
  <c r="U136" i="1"/>
  <c r="Y136" i="1"/>
  <c r="Z117" i="1"/>
  <c r="Z97" i="1"/>
  <c r="Z78" i="1"/>
  <c r="AA76" i="1"/>
  <c r="Z59" i="1"/>
  <c r="AA22" i="1"/>
  <c r="T21" i="1"/>
  <c r="U21" i="1"/>
  <c r="Y21" i="1"/>
  <c r="H10" i="14" l="1"/>
  <c r="AA21" i="1"/>
  <c r="H16" i="14"/>
  <c r="AA95" i="1"/>
  <c r="K16" i="14" s="1"/>
  <c r="K13" i="14"/>
  <c r="K10" i="14"/>
  <c r="Z136" i="1"/>
  <c r="U25" i="1"/>
  <c r="Z21" i="1"/>
  <c r="AA25" i="1" l="1"/>
  <c r="AB5" i="1" l="1"/>
  <c r="L5" i="14" s="1"/>
  <c r="AB10" i="1"/>
  <c r="L4" i="14"/>
  <c r="AB116" i="1"/>
  <c r="L21" i="14" s="1"/>
  <c r="AB4" i="1"/>
  <c r="AB3" i="1"/>
  <c r="AB16" i="1"/>
  <c r="AB17" i="1"/>
  <c r="AB9" i="1"/>
  <c r="AB2" i="1"/>
  <c r="AB7" i="1"/>
  <c r="O5" i="1" l="1"/>
  <c r="O18" i="1"/>
  <c r="AB18" i="1"/>
  <c r="O17" i="1"/>
  <c r="O16" i="1"/>
  <c r="O9" i="1"/>
  <c r="I9" i="6" l="1"/>
  <c r="I12" i="6" s="1"/>
  <c r="S10" i="11" l="1"/>
  <c r="AO10" i="11" s="1"/>
  <c r="AP10" i="11" l="1"/>
  <c r="AQ10" i="11" s="1"/>
  <c r="W10" i="11"/>
  <c r="AC10" i="11" s="1"/>
  <c r="V10" i="11"/>
  <c r="AB10" i="11"/>
  <c r="X10" i="11"/>
  <c r="R3" i="11"/>
  <c r="S3" i="11"/>
  <c r="R4" i="11"/>
  <c r="S4" i="11"/>
  <c r="S5" i="11"/>
  <c r="AO5" i="11" l="1"/>
  <c r="AJ5" i="11"/>
  <c r="AO4" i="11"/>
  <c r="AJ4" i="11"/>
  <c r="AK4" i="11" s="1"/>
  <c r="AL4" i="11" s="1"/>
  <c r="AJ3" i="11"/>
  <c r="AO3" i="11"/>
  <c r="AB5" i="11"/>
  <c r="X4" i="11"/>
  <c r="V3" i="11"/>
  <c r="V4" i="11"/>
  <c r="W4" i="11"/>
  <c r="AC4" i="11" s="1"/>
  <c r="AB3" i="11"/>
  <c r="X3" i="11"/>
  <c r="W3" i="11"/>
  <c r="AB4" i="11"/>
  <c r="X5" i="11"/>
  <c r="W5" i="11"/>
  <c r="V5" i="11"/>
  <c r="AP3" i="11" l="1"/>
  <c r="AQ3" i="11" s="1"/>
  <c r="AK3" i="11"/>
  <c r="AL3" i="11"/>
  <c r="AP4" i="11"/>
  <c r="AQ4" i="11"/>
  <c r="AK5" i="11"/>
  <c r="AL5" i="11"/>
  <c r="AP5" i="11"/>
  <c r="AQ5" i="11" s="1"/>
  <c r="AC3" i="11"/>
  <c r="AC5" i="11"/>
  <c r="AL21" i="11" l="1"/>
  <c r="R5" i="11"/>
  <c r="AB135" i="1"/>
  <c r="L6" i="14"/>
  <c r="AB8" i="1"/>
  <c r="AB155" i="1" l="1"/>
  <c r="I3" i="13" s="1"/>
  <c r="I9" i="13" s="1"/>
  <c r="H9" i="13" s="1"/>
  <c r="L24" i="14"/>
  <c r="L28" i="14" l="1"/>
  <c r="P8" i="1"/>
  <c r="S3" i="1"/>
  <c r="P3" i="1" s="1"/>
  <c r="S4" i="1"/>
  <c r="P4" i="1" s="1"/>
  <c r="S9" i="11"/>
  <c r="G9" i="6"/>
  <c r="AO9" i="11" l="1"/>
  <c r="AP9" i="11" s="1"/>
  <c r="AQ9" i="11" s="1"/>
  <c r="S21" i="11"/>
  <c r="AG3" i="1"/>
  <c r="AL3" i="1"/>
  <c r="AG4" i="1"/>
  <c r="AH4" i="1" s="1"/>
  <c r="AI4" i="1" s="1"/>
  <c r="AL4" i="1"/>
  <c r="AM4" i="1" s="1"/>
  <c r="AN4" i="1" s="1"/>
  <c r="AL8" i="1"/>
  <c r="AG8" i="1"/>
  <c r="AB11" i="13"/>
  <c r="Y16" i="1"/>
  <c r="U8" i="1"/>
  <c r="P37" i="1"/>
  <c r="P28" i="1"/>
  <c r="P35" i="1"/>
  <c r="AL35" i="1" s="1"/>
  <c r="AM35" i="1" s="1"/>
  <c r="AN35" i="1" s="1"/>
  <c r="P31" i="1"/>
  <c r="AL31" i="1" s="1"/>
  <c r="AM31" i="1" s="1"/>
  <c r="AN31" i="1" s="1"/>
  <c r="P36" i="1"/>
  <c r="P27" i="1"/>
  <c r="P26" i="1"/>
  <c r="P29" i="1"/>
  <c r="AL29" i="1" s="1"/>
  <c r="T4" i="1"/>
  <c r="U4" i="1"/>
  <c r="U3" i="1"/>
  <c r="T3" i="1"/>
  <c r="P18" i="1"/>
  <c r="P5" i="1"/>
  <c r="AL5" i="1" s="1"/>
  <c r="Y4" i="1"/>
  <c r="P17" i="1"/>
  <c r="S16" i="1"/>
  <c r="T16" i="1"/>
  <c r="Z16" i="1" s="1"/>
  <c r="AA16" i="1"/>
  <c r="P9" i="1"/>
  <c r="AB9" i="11"/>
  <c r="X9" i="11"/>
  <c r="V9" i="11"/>
  <c r="W9" i="11"/>
  <c r="S8" i="1"/>
  <c r="T8" i="1"/>
  <c r="Z8" i="1" s="1"/>
  <c r="H9" i="6"/>
  <c r="H12" i="6" s="1"/>
  <c r="G12" i="6"/>
  <c r="E4" i="13" l="1"/>
  <c r="AC9" i="11"/>
  <c r="AM5" i="1"/>
  <c r="AN5" i="1" s="1"/>
  <c r="AM29" i="1"/>
  <c r="AN29" i="1" s="1"/>
  <c r="AG36" i="1"/>
  <c r="AL36" i="1"/>
  <c r="AM36" i="1" s="1"/>
  <c r="AN36" i="1" s="1"/>
  <c r="AL9" i="1"/>
  <c r="AG9" i="1"/>
  <c r="AH8" i="1"/>
  <c r="AI8" i="1" s="1"/>
  <c r="AL26" i="1"/>
  <c r="AM26" i="1" s="1"/>
  <c r="AN26" i="1" s="1"/>
  <c r="AG26" i="1"/>
  <c r="AH26" i="1" s="1"/>
  <c r="AI26" i="1" s="1"/>
  <c r="AG18" i="1"/>
  <c r="AL18" i="1"/>
  <c r="AM18" i="1" s="1"/>
  <c r="AN18" i="1" s="1"/>
  <c r="AL37" i="1"/>
  <c r="AM37" i="1" s="1"/>
  <c r="AN37" i="1" s="1"/>
  <c r="AG37" i="1"/>
  <c r="AH37" i="1" s="1"/>
  <c r="AI37" i="1" s="1"/>
  <c r="AM3" i="1"/>
  <c r="AN3" i="1" s="1"/>
  <c r="AG27" i="1"/>
  <c r="AL27" i="1"/>
  <c r="AM8" i="1"/>
  <c r="AN8" i="1" s="1"/>
  <c r="AG28" i="1"/>
  <c r="AL28" i="1"/>
  <c r="AG17" i="1"/>
  <c r="AH17" i="1" s="1"/>
  <c r="AI17" i="1" s="1"/>
  <c r="AL17" i="1"/>
  <c r="AH3" i="1"/>
  <c r="AI3" i="1" s="1"/>
  <c r="AA13" i="13"/>
  <c r="T29" i="1"/>
  <c r="Z29" i="1" s="1"/>
  <c r="Y5" i="1"/>
  <c r="Y35" i="1"/>
  <c r="AA8" i="1"/>
  <c r="Y18" i="1"/>
  <c r="Y36" i="1"/>
  <c r="S36" i="1"/>
  <c r="U36" i="1"/>
  <c r="T36" i="1"/>
  <c r="S31" i="1"/>
  <c r="U31" i="1"/>
  <c r="AA31" i="1" s="1"/>
  <c r="T31" i="1"/>
  <c r="Z31" i="1" s="1"/>
  <c r="S26" i="1"/>
  <c r="U26" i="1"/>
  <c r="T26" i="1"/>
  <c r="U29" i="1"/>
  <c r="AA29" i="1" s="1"/>
  <c r="S29" i="1"/>
  <c r="Y31" i="1"/>
  <c r="S28" i="1"/>
  <c r="U28" i="1"/>
  <c r="T28" i="1"/>
  <c r="Z28" i="1" s="1"/>
  <c r="Y26" i="1"/>
  <c r="Y29" i="1"/>
  <c r="Y28" i="1"/>
  <c r="U27" i="1"/>
  <c r="T27" i="1"/>
  <c r="Z27" i="1" s="1"/>
  <c r="S27" i="1"/>
  <c r="U35" i="1"/>
  <c r="AA35" i="1" s="1"/>
  <c r="T35" i="1"/>
  <c r="Z35" i="1" s="1"/>
  <c r="U37" i="1"/>
  <c r="T37" i="1"/>
  <c r="Z37" i="1" s="1"/>
  <c r="S37" i="1"/>
  <c r="Y27" i="1"/>
  <c r="Y37" i="1"/>
  <c r="AA3" i="1"/>
  <c r="U5" i="1"/>
  <c r="AA5" i="1" s="1"/>
  <c r="T5" i="1"/>
  <c r="Z5" i="1" s="1"/>
  <c r="S5" i="1"/>
  <c r="Y3" i="1"/>
  <c r="AA4" i="1"/>
  <c r="Z4" i="1"/>
  <c r="S18" i="1"/>
  <c r="T18" i="1"/>
  <c r="Z18" i="1" s="1"/>
  <c r="U18" i="1"/>
  <c r="U17" i="1"/>
  <c r="T17" i="1"/>
  <c r="Z17" i="1" s="1"/>
  <c r="S17" i="1"/>
  <c r="Y17" i="1"/>
  <c r="S9" i="1"/>
  <c r="U9" i="1"/>
  <c r="T9" i="1"/>
  <c r="Z9" i="1" s="1"/>
  <c r="Y9" i="1"/>
  <c r="AM27" i="1" l="1"/>
  <c r="AN27" i="1" s="1"/>
  <c r="AH27" i="1"/>
  <c r="AI27" i="1" s="1"/>
  <c r="AM28" i="1"/>
  <c r="AN28" i="1" s="1"/>
  <c r="AH9" i="1"/>
  <c r="AI9" i="1" s="1"/>
  <c r="AH28" i="1"/>
  <c r="AI28" i="1" s="1"/>
  <c r="AM9" i="1"/>
  <c r="AN9" i="1" s="1"/>
  <c r="AM17" i="1"/>
  <c r="AN17" i="1" s="1"/>
  <c r="AH18" i="1"/>
  <c r="AI18" i="1" s="1"/>
  <c r="AH36" i="1"/>
  <c r="AI36" i="1" s="1"/>
  <c r="Z36" i="1"/>
  <c r="AA28" i="1"/>
  <c r="AA17" i="1"/>
  <c r="AA9" i="1"/>
  <c r="AA37" i="1"/>
  <c r="AA36" i="1"/>
  <c r="AA18" i="1"/>
  <c r="AA26" i="1"/>
  <c r="AA27" i="1"/>
  <c r="U38" i="1"/>
  <c r="Z26" i="1"/>
  <c r="Z3" i="1"/>
  <c r="H7" i="14" l="1"/>
  <c r="AA38" i="1"/>
  <c r="U39" i="1"/>
  <c r="K7" i="14" l="1"/>
  <c r="H8" i="14"/>
  <c r="AA39" i="1"/>
  <c r="K8" i="14" l="1"/>
  <c r="F11" i="6"/>
  <c r="F10" i="6"/>
  <c r="F9" i="6"/>
  <c r="E9" i="6"/>
  <c r="D9" i="6"/>
  <c r="D12" i="6" s="1"/>
  <c r="E12" i="6" l="1"/>
  <c r="L12" i="6" s="1"/>
  <c r="L9" i="6"/>
  <c r="F12" i="6"/>
  <c r="M12" i="6" s="1"/>
  <c r="M9" i="6"/>
  <c r="M10" i="6"/>
  <c r="AB117" i="1"/>
  <c r="AA117" i="1" s="1"/>
  <c r="AB122" i="1"/>
  <c r="AA122" i="1" s="1"/>
  <c r="AB141" i="1"/>
  <c r="AA141" i="1" s="1"/>
  <c r="M11" i="6"/>
  <c r="AB136" i="1"/>
  <c r="AA136" i="1" s="1"/>
  <c r="AL12" i="1" l="1"/>
  <c r="AM12" i="1" s="1"/>
  <c r="AN12" i="1" s="1"/>
  <c r="P10" i="1"/>
  <c r="O10" i="1"/>
  <c r="T10" i="1" l="1"/>
  <c r="Z10" i="1" s="1"/>
  <c r="AL10" i="1"/>
  <c r="Y10" i="1"/>
  <c r="S10" i="1"/>
  <c r="U10" i="1"/>
  <c r="AM10" i="1" l="1"/>
  <c r="AN10" i="1" s="1"/>
  <c r="K6" i="14"/>
  <c r="H6" i="14"/>
  <c r="AA10" i="1"/>
  <c r="O8" i="1"/>
  <c r="P7" i="1"/>
  <c r="O7" i="1"/>
  <c r="AG7" i="1" l="1"/>
  <c r="AH7" i="1" s="1"/>
  <c r="AI7" i="1" s="1"/>
  <c r="AL7" i="1"/>
  <c r="AM7" i="1" s="1"/>
  <c r="AN7" i="1" s="1"/>
  <c r="AA12" i="13"/>
  <c r="Y7" i="1"/>
  <c r="Y8" i="1"/>
  <c r="S7" i="1"/>
  <c r="T7" i="1"/>
  <c r="U7" i="1"/>
  <c r="U19" i="1" s="1"/>
  <c r="U134" i="1" l="1"/>
  <c r="U63" i="1"/>
  <c r="AA7" i="1"/>
  <c r="Z7" i="1"/>
  <c r="U77" i="1" l="1"/>
  <c r="H12" i="14"/>
  <c r="AA134" i="1"/>
  <c r="K23" i="14" s="1"/>
  <c r="H23" i="14"/>
  <c r="U101" i="1"/>
  <c r="AA63" i="1"/>
  <c r="K12" i="14" s="1"/>
  <c r="H4" i="14"/>
  <c r="H18" i="14" l="1"/>
  <c r="H14" i="14"/>
  <c r="AA77" i="1"/>
  <c r="K14" i="14" s="1"/>
  <c r="AA101" i="1"/>
  <c r="K18" i="14" s="1"/>
  <c r="AA19" i="1" l="1"/>
  <c r="K4" i="14" l="1"/>
  <c r="AA6" i="13" l="1"/>
  <c r="S2" i="1" l="1"/>
  <c r="S6" i="1" s="1"/>
  <c r="X6" i="1"/>
  <c r="AA3" i="13" l="1"/>
  <c r="AC5" i="13" s="1"/>
  <c r="X19" i="1"/>
  <c r="S19" i="1"/>
  <c r="F4" i="14" s="1"/>
  <c r="P2" i="1"/>
  <c r="AL2" i="1" l="1"/>
  <c r="AG2" i="1"/>
  <c r="AA8" i="13"/>
  <c r="AC4" i="13"/>
  <c r="AC3" i="13"/>
  <c r="AC6" i="13"/>
  <c r="S20" i="1"/>
  <c r="F5" i="14" s="1"/>
  <c r="J4" i="14"/>
  <c r="X20" i="1"/>
  <c r="J5" i="14" s="1"/>
  <c r="S25" i="1"/>
  <c r="F6" i="14" s="1"/>
  <c r="T2" i="1"/>
  <c r="T6" i="1" s="1"/>
  <c r="Y2" i="1"/>
  <c r="P6" i="1"/>
  <c r="U2" i="1"/>
  <c r="AA2" i="1" l="1"/>
  <c r="U6" i="1"/>
  <c r="AH2" i="1"/>
  <c r="AI2" i="1" s="1"/>
  <c r="AI154" i="1" s="1"/>
  <c r="AM2" i="1"/>
  <c r="AN2" i="1" s="1"/>
  <c r="AN154" i="1" s="1"/>
  <c r="J6" i="14"/>
  <c r="Z6" i="1"/>
  <c r="T19" i="1"/>
  <c r="G4" i="14" s="1"/>
  <c r="P25" i="1"/>
  <c r="P19" i="1"/>
  <c r="C4" i="14" s="1"/>
  <c r="S44" i="1"/>
  <c r="F9" i="14" s="1"/>
  <c r="S38" i="1"/>
  <c r="Z2" i="1"/>
  <c r="Q6" i="1"/>
  <c r="Y6" i="1"/>
  <c r="R6" i="1"/>
  <c r="C6" i="14" l="1"/>
  <c r="V25" i="1"/>
  <c r="J9" i="14"/>
  <c r="J7" i="14"/>
  <c r="T20" i="1"/>
  <c r="G5" i="14" s="1"/>
  <c r="P20" i="1"/>
  <c r="S39" i="1"/>
  <c r="F7" i="14"/>
  <c r="U44" i="1"/>
  <c r="U114" i="1"/>
  <c r="Q19" i="1"/>
  <c r="D4" i="14" s="1"/>
  <c r="Z19" i="1"/>
  <c r="S57" i="1"/>
  <c r="R25" i="1"/>
  <c r="E6" i="14" s="1"/>
  <c r="T38" i="1"/>
  <c r="T25" i="1"/>
  <c r="G6" i="14" s="1"/>
  <c r="Y25" i="1"/>
  <c r="S63" i="1"/>
  <c r="F12" i="14" s="1"/>
  <c r="P38" i="1"/>
  <c r="X39" i="1"/>
  <c r="J8" i="14" s="1"/>
  <c r="V19" i="1"/>
  <c r="R19" i="1"/>
  <c r="E4" i="14" s="1"/>
  <c r="Y19" i="1"/>
  <c r="U20" i="1"/>
  <c r="H5" i="14" s="1"/>
  <c r="H3" i="14"/>
  <c r="V6" i="1"/>
  <c r="AA6" i="1"/>
  <c r="K3" i="14" s="1"/>
  <c r="I4" i="14" l="1"/>
  <c r="I6" i="14"/>
  <c r="R38" i="1"/>
  <c r="E7" i="14" s="1"/>
  <c r="V38" i="1"/>
  <c r="Q20" i="1"/>
  <c r="D5" i="14" s="1"/>
  <c r="Y38" i="1"/>
  <c r="X58" i="1"/>
  <c r="J11" i="14" s="1"/>
  <c r="J10" i="14"/>
  <c r="H19" i="14"/>
  <c r="U115" i="1"/>
  <c r="U58" i="1"/>
  <c r="H9" i="14"/>
  <c r="S58" i="1"/>
  <c r="F10" i="14"/>
  <c r="F8" i="14"/>
  <c r="Q38" i="1"/>
  <c r="D7" i="14" s="1"/>
  <c r="G7" i="14"/>
  <c r="T39" i="1"/>
  <c r="P39" i="1"/>
  <c r="C7" i="14"/>
  <c r="R20" i="1"/>
  <c r="E5" i="14" s="1"/>
  <c r="C5" i="14"/>
  <c r="AA114" i="1"/>
  <c r="K19" i="14" s="1"/>
  <c r="U140" i="1"/>
  <c r="AA44" i="1"/>
  <c r="K9" i="14" s="1"/>
  <c r="U82" i="1"/>
  <c r="U153" i="1"/>
  <c r="S76" i="1"/>
  <c r="P44" i="1"/>
  <c r="V44" i="1" s="1"/>
  <c r="F3" i="14"/>
  <c r="Q25" i="1"/>
  <c r="D6" i="14" s="1"/>
  <c r="T44" i="1"/>
  <c r="G9" i="14" s="1"/>
  <c r="Z25" i="1"/>
  <c r="P57" i="1"/>
  <c r="V57" i="1" s="1"/>
  <c r="Z38" i="1"/>
  <c r="S82" i="1"/>
  <c r="F15" i="14" s="1"/>
  <c r="V20" i="1"/>
  <c r="I5" i="14" s="1"/>
  <c r="AA20" i="1"/>
  <c r="K5" i="14" s="1"/>
  <c r="I7" i="14" l="1"/>
  <c r="C9" i="14"/>
  <c r="J12" i="14"/>
  <c r="AA153" i="1"/>
  <c r="K26" i="14" s="1"/>
  <c r="H26" i="14"/>
  <c r="I10" i="14"/>
  <c r="P58" i="1"/>
  <c r="R58" i="1" s="1"/>
  <c r="E11" i="14" s="1"/>
  <c r="C10" i="14"/>
  <c r="H15" i="14"/>
  <c r="U96" i="1"/>
  <c r="C8" i="14"/>
  <c r="V39" i="1"/>
  <c r="I8" i="14" s="1"/>
  <c r="F11" i="14"/>
  <c r="AA140" i="1"/>
  <c r="K25" i="14" s="1"/>
  <c r="H25" i="14"/>
  <c r="U154" i="1"/>
  <c r="G8" i="14"/>
  <c r="Q39" i="1"/>
  <c r="D8" i="14" s="1"/>
  <c r="AA58" i="1"/>
  <c r="K11" i="14" s="1"/>
  <c r="H11" i="14"/>
  <c r="AA115" i="1"/>
  <c r="K20" i="14" s="1"/>
  <c r="H20" i="14"/>
  <c r="S77" i="1"/>
  <c r="F13" i="14"/>
  <c r="R39" i="1"/>
  <c r="E8" i="14" s="1"/>
  <c r="R57" i="1"/>
  <c r="E10" i="14" s="1"/>
  <c r="J3" i="14"/>
  <c r="Q44" i="1"/>
  <c r="D9" i="14" s="1"/>
  <c r="Z44" i="1"/>
  <c r="P63" i="1"/>
  <c r="Y57" i="1"/>
  <c r="U121" i="1"/>
  <c r="AA82" i="1"/>
  <c r="K15" i="14" s="1"/>
  <c r="S95" i="1"/>
  <c r="I9" i="14"/>
  <c r="R44" i="1"/>
  <c r="E9" i="14" s="1"/>
  <c r="Y44" i="1"/>
  <c r="T57" i="1"/>
  <c r="C12" i="14" l="1"/>
  <c r="V63" i="1"/>
  <c r="AA96" i="1"/>
  <c r="K17" i="14" s="1"/>
  <c r="H17" i="14"/>
  <c r="U116" i="1"/>
  <c r="F14" i="14"/>
  <c r="AA121" i="1"/>
  <c r="K22" i="14" s="1"/>
  <c r="U135" i="1"/>
  <c r="H22" i="14"/>
  <c r="J13" i="14"/>
  <c r="X77" i="1"/>
  <c r="J14" i="14" s="1"/>
  <c r="G10" i="14"/>
  <c r="T58" i="1"/>
  <c r="C11" i="14"/>
  <c r="V58" i="1"/>
  <c r="I11" i="14" s="1"/>
  <c r="AA154" i="1"/>
  <c r="K27" i="14" s="1"/>
  <c r="H27" i="14"/>
  <c r="F16" i="14"/>
  <c r="S96" i="1"/>
  <c r="Y63" i="1"/>
  <c r="Q57" i="1"/>
  <c r="D10" i="14" s="1"/>
  <c r="Z57" i="1"/>
  <c r="T63" i="1"/>
  <c r="G12" i="14" s="1"/>
  <c r="C3" i="14"/>
  <c r="R63" i="1"/>
  <c r="P76" i="1"/>
  <c r="V76" i="1" s="1"/>
  <c r="S101" i="1"/>
  <c r="F18" i="14" s="1"/>
  <c r="U155" i="1" l="1"/>
  <c r="AA155" i="1" s="1"/>
  <c r="H3" i="13" s="1"/>
  <c r="J15" i="14"/>
  <c r="J18" i="14"/>
  <c r="H24" i="14"/>
  <c r="AA135" i="1"/>
  <c r="K24" i="14" s="1"/>
  <c r="J16" i="14"/>
  <c r="X96" i="1"/>
  <c r="J17" i="14" s="1"/>
  <c r="C13" i="14"/>
  <c r="P77" i="1"/>
  <c r="Q58" i="1"/>
  <c r="D11" i="14" s="1"/>
  <c r="G11" i="14"/>
  <c r="E3" i="14"/>
  <c r="E12" i="14"/>
  <c r="F17" i="14"/>
  <c r="H21" i="14"/>
  <c r="AA116" i="1"/>
  <c r="K21" i="14" s="1"/>
  <c r="I3" i="14"/>
  <c r="I12" i="14"/>
  <c r="Q63" i="1"/>
  <c r="G3" i="14"/>
  <c r="Z63" i="1"/>
  <c r="I13" i="14"/>
  <c r="R76" i="1"/>
  <c r="E13" i="14" s="1"/>
  <c r="P82" i="1"/>
  <c r="V82" i="1" s="1"/>
  <c r="Y76" i="1"/>
  <c r="T76" i="1"/>
  <c r="S114" i="1"/>
  <c r="C15" i="14" l="1"/>
  <c r="K28" i="14"/>
  <c r="H28" i="14"/>
  <c r="G3" i="13"/>
  <c r="J22" i="14"/>
  <c r="C14" i="14"/>
  <c r="V77" i="1"/>
  <c r="I14" i="14" s="1"/>
  <c r="R77" i="1"/>
  <c r="E14" i="14" s="1"/>
  <c r="S115" i="1"/>
  <c r="F19" i="14"/>
  <c r="G13" i="14"/>
  <c r="T77" i="1"/>
  <c r="D3" i="14"/>
  <c r="D12" i="14"/>
  <c r="X115" i="1"/>
  <c r="J19" i="14"/>
  <c r="Q76" i="1"/>
  <c r="D13" i="14" s="1"/>
  <c r="Z76" i="1"/>
  <c r="S121" i="1"/>
  <c r="T82" i="1"/>
  <c r="G15" i="14" s="1"/>
  <c r="I15" i="14"/>
  <c r="P95" i="1"/>
  <c r="V95" i="1" s="1"/>
  <c r="R82" i="1"/>
  <c r="E15" i="14" s="1"/>
  <c r="Y82" i="1"/>
  <c r="Q77" i="1" l="1"/>
  <c r="D14" i="14" s="1"/>
  <c r="G14" i="14"/>
  <c r="X135" i="1"/>
  <c r="J23" i="14"/>
  <c r="F20" i="14"/>
  <c r="S116" i="1"/>
  <c r="F21" i="14" s="1"/>
  <c r="P101" i="1"/>
  <c r="V101" i="1" s="1"/>
  <c r="P96" i="1"/>
  <c r="J20" i="14"/>
  <c r="X116" i="1"/>
  <c r="Q82" i="1"/>
  <c r="D15" i="14" s="1"/>
  <c r="Z82" i="1"/>
  <c r="T95" i="1"/>
  <c r="T96" i="1" s="1"/>
  <c r="F22" i="14"/>
  <c r="S134" i="1"/>
  <c r="C16" i="14"/>
  <c r="I16" i="14"/>
  <c r="R95" i="1"/>
  <c r="E16" i="14" s="1"/>
  <c r="Y95" i="1"/>
  <c r="P114" i="1"/>
  <c r="V114" i="1" s="1"/>
  <c r="C18" i="14" l="1"/>
  <c r="J25" i="14"/>
  <c r="P115" i="1"/>
  <c r="C19" i="14"/>
  <c r="Y101" i="1"/>
  <c r="R101" i="1"/>
  <c r="E18" i="14" s="1"/>
  <c r="I18" i="14"/>
  <c r="F23" i="14"/>
  <c r="S135" i="1"/>
  <c r="J21" i="14"/>
  <c r="J24" i="14"/>
  <c r="Q96" i="1"/>
  <c r="D17" i="14" s="1"/>
  <c r="G17" i="14"/>
  <c r="C17" i="14"/>
  <c r="V96" i="1"/>
  <c r="I17" i="14" s="1"/>
  <c r="R96" i="1"/>
  <c r="E17" i="14" s="1"/>
  <c r="G16" i="14"/>
  <c r="Q95" i="1"/>
  <c r="D16" i="14" s="1"/>
  <c r="Z95" i="1"/>
  <c r="T101" i="1"/>
  <c r="G18" i="14" s="1"/>
  <c r="P121" i="1"/>
  <c r="S140" i="1"/>
  <c r="F25" i="14" s="1"/>
  <c r="I19" i="14"/>
  <c r="Y114" i="1"/>
  <c r="R114" i="1"/>
  <c r="E19" i="14" s="1"/>
  <c r="C22" i="14" l="1"/>
  <c r="V121" i="1"/>
  <c r="X154" i="1"/>
  <c r="J26" i="14"/>
  <c r="F24" i="14"/>
  <c r="C20" i="14"/>
  <c r="V115" i="1"/>
  <c r="I20" i="14" s="1"/>
  <c r="P116" i="1"/>
  <c r="R115" i="1"/>
  <c r="E20" i="14" s="1"/>
  <c r="S153" i="1"/>
  <c r="P134" i="1"/>
  <c r="V134" i="1" s="1"/>
  <c r="Y121" i="1"/>
  <c r="R121" i="1"/>
  <c r="E22" i="14" s="1"/>
  <c r="Q101" i="1"/>
  <c r="D18" i="14" s="1"/>
  <c r="T114" i="1"/>
  <c r="T115" i="1" s="1"/>
  <c r="Z101" i="1"/>
  <c r="I22" i="14" l="1"/>
  <c r="R116" i="1"/>
  <c r="E21" i="14" s="1"/>
  <c r="C21" i="14"/>
  <c r="V116" i="1"/>
  <c r="I21" i="14" s="1"/>
  <c r="Y116" i="1"/>
  <c r="C23" i="14"/>
  <c r="P135" i="1"/>
  <c r="G20" i="14"/>
  <c r="Q115" i="1"/>
  <c r="D20" i="14" s="1"/>
  <c r="T116" i="1"/>
  <c r="F26" i="14"/>
  <c r="S154" i="1"/>
  <c r="J27" i="14"/>
  <c r="X155" i="1"/>
  <c r="G19" i="14"/>
  <c r="Q114" i="1"/>
  <c r="D19" i="14" s="1"/>
  <c r="Z114" i="1"/>
  <c r="T121" i="1"/>
  <c r="G22" i="14" s="1"/>
  <c r="I23" i="14"/>
  <c r="Y134" i="1"/>
  <c r="R134" i="1"/>
  <c r="E23" i="14" s="1"/>
  <c r="P140" i="1"/>
  <c r="V140" i="1" s="1"/>
  <c r="C25" i="14" l="1"/>
  <c r="AA11" i="13"/>
  <c r="C24" i="14"/>
  <c r="V135" i="1"/>
  <c r="I24" i="14" s="1"/>
  <c r="Y135" i="1"/>
  <c r="R135" i="1"/>
  <c r="E24" i="14" s="1"/>
  <c r="F3" i="13"/>
  <c r="J28" i="14"/>
  <c r="F27" i="14"/>
  <c r="S155" i="1"/>
  <c r="G21" i="14"/>
  <c r="Q116" i="1"/>
  <c r="D21" i="14" s="1"/>
  <c r="Z116" i="1"/>
  <c r="Q121" i="1"/>
  <c r="D22" i="14" s="1"/>
  <c r="T134" i="1"/>
  <c r="Z121" i="1"/>
  <c r="I25" i="14"/>
  <c r="P153" i="1"/>
  <c r="V153" i="1" s="1"/>
  <c r="Y140" i="1"/>
  <c r="R140" i="1"/>
  <c r="E25" i="14" s="1"/>
  <c r="AC13" i="13" l="1"/>
  <c r="AC12" i="13"/>
  <c r="AC11" i="13"/>
  <c r="E3" i="13"/>
  <c r="E9" i="13" s="1"/>
  <c r="F28" i="14"/>
  <c r="G23" i="14"/>
  <c r="T135" i="1"/>
  <c r="C26" i="14"/>
  <c r="P154" i="1"/>
  <c r="Q134" i="1"/>
  <c r="D23" i="14" s="1"/>
  <c r="Z134" i="1"/>
  <c r="T140" i="1"/>
  <c r="G25" i="14" s="1"/>
  <c r="Y153" i="1"/>
  <c r="I26" i="14"/>
  <c r="R153" i="1"/>
  <c r="E26" i="14" s="1"/>
  <c r="G24" i="14" l="1"/>
  <c r="Q135" i="1"/>
  <c r="D24" i="14" s="1"/>
  <c r="Z135" i="1"/>
  <c r="C27" i="14"/>
  <c r="V154" i="1"/>
  <c r="I27" i="14" s="1"/>
  <c r="P155" i="1"/>
  <c r="Y154" i="1"/>
  <c r="R154" i="1"/>
  <c r="E27" i="14" s="1"/>
  <c r="Q140" i="1"/>
  <c r="D25" i="14" s="1"/>
  <c r="Z140" i="1"/>
  <c r="T153" i="1"/>
  <c r="C3" i="13" l="1"/>
  <c r="C28" i="14"/>
  <c r="V155" i="1"/>
  <c r="I28" i="14" s="1"/>
  <c r="Y155" i="1"/>
  <c r="R155" i="1"/>
  <c r="E28" i="14" s="1"/>
  <c r="G26" i="14"/>
  <c r="T154" i="1"/>
  <c r="Q153" i="1"/>
  <c r="D26" i="14" s="1"/>
  <c r="Z153" i="1"/>
  <c r="Q154" i="1" l="1"/>
  <c r="D27" i="14" s="1"/>
  <c r="G27" i="14"/>
  <c r="T155" i="1"/>
  <c r="Z154" i="1"/>
  <c r="Z155" i="1" l="1"/>
  <c r="G28" i="14"/>
  <c r="Q155" i="1"/>
  <c r="D28" i="14" s="1"/>
  <c r="D3" i="13"/>
  <c r="W11" i="11" l="1"/>
  <c r="I4" i="13"/>
  <c r="AO11" i="11"/>
  <c r="X11" i="11"/>
  <c r="AD21" i="11" s="1"/>
  <c r="H4" i="13" s="1"/>
  <c r="AA11" i="11"/>
  <c r="AB11" i="11" l="1"/>
  <c r="AA21" i="11"/>
  <c r="Y21" i="11"/>
  <c r="AP11" i="11"/>
  <c r="AQ11" i="11" s="1"/>
  <c r="AQ21" i="11" s="1"/>
  <c r="AC11" i="11"/>
  <c r="D4" i="13"/>
  <c r="D9" i="13" s="1"/>
  <c r="T21" i="11"/>
  <c r="G4" i="13"/>
  <c r="C4" i="13"/>
  <c r="U21" i="11"/>
  <c r="C9" i="13" l="1"/>
  <c r="AB21" i="11"/>
  <c r="AC21" i="11"/>
  <c r="F4" i="13"/>
  <c r="F9" i="13" l="1"/>
  <c r="F12" i="13" l="1"/>
</calcChain>
</file>

<file path=xl/sharedStrings.xml><?xml version="1.0" encoding="utf-8"?>
<sst xmlns="http://schemas.openxmlformats.org/spreadsheetml/2006/main" count="6264" uniqueCount="2354">
  <si>
    <t>Activity</t>
  </si>
  <si>
    <t>Impressions</t>
  </si>
  <si>
    <t>Clicks</t>
  </si>
  <si>
    <t>Views</t>
  </si>
  <si>
    <t>Net cost</t>
  </si>
  <si>
    <t>Reach</t>
  </si>
  <si>
    <t>Reach %</t>
  </si>
  <si>
    <t>Uni.</t>
  </si>
  <si>
    <t>Vid : Dis</t>
  </si>
  <si>
    <t>W1</t>
  </si>
  <si>
    <t>W2</t>
  </si>
  <si>
    <t>W3</t>
  </si>
  <si>
    <t>W4</t>
  </si>
  <si>
    <t>W5</t>
  </si>
  <si>
    <t>W6</t>
  </si>
  <si>
    <t>W7</t>
  </si>
  <si>
    <t>W8</t>
  </si>
  <si>
    <t>Core</t>
  </si>
  <si>
    <t>Impact</t>
  </si>
  <si>
    <t>100 : 0</t>
  </si>
  <si>
    <t>0 : 100</t>
  </si>
  <si>
    <t>-</t>
  </si>
  <si>
    <t>Cross Sale</t>
  </si>
  <si>
    <t>Total</t>
  </si>
  <si>
    <t>DV Fee</t>
  </si>
  <si>
    <t>DCM Fee</t>
  </si>
  <si>
    <t>Grand Total</t>
  </si>
  <si>
    <t>*The total reach is calculated on the Fashion shoppers' universe</t>
  </si>
  <si>
    <t>IPL</t>
  </si>
  <si>
    <t>Geo/Cluster</t>
  </si>
  <si>
    <t>Genre</t>
  </si>
  <si>
    <t>Publisher</t>
  </si>
  <si>
    <t>Devices</t>
  </si>
  <si>
    <t>Section</t>
  </si>
  <si>
    <t>Ad Unit</t>
  </si>
  <si>
    <t>Creative</t>
  </si>
  <si>
    <t>Ad Size</t>
  </si>
  <si>
    <t>Targeting</t>
  </si>
  <si>
    <t>Deal Type</t>
  </si>
  <si>
    <t>Amazon/Rufus</t>
  </si>
  <si>
    <t>Personalization</t>
  </si>
  <si>
    <t>DV</t>
  </si>
  <si>
    <t>No of Days</t>
  </si>
  <si>
    <t>Est. Imp</t>
  </si>
  <si>
    <t>CTR%</t>
  </si>
  <si>
    <t>VTR</t>
  </si>
  <si>
    <t>Est. Clicks</t>
  </si>
  <si>
    <t>Avg Freq</t>
  </si>
  <si>
    <t>Net Rate</t>
  </si>
  <si>
    <t>Total Net Cost</t>
  </si>
  <si>
    <t>eCPM</t>
  </si>
  <si>
    <t>eCPC</t>
  </si>
  <si>
    <t>Universe</t>
  </si>
  <si>
    <t>Start Date</t>
  </si>
  <si>
    <t>End Date</t>
  </si>
  <si>
    <t>Delhi+NCR</t>
  </si>
  <si>
    <t>Entertainment</t>
  </si>
  <si>
    <t>Youtube</t>
  </si>
  <si>
    <t>CTV</t>
  </si>
  <si>
    <t>Instream</t>
  </si>
  <si>
    <t>Video Ad</t>
  </si>
  <si>
    <t>Thematic Female+Male</t>
  </si>
  <si>
    <t>30 Sec</t>
  </si>
  <si>
    <t>Cost per view</t>
  </si>
  <si>
    <t>Rufus</t>
  </si>
  <si>
    <t>N</t>
  </si>
  <si>
    <t>Y</t>
  </si>
  <si>
    <t>Desktop+Mobile</t>
  </si>
  <si>
    <t>Thematic Female</t>
  </si>
  <si>
    <t>Thematic Male</t>
  </si>
  <si>
    <t>Social</t>
  </si>
  <si>
    <t>PMP</t>
  </si>
  <si>
    <t>Midroll (non-skip)</t>
  </si>
  <si>
    <t>Cost Per Impression</t>
  </si>
  <si>
    <t>Delhi+NCR Launch</t>
  </si>
  <si>
    <t>Non-skip Instream</t>
  </si>
  <si>
    <t>15 Sec</t>
  </si>
  <si>
    <t>Cost Per Impression (Target Freq)</t>
  </si>
  <si>
    <t>6 Sec</t>
  </si>
  <si>
    <t>Mobile</t>
  </si>
  <si>
    <t>Cost Per Click</t>
  </si>
  <si>
    <t>Delhi+NCR Sustenance</t>
  </si>
  <si>
    <t>Delhi+NCR Total</t>
  </si>
  <si>
    <t>Mumbai+Thane</t>
  </si>
  <si>
    <t>Mumbai+Thane Launch</t>
  </si>
  <si>
    <t>Mumbai+Thane Sustenance</t>
  </si>
  <si>
    <t>Mumbai+Thane Total</t>
  </si>
  <si>
    <t>Bangalore</t>
  </si>
  <si>
    <t>Bangalore Launch</t>
  </si>
  <si>
    <t>Bangalore Sustenance</t>
  </si>
  <si>
    <t>Bangalore Total</t>
  </si>
  <si>
    <t>Hyderabad</t>
  </si>
  <si>
    <t>Hyderabad Launch</t>
  </si>
  <si>
    <t>Hyderabad Sustenance</t>
  </si>
  <si>
    <t>Hyderabad Total</t>
  </si>
  <si>
    <t>Chennai+Kanchipuram</t>
  </si>
  <si>
    <t>Chennai+Kanchipuram Launch</t>
  </si>
  <si>
    <t>Chennai+Kanchipuram Sustenance</t>
  </si>
  <si>
    <t>Chennai+Kanchipuram Total</t>
  </si>
  <si>
    <t>Kolkata+NTP,STP,Howrah</t>
  </si>
  <si>
    <t>Kolkata+NTP,STP,Howrah Launch</t>
  </si>
  <si>
    <t>Kolkata+NTP,STP,Howrah Sustenance</t>
  </si>
  <si>
    <t>Kolkata+NTP,STP,Howrah Total</t>
  </si>
  <si>
    <t>T6 Total</t>
  </si>
  <si>
    <t>ROT17</t>
  </si>
  <si>
    <t>ROT17 Launch</t>
  </si>
  <si>
    <t>ROT17 Sustenance</t>
  </si>
  <si>
    <t>ROT17 Total</t>
  </si>
  <si>
    <t>ROT57</t>
  </si>
  <si>
    <t>ROT57 Launch</t>
  </si>
  <si>
    <t>ROT57 Sustenance</t>
  </si>
  <si>
    <t>ROT57 Total</t>
  </si>
  <si>
    <t>Core Total</t>
  </si>
  <si>
    <t>Phase</t>
  </si>
  <si>
    <t>Geo</t>
  </si>
  <si>
    <t>Platform</t>
  </si>
  <si>
    <t>Launch</t>
  </si>
  <si>
    <t>T6+ROT17</t>
  </si>
  <si>
    <t>Desktop+Mobile+CTV</t>
  </si>
  <si>
    <t>T6</t>
  </si>
  <si>
    <t>Hotstar</t>
  </si>
  <si>
    <t>Presence on Top Movies + Shows</t>
  </si>
  <si>
    <t>Billboard</t>
  </si>
  <si>
    <t>NA</t>
  </si>
  <si>
    <t>Impact Total</t>
  </si>
  <si>
    <t>Concepts</t>
  </si>
  <si>
    <t>15 sec</t>
  </si>
  <si>
    <t>Utility</t>
  </si>
  <si>
    <t>CTR%/ER%</t>
  </si>
  <si>
    <t>Est. Clicks/Eng</t>
  </si>
  <si>
    <t>Cross selling + Format innovations</t>
  </si>
  <si>
    <t>T57</t>
  </si>
  <si>
    <t>Network</t>
  </si>
  <si>
    <t>Mediakart</t>
  </si>
  <si>
    <t>In Article (mweb)</t>
  </si>
  <si>
    <t>In-Image AD</t>
  </si>
  <si>
    <t>Rich media GIFs</t>
  </si>
  <si>
    <t>Mcanvas</t>
  </si>
  <si>
    <t xml:space="preserve">Interactive Rich-media </t>
  </si>
  <si>
    <t>Cost Per Engagement</t>
  </si>
  <si>
    <t>Huella</t>
  </si>
  <si>
    <t>Duration</t>
  </si>
  <si>
    <t>Buy Type</t>
  </si>
  <si>
    <t>Unit Rate</t>
  </si>
  <si>
    <t>Description</t>
  </si>
  <si>
    <t>Est Reach</t>
  </si>
  <si>
    <t>Est Impressions</t>
  </si>
  <si>
    <t>Cost</t>
  </si>
  <si>
    <t>MMT</t>
  </si>
  <si>
    <t>Fixed</t>
  </si>
  <si>
    <t>Go MMT</t>
  </si>
  <si>
    <t>Display ads</t>
  </si>
  <si>
    <t>CPM</t>
  </si>
  <si>
    <t>Geo: Metro cities MF:25-60; MMT Black users, frequent National/International travellers, National/international frequent flyers, International Hotel bookers, domestic 4 star and above hotel bookers, holiday bookers</t>
  </si>
  <si>
    <t>Curating of Blogs/ content on style guides for travel destiations tips, holiday dressing/vacation fashion etc</t>
  </si>
  <si>
    <t>80,000 page views total</t>
  </si>
  <si>
    <t>Social media dark post</t>
  </si>
  <si>
    <t>Dark posts on FB &amp; Instagram</t>
  </si>
  <si>
    <t>Email</t>
  </si>
  <si>
    <t xml:space="preserve">Emailer send to ppl who have booked </t>
  </si>
  <si>
    <t>Users who have booked flight, hotel or holiday</t>
  </si>
  <si>
    <t>Hotel Voucher</t>
  </si>
  <si>
    <t>Clickable banner on hotel booking pdf</t>
  </si>
  <si>
    <t>Flight voucher</t>
  </si>
  <si>
    <t>Clickable banner on Flight booking pdf</t>
  </si>
  <si>
    <t>Top 10 travel destinations</t>
  </si>
  <si>
    <t xml:space="preserve">Sr. No. </t>
  </si>
  <si>
    <t>Domestic</t>
  </si>
  <si>
    <t>International</t>
  </si>
  <si>
    <t>Delhi</t>
  </si>
  <si>
    <t>Thailand</t>
  </si>
  <si>
    <t>UAE</t>
  </si>
  <si>
    <t>Mumbai</t>
  </si>
  <si>
    <t>Singapore</t>
  </si>
  <si>
    <t>Sri Lanka</t>
  </si>
  <si>
    <t>Chennai</t>
  </si>
  <si>
    <t>Malaysia</t>
  </si>
  <si>
    <t>Kolkata</t>
  </si>
  <si>
    <t>US</t>
  </si>
  <si>
    <t>Pune</t>
  </si>
  <si>
    <t>Maldives</t>
  </si>
  <si>
    <t>Ahmedabad</t>
  </si>
  <si>
    <t>Vietnam</t>
  </si>
  <si>
    <t>Goa</t>
  </si>
  <si>
    <t>Nepal</t>
  </si>
  <si>
    <t>Lucknow</t>
  </si>
  <si>
    <t>Canada</t>
  </si>
  <si>
    <t>Touchpoint</t>
  </si>
  <si>
    <t>Partner</t>
  </si>
  <si>
    <t>Objective</t>
  </si>
  <si>
    <t>Idea</t>
  </si>
  <si>
    <t>Placements</t>
  </si>
  <si>
    <t>Deliverables</t>
  </si>
  <si>
    <t>Scale</t>
  </si>
  <si>
    <t>Social + 
Entertainment</t>
  </si>
  <si>
    <t>Google + (TBD for Soundtrack)</t>
  </si>
  <si>
    <t>Awareness + 
Excitement</t>
  </si>
  <si>
    <t>"Har Match Fashionable" Challenge:
Aditya Roy Kapoor and Ananya Pandey to create their favourite IPL team-inpired outfits. Inspiration to be taken from  team's color, logo, spirit, and culture of the team's region(state). Trend will be boosted by 10 top fashion + lifestyle creators to increase exposure. The brand films's background music to be remixed by renowned artist (e.g. Yashraj Mukhate) help create trend go viral as well as build brand recall. This will help communicate: Brand proposition, IPL association, Aditya Roy Kapoor's launch, as well as everyday fashion ideas for across IPL matches.</t>
  </si>
  <si>
    <t>YT Shorts, IG reels, FB, X</t>
  </si>
  <si>
    <t>10 shorts from YT creators</t>
  </si>
  <si>
    <t>10-12 Mn views</t>
  </si>
  <si>
    <t>~1.5 Cr. incl. celeb cost
(60 lacs for creators, 40 lacs for tune creation, 50 lacs for macro and micro influencers)</t>
  </si>
  <si>
    <t>JioCinema</t>
  </si>
  <si>
    <t>Vignette with Ananya Panday &amp; Aditya Roy Kapoor: there's a twist in this stylish tale—what if we get to witness Ananya rocking her new looks for different occasions, accompanied by a surprise appearance from her rumored beau, Aditya Roy Kapoor?The excitement is palpable!
Format: Here we are looking at creating an interesting, yet fun communication vignette of a duration of 1.5-2mins, along with Ananya Panday and Aditya Roy Kapoor which will help us create awareness focusing on the brand messaging “Har Pal Fashionable” &amp; “Everyday Fashion”.</t>
  </si>
  <si>
    <t>JioCinema + IG, X, FB, YT</t>
  </si>
  <si>
    <t>1.5 to 2 mins videos</t>
  </si>
  <si>
    <t>Celebrity Led Series: 4 to 5-part series that brings together popular influencers or stylists to curate bespoke looks for celebrities based on their unique preferences, concerns, and specific requests. Each episode will unfold as a delightful exchange between the host/stylist and the celebrity, offering viewers an insider's glimpse into the world of Amazon Fashion.</t>
  </si>
  <si>
    <t>ZEE5</t>
  </si>
  <si>
    <t>Awareness + 
Engagement</t>
  </si>
  <si>
    <t>ZEE Artists Get Fashion Advice From Aditya Roy Kapur &amp; Ananya Panday: It’s a Zoom Call Screen, you see Angoori from Bhabiji Ghar Par Hai accept the invite and join the video call. Just as she wonders who this ARK &amp; AP is, Aditya Kapur and Ananya Panday pop up on the screen! And so it begins… You have an interesting interaction between Kanpur ki Angoori bhabhi and Amazon’s all-new stylist duo!
Each video ends with a branded end slate that shows off everything in our artists’ cart as our artists come on the screen with a brand CTA –”We’ve got the best of the fashion styles from Amazon Fashion, have you?</t>
  </si>
  <si>
    <t>8 videos
40-50 secs</t>
  </si>
  <si>
    <t>~80Mn impr. (incl. amplification)
~5-8Mn views</t>
  </si>
  <si>
    <t>~50 lacs</t>
  </si>
  <si>
    <t>Targeting Parameters</t>
  </si>
  <si>
    <t>Facebook</t>
  </si>
  <si>
    <t>Youtube + PMP</t>
  </si>
  <si>
    <t>Geos</t>
  </si>
  <si>
    <t>Meta</t>
  </si>
  <si>
    <t>YT (D+M)</t>
  </si>
  <si>
    <t>YT (CTV)</t>
  </si>
  <si>
    <t>PMP OTT (M)</t>
  </si>
  <si>
    <t>PMP OTT (CTV)</t>
  </si>
  <si>
    <t>Programmatic Display</t>
  </si>
  <si>
    <t>Prime + Fashion Uni.</t>
  </si>
  <si>
    <t>Prime + Fashion YT (D+M)</t>
  </si>
  <si>
    <t>Prime + Fashion YT CTV</t>
  </si>
  <si>
    <t>T6 total</t>
  </si>
  <si>
    <t>T57 Cities List</t>
  </si>
  <si>
    <t>Cluster</t>
  </si>
  <si>
    <t>States</t>
  </si>
  <si>
    <t>City</t>
  </si>
  <si>
    <t>Maharashtra</t>
  </si>
  <si>
    <t>Karanataka</t>
  </si>
  <si>
    <t>Telangana</t>
  </si>
  <si>
    <t>Tamil Nadu</t>
  </si>
  <si>
    <t>West Bengal</t>
  </si>
  <si>
    <t xml:space="preserve">Rajasthan </t>
  </si>
  <si>
    <t>Jaipur</t>
  </si>
  <si>
    <t>Gujarat</t>
  </si>
  <si>
    <t>UP</t>
  </si>
  <si>
    <t>Bihar</t>
  </si>
  <si>
    <t>Patna</t>
  </si>
  <si>
    <t>Coimbatore</t>
  </si>
  <si>
    <t>Kerala</t>
  </si>
  <si>
    <t>Kochi</t>
  </si>
  <si>
    <t>Surat</t>
  </si>
  <si>
    <t>AP</t>
  </si>
  <si>
    <t>Vijayawada</t>
  </si>
  <si>
    <t>Visakhapatnam</t>
  </si>
  <si>
    <t>Guntur</t>
  </si>
  <si>
    <t>Nagpur</t>
  </si>
  <si>
    <t>Tiruvallur</t>
  </si>
  <si>
    <t>Thiruvananthapuram</t>
  </si>
  <si>
    <t>Raigarh(MH)</t>
  </si>
  <si>
    <t>UK</t>
  </si>
  <si>
    <t>Dehradun</t>
  </si>
  <si>
    <t>Odisha</t>
  </si>
  <si>
    <t>Khorda</t>
  </si>
  <si>
    <t>Vadodara</t>
  </si>
  <si>
    <t>MP</t>
  </si>
  <si>
    <t>Bhopal</t>
  </si>
  <si>
    <t>Punjab</t>
  </si>
  <si>
    <t>Ludhiana</t>
  </si>
  <si>
    <t xml:space="preserve">Assam </t>
  </si>
  <si>
    <t>Kamrup</t>
  </si>
  <si>
    <t>Kanpur</t>
  </si>
  <si>
    <t>EastGodavari</t>
  </si>
  <si>
    <t>Nashik</t>
  </si>
  <si>
    <t>Indore</t>
  </si>
  <si>
    <t>Thrissur</t>
  </si>
  <si>
    <t>JNK</t>
  </si>
  <si>
    <t>Jammu</t>
  </si>
  <si>
    <t>Jharkhand</t>
  </si>
  <si>
    <t>Ranchi</t>
  </si>
  <si>
    <t>Bardhaman</t>
  </si>
  <si>
    <t>Chittoor</t>
  </si>
  <si>
    <t>Allahabad</t>
  </si>
  <si>
    <t>Patiala</t>
  </si>
  <si>
    <t>Varanasi</t>
  </si>
  <si>
    <t>WestGodavari</t>
  </si>
  <si>
    <t>Mangalore</t>
  </si>
  <si>
    <t>Nellore</t>
  </si>
  <si>
    <t>Mysore</t>
  </si>
  <si>
    <t>Kozhikode</t>
  </si>
  <si>
    <t>Rajkot</t>
  </si>
  <si>
    <t>Jodhpur</t>
  </si>
  <si>
    <t>Medak</t>
  </si>
  <si>
    <t>Amritsar</t>
  </si>
  <si>
    <t>Warangal</t>
  </si>
  <si>
    <t>Jalandhar</t>
  </si>
  <si>
    <t>Meerut</t>
  </si>
  <si>
    <t>Rupnagar</t>
  </si>
  <si>
    <t>Hooghly</t>
  </si>
  <si>
    <t>Agra</t>
  </si>
  <si>
    <t>Gorakhpur</t>
  </si>
  <si>
    <t>Madurai</t>
  </si>
  <si>
    <t>Travel</t>
  </si>
  <si>
    <t>Sports</t>
  </si>
  <si>
    <t>Games</t>
  </si>
  <si>
    <t>Spotify</t>
  </si>
  <si>
    <t>CTV 30 sec Non-skip instream - 18-44 MF, YT Select: Beauty and Fashion - Estimations</t>
  </si>
  <si>
    <t>Budget</t>
  </si>
  <si>
    <t>CPMs</t>
  </si>
  <si>
    <t>Pan India</t>
  </si>
  <si>
    <t>8 weeks</t>
  </si>
  <si>
    <t>4 weeks</t>
  </si>
  <si>
    <t>90 days</t>
  </si>
  <si>
    <t>Aditya Look + Shorties</t>
  </si>
  <si>
    <t>Ananya Look + Shorties</t>
  </si>
  <si>
    <t>W9</t>
  </si>
  <si>
    <t>W10</t>
  </si>
  <si>
    <t>*Display ads to support only DCM. No DV trackers</t>
  </si>
  <si>
    <t>25+ MF; combined men's &amp; women's fashion</t>
  </si>
  <si>
    <t>25+ MF; Women's Fashion</t>
  </si>
  <si>
    <t>25+ MF; Men's Fashion</t>
  </si>
  <si>
    <t>25+ MF</t>
  </si>
  <si>
    <t>25+ MF, interested in Ananya Panday OR Aditya Roy Kapur</t>
  </si>
  <si>
    <t>25+ MF, 25K+ Device users + Contextual: Users consuming "Apparel and Lifestyle" related content on the internet.
Targeting Keywords: Jeans, Dresses, Jewellery, Shirts, Bags, Watch, Sunglasses, Shoes, Heels, Earrings, Rings, T-shirts, Gym Wear, Ethnic Clothes, Indo-Western Clothes, etc.
Our AI will detect all the relevant articles and images and place the cross selling and most matchable products based on the interest of the user.</t>
  </si>
  <si>
    <t>25+ MF, 25K+ Device users + Contextual: Aditya Roy Kapoor and Ananya Pandey" Our AI will detect all the articles and images related to the brand ambassador and run the ad over their images or articles</t>
  </si>
  <si>
    <t>25+ MF, 25K+ Device users, Fashion shoppers</t>
  </si>
  <si>
    <t>Weightage score &gt;&gt;</t>
  </si>
  <si>
    <t>Media</t>
  </si>
  <si>
    <t>Total Unique Visitors (000)</t>
  </si>
  <si>
    <t>Composition Index UV</t>
  </si>
  <si>
    <t>Average Minutes per Visit</t>
  </si>
  <si>
    <t>Reach ix</t>
  </si>
  <si>
    <t>Affinity Ix</t>
  </si>
  <si>
    <t>Stickiness</t>
  </si>
  <si>
    <t>Wgt. Ix</t>
  </si>
  <si>
    <t>Social Media</t>
  </si>
  <si>
    <t>General News</t>
  </si>
  <si>
    <t>Lifestyles - Food</t>
  </si>
  <si>
    <t>Health - Information</t>
  </si>
  <si>
    <t>Instant Messengers</t>
  </si>
  <si>
    <t>Classifieds</t>
  </si>
  <si>
    <t>Entertainment - News</t>
  </si>
  <si>
    <t>Travel - Information</t>
  </si>
  <si>
    <t>Film &amp; Show Information</t>
  </si>
  <si>
    <t>Payments</t>
  </si>
  <si>
    <t>Local News</t>
  </si>
  <si>
    <t>Business/Finance News</t>
  </si>
  <si>
    <t>Entertainment - Music</t>
  </si>
  <si>
    <t>Technology News</t>
  </si>
  <si>
    <t>Financial Services &amp; Advice</t>
  </si>
  <si>
    <r>
      <rPr>
        <b/>
        <u/>
        <sz val="9"/>
        <color theme="1"/>
        <rFont val="Calibri"/>
        <family val="2"/>
        <scheme val="minor"/>
      </rPr>
      <t>Women's Fashion:</t>
    </r>
    <r>
      <rPr>
        <sz val="9"/>
        <color theme="1"/>
        <rFont val="Calibri"/>
        <family val="2"/>
        <scheme val="minor"/>
      </rPr>
      <t xml:space="preserve"> Age and Gender : 25+ years, Male and Female
People who match:
Behaviors &gt; Engaged Shoppers
Interests &gt; Additional interests &gt; Women's clothing (apparel), Clothing (apparel), Fashion accessories (accessories), Fashion blog (websites), Formal wear (apparel), Jeans (apparel), Outerwear (apparel), Street fashion (apparel), Streetwear (apparel), Boutiques (retailers), Dresses (apparel), Blouse (apparel), Leggings (apparel), Lingerie (apparel), Party dress (apparel), Shorts (apparel), Skirt (apparel), Slim-fit pants (apparel), Sports bra (sporting goods), Swimsuit (apparel), Tights (apparel)
And must also match: Behaviours: People in India who prefer mid- and high-value goods</t>
    </r>
  </si>
  <si>
    <r>
      <rPr>
        <b/>
        <u/>
        <sz val="9"/>
        <color theme="1"/>
        <rFont val="Calibri"/>
        <family val="2"/>
        <scheme val="minor"/>
      </rPr>
      <t>Men's Fashion:</t>
    </r>
    <r>
      <rPr>
        <sz val="9"/>
        <color theme="1"/>
        <rFont val="Calibri"/>
        <family val="2"/>
        <scheme val="minor"/>
      </rPr>
      <t xml:space="preserve"> Age and Gender : 25+ years, Male and Female
People who match:
Behaviors &gt; Engaged Shoppers
Interests &gt; Additional interests &gt; Men's clothing (apparel), Clothing (apparel), Coat (clothing), Fashion accessories (accessories), Fashion blog (websites), Formal wear (apparel), Hip hop fashion (apparel), Hoodie (apparel) Jacket (apparel), Jeans (apparel), Outerwear (apparel), Polo shirt (apparel), Shirt (apparel), Street fashion (apparel), Streetwear (apparel), Suit (clothing), Trousers (apparel), 
And must also match: Behaviours: People in India who prefer mid- and high-value goods</t>
    </r>
  </si>
  <si>
    <r>
      <rPr>
        <b/>
        <u/>
        <sz val="9"/>
        <color theme="1"/>
        <rFont val="Calibri"/>
        <family val="2"/>
        <scheme val="minor"/>
      </rPr>
      <t>Women's Fashion:</t>
    </r>
    <r>
      <rPr>
        <sz val="9"/>
        <color theme="1"/>
        <rFont val="Calibri"/>
        <family val="2"/>
        <scheme val="minor"/>
      </rPr>
      <t xml:space="preserve"> Age and Gender : 25+ years, Male and Female
Affinity: Beauty mavens, freqently visits salons, Fashionistas, Women's Media Fans
In-market: Women's apparel, Active wear, handbags, Fine Jewellery, Lingerie, swimwear, Formal Wear</t>
    </r>
  </si>
  <si>
    <r>
      <rPr>
        <b/>
        <u/>
        <sz val="9"/>
        <color theme="1"/>
        <rFont val="Calibri"/>
        <family val="2"/>
        <scheme val="minor"/>
      </rPr>
      <t>Men's Fashion:</t>
    </r>
    <r>
      <rPr>
        <sz val="9"/>
        <color theme="1"/>
        <rFont val="Calibri"/>
        <family val="2"/>
        <scheme val="minor"/>
      </rPr>
      <t xml:space="preserve"> Age and Gender : 25+ years, Male and Female
Affinity: Fashionistas, Men's Media Fans
In-market: Men's Apparel, Formal Wear, Suits &amp; Business Attire, Activewear, Wallets, Briefcases &amp; Leather Goods, outerwear, socks, running enthusiasts, motorcycle enthusiasts, weightlifters, cycling enthusiasts</t>
    </r>
  </si>
  <si>
    <t>Audience: Age 25-44, Fashion Shoppers &amp; high to mid Income group</t>
  </si>
  <si>
    <t>% Reach</t>
  </si>
  <si>
    <t>YOUTUBE</t>
  </si>
  <si>
    <t>HOTSTAR</t>
  </si>
  <si>
    <t>JIOCINEMA</t>
  </si>
  <si>
    <t>SonyLiv</t>
  </si>
  <si>
    <t>MX Player</t>
  </si>
  <si>
    <t>WhatsApp</t>
  </si>
  <si>
    <t>FACEBOOK.COM</t>
  </si>
  <si>
    <t>INSTAGRAM.COM</t>
  </si>
  <si>
    <t>ShareChat</t>
  </si>
  <si>
    <t>TWITTER.COM</t>
  </si>
  <si>
    <t>Linkedin</t>
  </si>
  <si>
    <t>Snapchat, Inc</t>
  </si>
  <si>
    <t>Moj - Short Video App (Mobile App)</t>
  </si>
  <si>
    <t>PINTEREST.COM</t>
  </si>
  <si>
    <t>Hipi - Indian Short Video App (Mobile App)</t>
  </si>
  <si>
    <t>Reddit</t>
  </si>
  <si>
    <t>TRUECALLER.COM</t>
  </si>
  <si>
    <t>PAYTM.COM</t>
  </si>
  <si>
    <t>PHONEPE.COM</t>
  </si>
  <si>
    <t>Bing</t>
  </si>
  <si>
    <t>QUORA.COM</t>
  </si>
  <si>
    <t>GLANCE.COM</t>
  </si>
  <si>
    <t>IRCTC.CO.IN</t>
  </si>
  <si>
    <t>MakeMyTrip</t>
  </si>
  <si>
    <t>Zomato</t>
  </si>
  <si>
    <t>MyJio (Mobile App)</t>
  </si>
  <si>
    <t>REDBUS.IN</t>
  </si>
  <si>
    <t>GOIBIBO.COM</t>
  </si>
  <si>
    <t>Uber</t>
  </si>
  <si>
    <t>BOOKMYSHOW.COM</t>
  </si>
  <si>
    <t>T10</t>
  </si>
  <si>
    <t>Cross selling + Format innovations Total</t>
  </si>
  <si>
    <t>TRO17</t>
  </si>
  <si>
    <t>IN_Sponsored Sessions_Mobile_Rotational</t>
  </si>
  <si>
    <t>25+ MF, 1. Audience Segments:Festival Goers, Health and Wellness / Healthy Living or ,Millennials, Outdoor Enthusiasts, Tastemakers/Explorers, Socialites/Partiers, Travellers
2. Real Time Moment: Getting ready, Party, Chill, Moody, Travel, Road Trip, Summer</t>
  </si>
  <si>
    <t>y</t>
  </si>
  <si>
    <t>Sports IPL</t>
  </si>
  <si>
    <t>30s Video w/Static Banner</t>
  </si>
  <si>
    <t>Language</t>
  </si>
  <si>
    <t>English + Hindi</t>
  </si>
  <si>
    <t>30s</t>
  </si>
  <si>
    <t>30sec</t>
  </si>
  <si>
    <t>15sec</t>
  </si>
  <si>
    <t>6sec</t>
  </si>
  <si>
    <t>Inv.</t>
  </si>
  <si>
    <t>Impr.</t>
  </si>
  <si>
    <t>15sec (Prime)</t>
  </si>
  <si>
    <t>Inv.%</t>
  </si>
  <si>
    <t>Impr.%</t>
  </si>
  <si>
    <t>Match</t>
  </si>
  <si>
    <t>IPL schedule x Deliverables by Matches</t>
  </si>
  <si>
    <t>#</t>
  </si>
  <si>
    <t>RR X RCB</t>
  </si>
  <si>
    <t>Date</t>
  </si>
  <si>
    <t>MI X DC</t>
  </si>
  <si>
    <t>MI X RCB</t>
  </si>
  <si>
    <t>MI X CSK</t>
  </si>
  <si>
    <t>Top 10 cities (Mum, Del+NCR, Che, Kol, Blr, Hyd, Pune, Ahmd, Kochi, Lucknow)</t>
  </si>
  <si>
    <t>Instant Reserve (Skippable Instream)</t>
  </si>
  <si>
    <t>ananya pandey kho gaye hum kahan saree,</t>
  </si>
  <si>
    <t>ananya pandey netflix movie,</t>
  </si>
  <si>
    <t>ananya panday instagram,</t>
  </si>
  <si>
    <t>ananya panday photos,</t>
  </si>
  <si>
    <t>ananya panday saree,</t>
  </si>
  <si>
    <t>aditya roy kapur and ananya pandey,</t>
  </si>
  <si>
    <t>ananya panday brother,</t>
  </si>
  <si>
    <t>ananya pandey bf aditya roy kapoor,</t>
  </si>
  <si>
    <t>ananya aditya,</t>
  </si>
  <si>
    <t>ananya pandey father,</t>
  </si>
  <si>
    <t>ananya pandey sister,</t>
  </si>
  <si>
    <t>ananya pandey x * *,</t>
  </si>
  <si>
    <t>ananya pandey boyfriend,</t>
  </si>
  <si>
    <t>ananya pandey height,</t>
  </si>
  <si>
    <t>ananya pandey and aditya roy kapoor,</t>
  </si>
  <si>
    <t>ananya and aditya,</t>
  </si>
  <si>
    <t>age ananya pandey,</t>
  </si>
  <si>
    <t>ananya pandey as ahana singh,</t>
  </si>
  <si>
    <t>ananya pandey relationships,</t>
  </si>
  <si>
    <t>ananya heights,</t>
  </si>
  <si>
    <t>ananya pandey with aditya roy kapoor,</t>
  </si>
  <si>
    <t>ananya,</t>
  </si>
  <si>
    <t>ananya pandey and aditya roy kapoor movie,</t>
  </si>
  <si>
    <t>instagram ananya panday,</t>
  </si>
  <si>
    <t>ananya pandey blue saree,</t>
  </si>
  <si>
    <t>aditya roy kapur ananya pandey,</t>
  </si>
  <si>
    <t>aditya roy kapur and ananya,</t>
  </si>
  <si>
    <t>aditya ananya,</t>
  </si>
  <si>
    <t>ananya pandey age,</t>
  </si>
  <si>
    <t>ananya pandey cousin,</t>
  </si>
  <si>
    <t>ananya pandey saree in kho gaye hum kahan,</t>
  </si>
  <si>
    <t>ananya pandey hot saree,</t>
  </si>
  <si>
    <t>ananya panday hot photos,</t>
  </si>
  <si>
    <t>ananya pandey image,</t>
  </si>
  <si>
    <t>ananya pandey and aditya roy,</t>
  </si>
  <si>
    <t>ananya panday new movie,</t>
  </si>
  <si>
    <t>ananya pandey boyfriend name list,</t>
  </si>
  <si>
    <t>ananya from best of luck nikki,</t>
  </si>
  <si>
    <t>is ananya married,</t>
  </si>
  <si>
    <t>ananya panday new movie netflix,</t>
  </si>
  <si>
    <t>ananya pandey weight and height,</t>
  </si>
  <si>
    <t>aditya and ananya,</t>
  </si>
  <si>
    <t>netflix ananya pandey,</t>
  </si>
  <si>
    <t>ananya pandey paris fashion,</t>
  </si>
  <si>
    <t>ananya kapoor age,</t>
  </si>
  <si>
    <t>ananya pande,</t>
  </si>
  <si>
    <t>ananya roy kapoor,</t>
  </si>
  <si>
    <t>instagram ananya pandey saree,</t>
  </si>
  <si>
    <t>ananya pandey in kho gaye hum kahan,</t>
  </si>
  <si>
    <t>ananya pandey saree,</t>
  </si>
  <si>
    <t>aditya roy kapur and ananya panday,</t>
  </si>
  <si>
    <t>ananya pandey height in feet,</t>
  </si>
  <si>
    <t>ananya pandey paris,</t>
  </si>
  <si>
    <t>ananya pandey movies,</t>
  </si>
  <si>
    <t>ananya pandey new movie,</t>
  </si>
  <si>
    <t>ananya pandey new netflix movie,</t>
  </si>
  <si>
    <t>ananya pandey boyfriend name 2023,</t>
  </si>
  <si>
    <t>ananya panday kho gaye hum kahan,</t>
  </si>
  <si>
    <t>ananya pandey,</t>
  </si>
  <si>
    <t>ananya pandey hot in kho gaye hum kahan,</t>
  </si>
  <si>
    <t>ananya pandey new home,</t>
  </si>
  <si>
    <t>ananya panday and aditya roy kapur,</t>
  </si>
  <si>
    <t>kho gaye hum kahan ananya pandey saree,</t>
  </si>
  <si>
    <t>ananya pandey red saree kho gaye hum kahan,</t>
  </si>
  <si>
    <t>aditya roy kapur and ananya pandey movie,</t>
  </si>
  <si>
    <t>how old is aditya roy kapoor,</t>
  </si>
  <si>
    <t>who is aditya roy kapoor,</t>
  </si>
  <si>
    <t>aditya roy kapoor height in feet,</t>
  </si>
  <si>
    <t>aditya roy kapur age,</t>
  </si>
  <si>
    <t>aditya kapoor age,</t>
  </si>
  <si>
    <t>aditya roy kapoor biography,</t>
  </si>
  <si>
    <t>aditya roy kapoor wife,</t>
  </si>
  <si>
    <t>aditya roy kapoor long hair,</t>
  </si>
  <si>
    <t>aditya roy kapur net worth,</t>
  </si>
  <si>
    <t>aditya roy kapoor young,</t>
  </si>
  <si>
    <t>aditya roy kapoor films,</t>
  </si>
  <si>
    <t>aditya roy age,</t>
  </si>
  <si>
    <t>kartik aaryan and aditya roy kapoor,</t>
  </si>
  <si>
    <t>aashiqui 2 aditya roy kapoor look,</t>
  </si>
  <si>
    <t>aditya rai,</t>
  </si>
  <si>
    <t>aditya roy kapur ex wife,</t>
  </si>
  <si>
    <t>aditya roy kapoor movies,</t>
  </si>
  <si>
    <t>shraddha and aditya movies,</t>
  </si>
  <si>
    <t>aditya roy kapoor age,</t>
  </si>
  <si>
    <t>shraddha kapoor and aditya roy,</t>
  </si>
  <si>
    <t>aditya roy kapoor images aashiqui 2,</t>
  </si>
  <si>
    <t>aditya roy kapoor,</t>
  </si>
  <si>
    <t>aditya roy kapoor all movies,</t>
  </si>
  <si>
    <t>aditya roy kapoor net worth,</t>
  </si>
  <si>
    <t>aditya roy,</t>
  </si>
  <si>
    <t>aditya roy kapur movies list,</t>
  </si>
  <si>
    <t>IPL shoulder content (Cricket News and reviews, Crictubers)</t>
  </si>
  <si>
    <t>Interested in Ananya Panday OR Aditya Roy Kapur</t>
  </si>
  <si>
    <t>Cricket News &amp; Reviews (India)</t>
  </si>
  <si>
    <t>Channel</t>
  </si>
  <si>
    <t>Channel title</t>
  </si>
  <si>
    <t>UCPckg9pijh0KjJm4X0Xhviw</t>
  </si>
  <si>
    <t>News24 Sports</t>
  </si>
  <si>
    <t>UCVXCo0W9pk2dDkEBNLhTt7A</t>
  </si>
  <si>
    <t>Sports Tak</t>
  </si>
  <si>
    <t>UCBzAuf4q6NKG7CDXGRMb6Kw</t>
  </si>
  <si>
    <t>CricTalks Live Coverage</t>
  </si>
  <si>
    <t>UCJrpiw6dS09Zx2Z8d9AFWDA</t>
  </si>
  <si>
    <t>CricTalks</t>
  </si>
  <si>
    <t>UCmcF0D7ZYX-zwtKousZZcoA</t>
  </si>
  <si>
    <t>CricTalks2</t>
  </si>
  <si>
    <t>UCtvDbLquaT511bZ_qUESrkA</t>
  </si>
  <si>
    <t>RJ Raunac No-Po</t>
  </si>
  <si>
    <t>UC2h1GsM_Ls1Cg6M-Mk42UYQ</t>
  </si>
  <si>
    <t>Sports Edge Cricket</t>
  </si>
  <si>
    <t>UCRVz3CuLw7GCQSOIibW1w3w</t>
  </si>
  <si>
    <t>Sports Updates By Chandan 1</t>
  </si>
  <si>
    <t>UCrkM7vYPX99HGbusAlAw3TQ</t>
  </si>
  <si>
    <t>BPC Media</t>
  </si>
  <si>
    <t>UCvdA3riZksba3Mji64PaNQw</t>
  </si>
  <si>
    <t>NTV Sports</t>
  </si>
  <si>
    <t>UCFAMNqYg1cU-rCDeGcrXd6Q</t>
  </si>
  <si>
    <t>R.S News</t>
  </si>
  <si>
    <t>UCvYkVu-qtEqIln1v4wOoOwQ</t>
  </si>
  <si>
    <t>Cric7 Videos</t>
  </si>
  <si>
    <t>UCujuVKmt_utAQZJghxlRMIQ</t>
  </si>
  <si>
    <t>ESPNcricinfo</t>
  </si>
  <si>
    <t>UCEjRQ7qrHalnvbC6fqEjprQ</t>
  </si>
  <si>
    <t>Sports Hour</t>
  </si>
  <si>
    <t>UCdEtpnaEyqVJ3p5Xm3OqMEg</t>
  </si>
  <si>
    <t>Sports Updates by Chandan</t>
  </si>
  <si>
    <t>UCy0sA7mg4Kq-WK1ZBf3CHNw</t>
  </si>
  <si>
    <t>IND News</t>
  </si>
  <si>
    <t>UCSRQXk5yErn4e14vN76upOw</t>
  </si>
  <si>
    <t>Cricbuzz</t>
  </si>
  <si>
    <t>UC07CHp5ikd-AyafR4J2LWkA</t>
  </si>
  <si>
    <t>MY Cricket Production</t>
  </si>
  <si>
    <t>UCK9Cv9sxfYZpgr3nYdqIhsA</t>
  </si>
  <si>
    <t>Anurag Dwivedi</t>
  </si>
  <si>
    <t>UCSVvcw3fzgeA1PXjmsH7k2g</t>
  </si>
  <si>
    <t>World Breaking 24x7</t>
  </si>
  <si>
    <t>UCciVT51sxyKZiHTzEPfan_g</t>
  </si>
  <si>
    <t>CRICKET UPDATES</t>
  </si>
  <si>
    <t>UCISUX-jtA04ktQiknXYZwCw</t>
  </si>
  <si>
    <t>Cricket SuperFans</t>
  </si>
  <si>
    <t>UCZNPqAiTw8pvHQL5xEIu6tg</t>
  </si>
  <si>
    <t>UTV News24</t>
  </si>
  <si>
    <t>UCJBot6XruJZ3l5nu7YIMq7w</t>
  </si>
  <si>
    <t>Cricket Nation</t>
  </si>
  <si>
    <t>UCogVl7426WRkawIuHOPcLGQ</t>
  </si>
  <si>
    <t>Dhaker Cricket</t>
  </si>
  <si>
    <t>UCaIcxw6k2x0FgxL0uPoV89Q</t>
  </si>
  <si>
    <t>Cric7</t>
  </si>
  <si>
    <t>UCBynf-PeQTgIAyKFLvJFwoA</t>
  </si>
  <si>
    <t>CricketCountry</t>
  </si>
  <si>
    <t>UCxU424G80okt2NdPuJ5skKg</t>
  </si>
  <si>
    <t>Sports Glamour</t>
  </si>
  <si>
    <t>UCK4gVx5S4F-pm2MlLbEC22g</t>
  </si>
  <si>
    <t>N1 Media Consultancy Private Limited</t>
  </si>
  <si>
    <t>UC0rsX2Muv6TQHMaLwvZe3nQ</t>
  </si>
  <si>
    <t>Cricket Line Guru</t>
  </si>
  <si>
    <t>UCmOK3l-hFdb-EguIYD_cIAw</t>
  </si>
  <si>
    <t>Pin Fact</t>
  </si>
  <si>
    <t>UCTyFiyAmloGZFNd1MJNWGUw</t>
  </si>
  <si>
    <t>Nothing But Cricket</t>
  </si>
  <si>
    <t>UCWYd6xuGwDyvbQlllorPFqw</t>
  </si>
  <si>
    <t>SPORTS TALK</t>
  </si>
  <si>
    <t>UCPACfH7u4cAD2APtM_7TJZQ</t>
  </si>
  <si>
    <t>Headlines Sports</t>
  </si>
  <si>
    <t>UCgnNMWzQxX4yxYHk6-uK-HA</t>
  </si>
  <si>
    <t>Xtra Time</t>
  </si>
  <si>
    <t>UCIGgLuoPuEHYhpm6Lw4AWKw</t>
  </si>
  <si>
    <t>Bishraj Rawat</t>
  </si>
  <si>
    <t>UCv8yRDSi6X12BTGydWGPS-Q</t>
  </si>
  <si>
    <t>Cricket News Daily</t>
  </si>
  <si>
    <t>UCc-SGmcUTJRx5vVvuJiZ_Mg</t>
  </si>
  <si>
    <t>Cricket Bio</t>
  </si>
  <si>
    <t>UCZaaY_SBZUKP5liK8A1CH_Q</t>
  </si>
  <si>
    <t>Criclife foundation</t>
  </si>
  <si>
    <t>UCM8Ikxl0wHw-l01dFMkXkZA</t>
  </si>
  <si>
    <t>Toss prediction Cricket</t>
  </si>
  <si>
    <t>UCLy68sMKW4evhvRbgozmsPQ</t>
  </si>
  <si>
    <t>GAME OF CRICKET</t>
  </si>
  <si>
    <t>UCJnRLO-dteymiXPQPNHZgrQ</t>
  </si>
  <si>
    <t>7 STAR -WORLD</t>
  </si>
  <si>
    <t>UCK897Iy00T92-cWbtHCKImg</t>
  </si>
  <si>
    <t>CricNow</t>
  </si>
  <si>
    <t>UC8HB5dCL8VAXeuUFU-rgQMA</t>
  </si>
  <si>
    <t>MAS CRICKET</t>
  </si>
  <si>
    <t>UCEfY0u-p8sxN8AYdMME3yzw</t>
  </si>
  <si>
    <t>Khel Gyan</t>
  </si>
  <si>
    <t>UC5oTaFLOFlLNeAJt_dt5rBw</t>
  </si>
  <si>
    <t>CricTracker</t>
  </si>
  <si>
    <t>UCm7h9bqwicWSGqrKUWSUMEA</t>
  </si>
  <si>
    <t>Rishabh Raj</t>
  </si>
  <si>
    <t>UCNB3EZTFZhVTwvEoo1Cw3Dg</t>
  </si>
  <si>
    <t>Sportskeeda Cricket</t>
  </si>
  <si>
    <t>UCdsfdHVFkWt7aB18bev-sIw</t>
  </si>
  <si>
    <t>Sree Harsha Cricket</t>
  </si>
  <si>
    <t>UCBLE3niXkzxWQIGzQojvOkw</t>
  </si>
  <si>
    <t>Caught Behind</t>
  </si>
  <si>
    <t>UCHNbnZ5LE36rYv1sy6teodA</t>
  </si>
  <si>
    <t>Sportskeeda India</t>
  </si>
  <si>
    <t>UC_no3B-pCa5Y4oy8oS8P0qQ</t>
  </si>
  <si>
    <t>CricTalks Live Match</t>
  </si>
  <si>
    <t>UCVBoO0olW6dSJt6rMEX_G5g</t>
  </si>
  <si>
    <t>D- Cricket</t>
  </si>
  <si>
    <t>UCQkKoZI-4EQ1iLac0IQ3W-g</t>
  </si>
  <si>
    <t>Premsagar Cricket Lover</t>
  </si>
  <si>
    <t>UC5spIFHDjRkkRZc06dk5Bkw</t>
  </si>
  <si>
    <t>Sports Time Hindi</t>
  </si>
  <si>
    <t>UCVirHiHgIgKoYcCZgl6_pfg</t>
  </si>
  <si>
    <t>Ramiz Speaks</t>
  </si>
  <si>
    <t>UCZsiCqw5W2WhMys8fuFmJwQ</t>
  </si>
  <si>
    <t>ALL IN ONE</t>
  </si>
  <si>
    <t>UCy8rHVd_a1nKUqiZbY9T59A</t>
  </si>
  <si>
    <t>Cric8</t>
  </si>
  <si>
    <t>UCHfD6a-AotcocBlWo0gAKoQ</t>
  </si>
  <si>
    <t>Sponitor</t>
  </si>
  <si>
    <t>UCcgjrzSXOBY8gP6i-tYyGKw</t>
  </si>
  <si>
    <t>CRICKET INDIA</t>
  </si>
  <si>
    <t>UCPhXUnZMTy1gUSKN6Rt9Ajw</t>
  </si>
  <si>
    <t>MALLU SPORTS</t>
  </si>
  <si>
    <t>UC9RSBT679iFx9NL5afFW_Tw</t>
  </si>
  <si>
    <t>DC News</t>
  </si>
  <si>
    <t>UC8MJGOMI27ud3bxYd8kJxSg</t>
  </si>
  <si>
    <t>Hindi Education</t>
  </si>
  <si>
    <t>UC19-GA_uFq4UQeECSwWNrhw</t>
  </si>
  <si>
    <t>Cricket Education</t>
  </si>
  <si>
    <t>UCbtBdvRPhcjYWdDGeAk9tLg</t>
  </si>
  <si>
    <t>ADDA GURU</t>
  </si>
  <si>
    <t>UC_oeFt5g6Iso1EifUdmIW7w</t>
  </si>
  <si>
    <t>Sports Canvas</t>
  </si>
  <si>
    <t>UCMEAdIWGlC32-ymUEEsNf5g</t>
  </si>
  <si>
    <t>Sur কথা</t>
  </si>
  <si>
    <t>UCx235nzlU8MwI7JB1t_cSJg</t>
  </si>
  <si>
    <t>CricFact</t>
  </si>
  <si>
    <t>UCIKg0Ev6Vq2M7hU7bL_jHFQ</t>
  </si>
  <si>
    <t>ThePapare․com</t>
  </si>
  <si>
    <t>UCkmIxpgJPcgFvu15POEz63w</t>
  </si>
  <si>
    <t>KNOW it ALL</t>
  </si>
  <si>
    <t>UCuKgZO2zX_-rq7ZeMJosj2w</t>
  </si>
  <si>
    <t>Sports Talk Hindi</t>
  </si>
  <si>
    <t>UChxFb_4EgD-V3eP-RevTsfA</t>
  </si>
  <si>
    <t>Hindustan Cricket</t>
  </si>
  <si>
    <t>UCC5CIh-_NVZdzxQXda13V2A</t>
  </si>
  <si>
    <t>Cricket of Bharat</t>
  </si>
  <si>
    <t>UC_N_EDejiXCw-E7gAV-DZsA</t>
  </si>
  <si>
    <t>Kannada Suddi</t>
  </si>
  <si>
    <t>UCDqrOdjtieIZw5N6zDjtnHA</t>
  </si>
  <si>
    <t>ODIA CRICKET DUNIA</t>
  </si>
  <si>
    <t>UCLDDmHF8JlbY5TqYJrlkkyw</t>
  </si>
  <si>
    <t>Hot Sports - Info</t>
  </si>
  <si>
    <t>UCge3q3yIqYyg2ADDCDZGyGA</t>
  </si>
  <si>
    <t>commentator Pn Shekhar</t>
  </si>
  <si>
    <t>UCVpKymF4Nr1MRgo9-881gag</t>
  </si>
  <si>
    <t>Asad Sports</t>
  </si>
  <si>
    <t>UC0hynOfR6nUFrkipQOoa2XQ</t>
  </si>
  <si>
    <t>India News Sports</t>
  </si>
  <si>
    <t>UCsHSkGN55BgQsF6w40DuwFg</t>
  </si>
  <si>
    <t>Fantasy Prediction For Free</t>
  </si>
  <si>
    <t>UCMoISXdvGbmaotH82aOL8gQ</t>
  </si>
  <si>
    <t>RP Cricket Production</t>
  </si>
  <si>
    <t>UCdDNdXwDOnVA6a_yT2vqg8g</t>
  </si>
  <si>
    <t>cricOmania</t>
  </si>
  <si>
    <t>UCdGDnsJMQ6oHlP1Rni9smhA</t>
  </si>
  <si>
    <t>TOP10 CRICKET</t>
  </si>
  <si>
    <t>UC8Rnwde9_cGWp9d3Zii4uew</t>
  </si>
  <si>
    <t>Gullak</t>
  </si>
  <si>
    <t>UCwfb31w9yxhLg_Plm9AwPGg</t>
  </si>
  <si>
    <t>Hindustan Hindi News</t>
  </si>
  <si>
    <t>UCgAvm6JY0z7UBzToP_pSi_A</t>
  </si>
  <si>
    <t>Cric Smart</t>
  </si>
  <si>
    <t>UClsYtOC1UuCHoaXipNKjtsA</t>
  </si>
  <si>
    <t>Sports Opinion</t>
  </si>
  <si>
    <t>UCY6QKfZOvxWyI28zMXTZB6g</t>
  </si>
  <si>
    <t>The Ultimate Sports</t>
  </si>
  <si>
    <t>UCgLIqyXqVICuEJqmhf8BqVQ</t>
  </si>
  <si>
    <t>Simbly Sports</t>
  </si>
  <si>
    <t>UCrBQYad3jeJ1ekkpmaLtSsQ</t>
  </si>
  <si>
    <t>More Sports - Mobile Reporting</t>
  </si>
  <si>
    <t>UChHvUcF22TzRiXs0US5yu0w</t>
  </si>
  <si>
    <t>Cricket DekhoJi</t>
  </si>
  <si>
    <t>UCDH5l57XmAd0iuS7A9jm0DQ</t>
  </si>
  <si>
    <t>Cricket Fans</t>
  </si>
  <si>
    <t>UCIgaWEJHINYIeYnbOVygoIg</t>
  </si>
  <si>
    <t>Cricket Express</t>
  </si>
  <si>
    <t>UCLBFmtdqk8X5wwi9v4aALNw</t>
  </si>
  <si>
    <t>Cricket Gyan</t>
  </si>
  <si>
    <t>UCQhQZttnKIBQ5SsPOv3GvyQ</t>
  </si>
  <si>
    <t>NH 24</t>
  </si>
  <si>
    <t>UC6tafajt__Azz9TH3b1GiHA</t>
  </si>
  <si>
    <t>Bindas News</t>
  </si>
  <si>
    <t>UCwqRQI-MTdwhLUJBklSydRw</t>
  </si>
  <si>
    <t>Cricket Knowledges</t>
  </si>
  <si>
    <t>UCfxtGlHg1P_reZU86YH3iXg</t>
  </si>
  <si>
    <t>Sports Talkies</t>
  </si>
  <si>
    <t>UCSHRxxfGwxVr1kjcitVgf5A</t>
  </si>
  <si>
    <t>Sporty Things</t>
  </si>
  <si>
    <t>UCqVQdYP-pwIYlQUecs1BygQ</t>
  </si>
  <si>
    <t xml:space="preserve">KKFC fresh Banana </t>
  </si>
  <si>
    <t>UCpfDVI6xdN705Z1iawJieRw</t>
  </si>
  <si>
    <t>CricHindi</t>
  </si>
  <si>
    <t>UCxdZqAybsvBYPUcUc8vf13Q</t>
  </si>
  <si>
    <t>CricTubbe</t>
  </si>
  <si>
    <t>UCOaPv3Y37DKjO0QYQPZjZ2w</t>
  </si>
  <si>
    <t>cricket 11</t>
  </si>
  <si>
    <t>UCEpxNlXq3b_UZMm_UBtw4jA</t>
  </si>
  <si>
    <t>TewarKhas TV</t>
  </si>
  <si>
    <t>UCRwg9hVilz4IxI5yP27IPbA</t>
  </si>
  <si>
    <t xml:space="preserve">Richa Pandey </t>
  </si>
  <si>
    <t>UCEPkB9KsvZgXD7K2wJAfScg</t>
  </si>
  <si>
    <t>Cric Booster</t>
  </si>
  <si>
    <t>UCKBVlX57g_z3D8j6KTQlD1g</t>
  </si>
  <si>
    <t>CricTalk Hindi</t>
  </si>
  <si>
    <t>UCE0749I1WASdIcBevCd_dFw</t>
  </si>
  <si>
    <t>Cricket Restart</t>
  </si>
  <si>
    <t>UCVR5t-c6ntqF6lxGHvB6hyg</t>
  </si>
  <si>
    <t>CRICKET MAZE</t>
  </si>
  <si>
    <t>UCpHuq73QdRsFWZeVPlwNkag</t>
  </si>
  <si>
    <t>RR News</t>
  </si>
  <si>
    <t>UCtovVuMs3OF3aR11m1TO9DQ</t>
  </si>
  <si>
    <t>RS ENTERTAINMENT</t>
  </si>
  <si>
    <t>UChf9cJVk4SQfhPc6_JloDNg</t>
  </si>
  <si>
    <t>Network all sports</t>
  </si>
  <si>
    <t>UC_8UxeSV5jneVqm6WW0fNQQ</t>
  </si>
  <si>
    <t>News 29</t>
  </si>
  <si>
    <t>UCqkSLA9Vv0tCRPhhkagFD8g</t>
  </si>
  <si>
    <t>ALL IN ONE NAEEM</t>
  </si>
  <si>
    <t>UCjrYDeuhtn-eZpPVQLy4EsQ</t>
  </si>
  <si>
    <t>CRIC BOLLY BELIEVE</t>
  </si>
  <si>
    <t>UCL4rWZGfS5HIc5aUEajcRKA</t>
  </si>
  <si>
    <t>CRICKET IS ALL</t>
  </si>
  <si>
    <t>UCLKSofAh9Gg_JOVBN_p7bLQ</t>
  </si>
  <si>
    <t>Hindustan News24</t>
  </si>
  <si>
    <t>UCawDDCtyP6sp5BcunKRst6w</t>
  </si>
  <si>
    <t>Top Worldwide News</t>
  </si>
  <si>
    <t>UCEPD0zH618Qz9K-94JQLMiA</t>
  </si>
  <si>
    <t>Daily Dose</t>
  </si>
  <si>
    <t>UCMwkFqvaMyyMuzos-aNyHqA</t>
  </si>
  <si>
    <t>Pawan Manral</t>
  </si>
  <si>
    <t>UCqsR1XF56KLV6b_lP7uTiuQ</t>
  </si>
  <si>
    <t>SORT OF INFO</t>
  </si>
  <si>
    <t>UCnzeCFfbdNKnbu7TJ8oCxKg</t>
  </si>
  <si>
    <t>TSK Space</t>
  </si>
  <si>
    <t>UCQjsR1OMWHzVof5-OWhvLfQ</t>
  </si>
  <si>
    <t xml:space="preserve">TV EDGE </t>
  </si>
  <si>
    <t>UCI7JfI97m2E80vnVSyeEi-w</t>
  </si>
  <si>
    <t>CricQ</t>
  </si>
  <si>
    <t>UC26rfPWICimEnMwr3ApuV8g</t>
  </si>
  <si>
    <t>UC3TH0bRCtoghKExUkzdH3CQ</t>
  </si>
  <si>
    <t>SkyCoolGuide</t>
  </si>
  <si>
    <t>UCGLQhKljVefdxs7vuyE5Kig</t>
  </si>
  <si>
    <t>Facts Today</t>
  </si>
  <si>
    <t>UCrzf9xAz_VOjIm7dsKcTukA</t>
  </si>
  <si>
    <t>SpMishra Tech</t>
  </si>
  <si>
    <t>UCTYP49p_fUMLP_yJEFlEKZg</t>
  </si>
  <si>
    <t>TST News</t>
  </si>
  <si>
    <t>UCKl1XszLMArY_ARPlZMG7mg</t>
  </si>
  <si>
    <t>Top List Sports</t>
  </si>
  <si>
    <t>UCdqeEQDml94jY5qIqJr3N4g</t>
  </si>
  <si>
    <t>Cricket Fire</t>
  </si>
  <si>
    <t>UC6yUrnDBTQAgLqafoRy3VoA</t>
  </si>
  <si>
    <t>ALL IN 1</t>
  </si>
  <si>
    <t>UCHUu5Rv1CP0NfrkHKH9xKYw</t>
  </si>
  <si>
    <t>Cric Blast Radio</t>
  </si>
  <si>
    <t>UC3AMYQ-bf0UmXkAGyZxxD4A</t>
  </si>
  <si>
    <t>CricTechz</t>
  </si>
  <si>
    <t>UC5TmKdtmIqpMG5Q8iw1pYrA</t>
  </si>
  <si>
    <t>Cricket TrueFans</t>
  </si>
  <si>
    <t>UCAbtL_olLzW3QeQ-RAj73oA</t>
  </si>
  <si>
    <t>Go Sport</t>
  </si>
  <si>
    <t>UCQAimzSbRHdGKsioN-gzUxw</t>
  </si>
  <si>
    <t>Pm Am News</t>
  </si>
  <si>
    <t>UCkT7kcRzS_WUGunNWXaAoaw</t>
  </si>
  <si>
    <t>ckt media</t>
  </si>
  <si>
    <t>UCpncK_fi2FY3mouHVYv-K1w</t>
  </si>
  <si>
    <t>Adi Addict</t>
  </si>
  <si>
    <t>UCQYRGzYaVa7aWd8TsbjdJ6Q</t>
  </si>
  <si>
    <t>Aakash Chopra</t>
  </si>
  <si>
    <t>UCnzTvgqX77zZBJ5mji5bi7w</t>
  </si>
  <si>
    <t>Sachin Tendulkar</t>
  </si>
  <si>
    <t>UCYbge2419-UBBDyv6frJ3jA</t>
  </si>
  <si>
    <t>Ashwin</t>
  </si>
  <si>
    <t>UCUDk4lEtfnLEN9rDlj82YKg</t>
  </si>
  <si>
    <t>Cheeky Cheeka</t>
  </si>
  <si>
    <t>UCxpqYhKi9JpOx-B6Q20N4yQ</t>
  </si>
  <si>
    <t>Harbhajan Turbanator Singh</t>
  </si>
  <si>
    <t>UCeWqACGRU5gT0BXeFhrixWA</t>
  </si>
  <si>
    <t>Shoaib Akhtar</t>
  </si>
  <si>
    <t>UC9kJ5-gVoy5lJiax69TgxeA</t>
  </si>
  <si>
    <t>Danish Kaneria 261</t>
  </si>
  <si>
    <t>UCgxAV5Px6mAlbjh0-AU9xIA</t>
  </si>
  <si>
    <t>Jarrod Kimber</t>
  </si>
  <si>
    <t>UCC6_kYo7TXhcpfQCqaum5FQ</t>
  </si>
  <si>
    <t>Salman Butt</t>
  </si>
  <si>
    <t>UCPsgRbrdpMSTFe_11StQ1ZQ</t>
  </si>
  <si>
    <t>Cric It with Badri</t>
  </si>
  <si>
    <t>UCCvpM7DecY_8xtKY8aeSCxg</t>
  </si>
  <si>
    <t>Cricket With Snehal * Hindi</t>
  </si>
  <si>
    <t>UCOe1D_N5alGASGi47tDTGGg</t>
  </si>
  <si>
    <t>Pat Cummins</t>
  </si>
  <si>
    <t>UCjes9SqJEbwLlJeMm_V-h1g</t>
  </si>
  <si>
    <t>Catch And Bat with Kamran Akmal</t>
  </si>
  <si>
    <t>UCHLWknV4H80NoOJcxJLVR5g</t>
  </si>
  <si>
    <t>Anjum Chopra</t>
  </si>
  <si>
    <t>UCIhGXeOeWeEPxMLbCrUvf-g</t>
  </si>
  <si>
    <t>Shahid Afridi</t>
  </si>
  <si>
    <t>UCfhzuIOX9NJGQjV8vjhWE_g</t>
  </si>
  <si>
    <t>Inzamam ul Haq - The Match Winner</t>
  </si>
  <si>
    <t>UCOVyuF3-LNp7IL-Yxdbh29Q</t>
  </si>
  <si>
    <t>Brad Hogg</t>
  </si>
  <si>
    <t>UCBOVdxZA3qtdIYQ8SRQOYmQ</t>
  </si>
  <si>
    <t>Abhinav Mukund</t>
  </si>
  <si>
    <t>UC1hjxe_Zm9j_WENoEnixWDw</t>
  </si>
  <si>
    <t>Deep Dasgupta</t>
  </si>
  <si>
    <t>UCgcwlv7uLZvkpP2HbaARKqA</t>
  </si>
  <si>
    <t>Melinda Farrell</t>
  </si>
  <si>
    <t>Crictubers (India)</t>
  </si>
  <si>
    <t>Keyword</t>
  </si>
  <si>
    <t>gasjeans</t>
  </si>
  <si>
    <t>adidas near me</t>
  </si>
  <si>
    <t>nike near me</t>
  </si>
  <si>
    <t>grt jewellers near me</t>
  </si>
  <si>
    <t>jewelry stores near me</t>
  </si>
  <si>
    <t>jewellery shop near me</t>
  </si>
  <si>
    <t>bangle store near me</t>
  </si>
  <si>
    <t>gold jewellery shop near me</t>
  </si>
  <si>
    <t>caratlane online</t>
  </si>
  <si>
    <t>krishna jewellers</t>
  </si>
  <si>
    <t>xxxtentacion jacket</t>
  </si>
  <si>
    <t>bag shop near me</t>
  </si>
  <si>
    <t>bag store near me</t>
  </si>
  <si>
    <t>dress shops near me</t>
  </si>
  <si>
    <t>watch shop near me</t>
  </si>
  <si>
    <t>grt jewellers online</t>
  </si>
  <si>
    <t>mary jewelry</t>
  </si>
  <si>
    <t>caratlane bracelet</t>
  </si>
  <si>
    <t>knitted sweater</t>
  </si>
  <si>
    <t>women's clothing stores</t>
  </si>
  <si>
    <t>gym trainers</t>
  </si>
  <si>
    <t>shoes near me</t>
  </si>
  <si>
    <t>nose rings for women</t>
  </si>
  <si>
    <t>campus</t>
  </si>
  <si>
    <t>tanishq store near me</t>
  </si>
  <si>
    <t>giva store near me</t>
  </si>
  <si>
    <t>caratlane earrings</t>
  </si>
  <si>
    <t>caprese bag</t>
  </si>
  <si>
    <t>crocs store near me</t>
  </si>
  <si>
    <t>puma</t>
  </si>
  <si>
    <t>shoe stores near me</t>
  </si>
  <si>
    <t>omega seamaster</t>
  </si>
  <si>
    <t>snkrs india</t>
  </si>
  <si>
    <t>caratlane rings</t>
  </si>
  <si>
    <t>crocs near me</t>
  </si>
  <si>
    <t>gold pearl necklace</t>
  </si>
  <si>
    <t>gold and pearl necklace</t>
  </si>
  <si>
    <t>grand seiko</t>
  </si>
  <si>
    <t>watch store near me</t>
  </si>
  <si>
    <t>joyalukkas near me</t>
  </si>
  <si>
    <t>most expensive watch</t>
  </si>
  <si>
    <t>navratna ring</t>
  </si>
  <si>
    <t>jewellery shops</t>
  </si>
  <si>
    <t>puma near me</t>
  </si>
  <si>
    <t>tanishq near me</t>
  </si>
  <si>
    <t>light weight gold necklace</t>
  </si>
  <si>
    <t>nose ring</t>
  </si>
  <si>
    <t>ruby necklace</t>
  </si>
  <si>
    <t>lalitha jewellery near me</t>
  </si>
  <si>
    <t>spider man hoodie</t>
  </si>
  <si>
    <t>jewelry stores</t>
  </si>
  <si>
    <t>zara shoes</t>
  </si>
  <si>
    <t>undergarments</t>
  </si>
  <si>
    <t>vanki ring</t>
  </si>
  <si>
    <t>gold rudraksha mala</t>
  </si>
  <si>
    <t>aldos</t>
  </si>
  <si>
    <t>clothing</t>
  </si>
  <si>
    <t>footwear shop near me</t>
  </si>
  <si>
    <t>chandbali earrings gold</t>
  </si>
  <si>
    <t>superdry jacket</t>
  </si>
  <si>
    <t>reception party dress for bride</t>
  </si>
  <si>
    <t>mangalya chain design</t>
  </si>
  <si>
    <t>new fashion dress</t>
  </si>
  <si>
    <t>meesho jewellery</t>
  </si>
  <si>
    <t>polki jewellery</t>
  </si>
  <si>
    <t>adidas ultra boost</t>
  </si>
  <si>
    <t>audemars piguet royal oak</t>
  </si>
  <si>
    <t>zara heels</t>
  </si>
  <si>
    <t>gold choker design</t>
  </si>
  <si>
    <t>bag tags for luggage</t>
  </si>
  <si>
    <t>wedding gold necklace design</t>
  </si>
  <si>
    <t>most expensive watch in the world</t>
  </si>
  <si>
    <t>forever new dresses</t>
  </si>
  <si>
    <t>small gold earrings designs for daily use</t>
  </si>
  <si>
    <t>zara bags</t>
  </si>
  <si>
    <t>zara purse</t>
  </si>
  <si>
    <t>diamond bangles design</t>
  </si>
  <si>
    <t>jewellery</t>
  </si>
  <si>
    <t>flare pants</t>
  </si>
  <si>
    <t>silver necklace women</t>
  </si>
  <si>
    <t>rudraksha gold chain</t>
  </si>
  <si>
    <t>rudraksh gold chain</t>
  </si>
  <si>
    <t>lounge wear</t>
  </si>
  <si>
    <t>jewellery design</t>
  </si>
  <si>
    <t>puma store near me</t>
  </si>
  <si>
    <t>puma shop near me</t>
  </si>
  <si>
    <t>tanishq online</t>
  </si>
  <si>
    <t>plus size dresses</t>
  </si>
  <si>
    <t>travel backpack</t>
  </si>
  <si>
    <t>travel rucksack</t>
  </si>
  <si>
    <t>marriage gold chain designs for ladies</t>
  </si>
  <si>
    <t>essential hoodie</t>
  </si>
  <si>
    <t>louis vuitton sling bag</t>
  </si>
  <si>
    <t>lv sling bag</t>
  </si>
  <si>
    <t>dior bag price</t>
  </si>
  <si>
    <t>locket design</t>
  </si>
  <si>
    <t>platinum couple rings</t>
  </si>
  <si>
    <t>shoe shops near me</t>
  </si>
  <si>
    <t>pendant designs</t>
  </si>
  <si>
    <t>nike shop near me</t>
  </si>
  <si>
    <t>racer jacket</t>
  </si>
  <si>
    <t>biba dresses</t>
  </si>
  <si>
    <t>diamond set</t>
  </si>
  <si>
    <t>silver jewlery</t>
  </si>
  <si>
    <t>canvas bag</t>
  </si>
  <si>
    <t>platinum jewelry</t>
  </si>
  <si>
    <t>side bag</t>
  </si>
  <si>
    <t>clothing shops</t>
  </si>
  <si>
    <t>nose pin</t>
  </si>
  <si>
    <t>necklace</t>
  </si>
  <si>
    <t>gold choker necklace</t>
  </si>
  <si>
    <t>pool party dress</t>
  </si>
  <si>
    <t>pool party clothes</t>
  </si>
  <si>
    <t>pool party wear</t>
  </si>
  <si>
    <t>platinum chain for men</t>
  </si>
  <si>
    <t>pola ring design</t>
  </si>
  <si>
    <t>malabargold</t>
  </si>
  <si>
    <t>gold kada for men</t>
  </si>
  <si>
    <t>denim</t>
  </si>
  <si>
    <t>skechers slippers for women</t>
  </si>
  <si>
    <t>silver earrings for women</t>
  </si>
  <si>
    <t>pendant set</t>
  </si>
  <si>
    <t>adidas superstar</t>
  </si>
  <si>
    <t>lv purse</t>
  </si>
  <si>
    <t>tanishq diamond earrings</t>
  </si>
  <si>
    <t>genie bags</t>
  </si>
  <si>
    <t>lalithaa jewellery</t>
  </si>
  <si>
    <t>leather pants</t>
  </si>
  <si>
    <t>coach sling bag</t>
  </si>
  <si>
    <t>gucci sling bag</t>
  </si>
  <si>
    <t>offduty jeans</t>
  </si>
  <si>
    <t>artificial jewellery shop near me</t>
  </si>
  <si>
    <t>gold jhumka new design</t>
  </si>
  <si>
    <t>new dresses</t>
  </si>
  <si>
    <t>trainers</t>
  </si>
  <si>
    <t>mary janes</t>
  </si>
  <si>
    <t>tanishq diamond necklace</t>
  </si>
  <si>
    <t>layered necklaces</t>
  </si>
  <si>
    <t>choker necklace gold design</t>
  </si>
  <si>
    <t>tanishq diamond ring</t>
  </si>
  <si>
    <t>decathlon jackets</t>
  </si>
  <si>
    <t>campus shoes for women</t>
  </si>
  <si>
    <t>smart and casual wear</t>
  </si>
  <si>
    <t>puma showroom near me</t>
  </si>
  <si>
    <t>skechers near me</t>
  </si>
  <si>
    <t>gucci slippers</t>
  </si>
  <si>
    <t>swimsuits</t>
  </si>
  <si>
    <t>giva necklace</t>
  </si>
  <si>
    <t>tennis shoes</t>
  </si>
  <si>
    <t>earrings studs</t>
  </si>
  <si>
    <t>coach bags</t>
  </si>
  <si>
    <t>coach hand bag</t>
  </si>
  <si>
    <t>diamond nose pin</t>
  </si>
  <si>
    <t>louis vuitton bags</t>
  </si>
  <si>
    <t>lv bags</t>
  </si>
  <si>
    <t>chandbali earrings</t>
  </si>
  <si>
    <t>giva bracelet</t>
  </si>
  <si>
    <t>skechers slippers</t>
  </si>
  <si>
    <t>rubans jewellery</t>
  </si>
  <si>
    <t>pant suits for women</t>
  </si>
  <si>
    <t>zara mens jackets</t>
  </si>
  <si>
    <t>burberry bag</t>
  </si>
  <si>
    <t>sweaters</t>
  </si>
  <si>
    <t>most expensive nike shoes</t>
  </si>
  <si>
    <t>ap watch</t>
  </si>
  <si>
    <t>sequin dresses</t>
  </si>
  <si>
    <t>fleece jacket</t>
  </si>
  <si>
    <t>kada design for men</t>
  </si>
  <si>
    <t>gents kada design</t>
  </si>
  <si>
    <t>simple gold rings</t>
  </si>
  <si>
    <t>skechers shoes for men</t>
  </si>
  <si>
    <t>clark shoes</t>
  </si>
  <si>
    <t>giva earrings</t>
  </si>
  <si>
    <t>sui dhaga gold earrings</t>
  </si>
  <si>
    <t>platinum rings for women</t>
  </si>
  <si>
    <t>superdry backpack</t>
  </si>
  <si>
    <t>simple gold ring design</t>
  </si>
  <si>
    <t>temple jewellery gold</t>
  </si>
  <si>
    <t>gold designs</t>
  </si>
  <si>
    <t>leather bag</t>
  </si>
  <si>
    <t>royal enfield jackets</t>
  </si>
  <si>
    <t>rudraksha bracelet for men</t>
  </si>
  <si>
    <t>pearl necklace</t>
  </si>
  <si>
    <t>tanishq bangles</t>
  </si>
  <si>
    <t>silver necklace set</t>
  </si>
  <si>
    <t>tanishq gold chain</t>
  </si>
  <si>
    <t>gold kada</t>
  </si>
  <si>
    <t>engagement dress for bride</t>
  </si>
  <si>
    <t>long gold necklace</t>
  </si>
  <si>
    <t>sui dhaga earrings</t>
  </si>
  <si>
    <t>aldo handbags</t>
  </si>
  <si>
    <t>tanishq gold chain for women</t>
  </si>
  <si>
    <t>designer dresses</t>
  </si>
  <si>
    <t>cocktail dresses</t>
  </si>
  <si>
    <t>cocktail clothes</t>
  </si>
  <si>
    <t>gold diamond rings</t>
  </si>
  <si>
    <t>smart casual women</t>
  </si>
  <si>
    <t>crocs clogs</t>
  </si>
  <si>
    <t>pearl sets</t>
  </si>
  <si>
    <t>gold jhumka design</t>
  </si>
  <si>
    <t>kalyan jewellers near me</t>
  </si>
  <si>
    <t>gold locket design</t>
  </si>
  <si>
    <t>tanishq gold necklace designs with price</t>
  </si>
  <si>
    <t>tube dress</t>
  </si>
  <si>
    <t>gucci bag</t>
  </si>
  <si>
    <t>gucci hand bag</t>
  </si>
  <si>
    <t>lv bags price</t>
  </si>
  <si>
    <t>louis vuitton tote bag price</t>
  </si>
  <si>
    <t>winter wear for women</t>
  </si>
  <si>
    <t>meesho earrings</t>
  </si>
  <si>
    <t>oversized hoodie</t>
  </si>
  <si>
    <t>gold long necklace design</t>
  </si>
  <si>
    <t>gold lockets</t>
  </si>
  <si>
    <t>fashion jewelry</t>
  </si>
  <si>
    <t>fashion and jewellery</t>
  </si>
  <si>
    <t>evening dresses for women</t>
  </si>
  <si>
    <t>cotton tops for women</t>
  </si>
  <si>
    <t>silver rings for women</t>
  </si>
  <si>
    <t>silver rings for ladies</t>
  </si>
  <si>
    <t>mens gold bangle</t>
  </si>
  <si>
    <t>wide leg jeans</t>
  </si>
  <si>
    <t>women's clothing</t>
  </si>
  <si>
    <t>tissot watches for men</t>
  </si>
  <si>
    <t>earrings for women</t>
  </si>
  <si>
    <t>silver anklets</t>
  </si>
  <si>
    <t>imitation jewellery</t>
  </si>
  <si>
    <t>formal suits for women</t>
  </si>
  <si>
    <t>office bags for women</t>
  </si>
  <si>
    <t>oversized hoodie women</t>
  </si>
  <si>
    <t>gold locket for men</t>
  </si>
  <si>
    <t>titan raga</t>
  </si>
  <si>
    <t>tanishq rings</t>
  </si>
  <si>
    <t>polo t shirts women</t>
  </si>
  <si>
    <t>women polo t shirts</t>
  </si>
  <si>
    <t>zara jackets</t>
  </si>
  <si>
    <t>gold nose ring</t>
  </si>
  <si>
    <t>shirt jacket</t>
  </si>
  <si>
    <t>balmain polo shirt</t>
  </si>
  <si>
    <t>balmain polo t shirt</t>
  </si>
  <si>
    <t>pearl choker necklace</t>
  </si>
  <si>
    <t>gold set design</t>
  </si>
  <si>
    <t>tote bag</t>
  </si>
  <si>
    <t>tote bag purse</t>
  </si>
  <si>
    <t>prada bag</t>
  </si>
  <si>
    <t>prada hand bag</t>
  </si>
  <si>
    <t>rynox jacket</t>
  </si>
  <si>
    <t>sui dhaga gold</t>
  </si>
  <si>
    <t>pearl necklace set</t>
  </si>
  <si>
    <t>modi coat</t>
  </si>
  <si>
    <t>levis jeans</t>
  </si>
  <si>
    <t>polo and ralph lauren</t>
  </si>
  <si>
    <t>white stone necklace</t>
  </si>
  <si>
    <t>silver jhumka</t>
  </si>
  <si>
    <t>nose pin gold</t>
  </si>
  <si>
    <t>leather pants women</t>
  </si>
  <si>
    <t>neck pillow</t>
  </si>
  <si>
    <t>gold nose pin design</t>
  </si>
  <si>
    <t>beaded necklace</t>
  </si>
  <si>
    <t>couple ring design gold</t>
  </si>
  <si>
    <t>designer dresses for women</t>
  </si>
  <si>
    <t>patek philippe nautilus</t>
  </si>
  <si>
    <t>gold couple rings for engagement</t>
  </si>
  <si>
    <t>winter dresses</t>
  </si>
  <si>
    <t>fendi bag</t>
  </si>
  <si>
    <t>cotton dresses</t>
  </si>
  <si>
    <t>oversized sweatshirt</t>
  </si>
  <si>
    <t>brevite backpack</t>
  </si>
  <si>
    <t>nose ring gold design</t>
  </si>
  <si>
    <t>bridal shoes</t>
  </si>
  <si>
    <t>pastel dresses</t>
  </si>
  <si>
    <t>silver jewlery sets</t>
  </si>
  <si>
    <t>gold earrings for women</t>
  </si>
  <si>
    <t>birkenstocks women</t>
  </si>
  <si>
    <t>engagement dresses for women</t>
  </si>
  <si>
    <t>anklet design</t>
  </si>
  <si>
    <t>michael kors sling bag</t>
  </si>
  <si>
    <t>mk sling bag</t>
  </si>
  <si>
    <t>gold necklace set</t>
  </si>
  <si>
    <t>ripped jeans</t>
  </si>
  <si>
    <t>red dress</t>
  </si>
  <si>
    <t>casual dresses</t>
  </si>
  <si>
    <t>peter england jacket</t>
  </si>
  <si>
    <t>mens bracelets gold 22k</t>
  </si>
  <si>
    <t>black boots</t>
  </si>
  <si>
    <t>nose ring designs in gold for female</t>
  </si>
  <si>
    <t>ethnic dress</t>
  </si>
  <si>
    <t>crocs for women</t>
  </si>
  <si>
    <t>gold pendant design</t>
  </si>
  <si>
    <t>croc sandals</t>
  </si>
  <si>
    <t>laptop bag for women</t>
  </si>
  <si>
    <t>ripped jeans for women</t>
  </si>
  <si>
    <t>silver chain mens</t>
  </si>
  <si>
    <t>gold jewellery set</t>
  </si>
  <si>
    <t>gucci bag women</t>
  </si>
  <si>
    <t>gucci purse women</t>
  </si>
  <si>
    <t>satin dresses</t>
  </si>
  <si>
    <t>cute dresses</t>
  </si>
  <si>
    <t>bridal necklace set</t>
  </si>
  <si>
    <t>womens swimsuits</t>
  </si>
  <si>
    <t>couple rings gold</t>
  </si>
  <si>
    <t>polo neck t shirt</t>
  </si>
  <si>
    <t>black party dress</t>
  </si>
  <si>
    <t>black party wear dress</t>
  </si>
  <si>
    <t>clarks mens shoes</t>
  </si>
  <si>
    <t>straight jeans</t>
  </si>
  <si>
    <t>gold jewellery design</t>
  </si>
  <si>
    <t>levis jeans women</t>
  </si>
  <si>
    <t>branded purse for women</t>
  </si>
  <si>
    <t>branded ladies purse</t>
  </si>
  <si>
    <t>yoga pants</t>
  </si>
  <si>
    <t>puma rsx</t>
  </si>
  <si>
    <t>outfits for women</t>
  </si>
  <si>
    <t>gold jhumka</t>
  </si>
  <si>
    <t>crocs shoes for men</t>
  </si>
  <si>
    <t>titan edge</t>
  </si>
  <si>
    <t>girls party dresses</t>
  </si>
  <si>
    <t>gold bangles for women</t>
  </si>
  <si>
    <t>adidas originals shoes</t>
  </si>
  <si>
    <t>prada shoes</t>
  </si>
  <si>
    <t>mary jane shoes</t>
  </si>
  <si>
    <t>gold small earrings design</t>
  </si>
  <si>
    <t>tanishq gold ring</t>
  </si>
  <si>
    <t>gold bracelets for women</t>
  </si>
  <si>
    <t>fossil watches for women</t>
  </si>
  <si>
    <t>women gold earrings design</t>
  </si>
  <si>
    <t>ladies gold chain</t>
  </si>
  <si>
    <t>top branded handbags for ladies</t>
  </si>
  <si>
    <t>plain gold ring design for female</t>
  </si>
  <si>
    <t>decathlon raincoat</t>
  </si>
  <si>
    <t>nike travis scott</t>
  </si>
  <si>
    <t>latest earrings design</t>
  </si>
  <si>
    <t>black dress</t>
  </si>
  <si>
    <t>matha patti</t>
  </si>
  <si>
    <t>sequin dress for women</t>
  </si>
  <si>
    <t>oxford shoes</t>
  </si>
  <si>
    <t>crocs literide 360</t>
  </si>
  <si>
    <t>freakins jeans</t>
  </si>
  <si>
    <t>couple hoodies</t>
  </si>
  <si>
    <t>couple sweatshirts</t>
  </si>
  <si>
    <t>10 gram gold chain</t>
  </si>
  <si>
    <t>bridal jewellery set</t>
  </si>
  <si>
    <t>asic shoes</t>
  </si>
  <si>
    <t>gucci bag price</t>
  </si>
  <si>
    <t>gucci purse price</t>
  </si>
  <si>
    <t>gucci handbags price</t>
  </si>
  <si>
    <t>dior bag</t>
  </si>
  <si>
    <t>diorama bag</t>
  </si>
  <si>
    <t>lavie handbags</t>
  </si>
  <si>
    <t>blue dresses for women</t>
  </si>
  <si>
    <t>gents gold chain</t>
  </si>
  <si>
    <t>cute dresses for women</t>
  </si>
  <si>
    <t>tanishq gold ring for women</t>
  </si>
  <si>
    <t>noise colorfit pro 4</t>
  </si>
  <si>
    <t>branded bags</t>
  </si>
  <si>
    <t>gold necklace latest design</t>
  </si>
  <si>
    <t>party dress</t>
  </si>
  <si>
    <t>leggings for women</t>
  </si>
  <si>
    <t>elevar shoes</t>
  </si>
  <si>
    <t>green dress</t>
  </si>
  <si>
    <t>full sleeve polo t shirts</t>
  </si>
  <si>
    <t>full sleeve polo shirts</t>
  </si>
  <si>
    <t>full sleeves polo tshirts</t>
  </si>
  <si>
    <t>balenciaga shoes</t>
  </si>
  <si>
    <t>diamond nose pin price</t>
  </si>
  <si>
    <t>diamond nose ring price</t>
  </si>
  <si>
    <t>laptop backpack</t>
  </si>
  <si>
    <t>dresses</t>
  </si>
  <si>
    <t>winter clothes for women</t>
  </si>
  <si>
    <t>girls winter jacket</t>
  </si>
  <si>
    <t>sandals</t>
  </si>
  <si>
    <t>footwear</t>
  </si>
  <si>
    <t>potli purse</t>
  </si>
  <si>
    <t>slit dress for women</t>
  </si>
  <si>
    <t>onitsuka tiger mexico 66</t>
  </si>
  <si>
    <t>beach wear for women</t>
  </si>
  <si>
    <t>skechers shoes</t>
  </si>
  <si>
    <t>rolex submariner</t>
  </si>
  <si>
    <t>new dress for women</t>
  </si>
  <si>
    <t>long boots</t>
  </si>
  <si>
    <t>pink dress</t>
  </si>
  <si>
    <t>gold chain designs for ladies</t>
  </si>
  <si>
    <t>gold chain design for female</t>
  </si>
  <si>
    <t>long boots for women</t>
  </si>
  <si>
    <t>backless top</t>
  </si>
  <si>
    <t>best jeans brand</t>
  </si>
  <si>
    <t>black bodycon dress</t>
  </si>
  <si>
    <t>chandi ka bracelet</t>
  </si>
  <si>
    <t>ladies side bag</t>
  </si>
  <si>
    <t>gold bangle</t>
  </si>
  <si>
    <t>straight pants for women</t>
  </si>
  <si>
    <t>cute tops</t>
  </si>
  <si>
    <t>gold rings for women</t>
  </si>
  <si>
    <t>ladies gold ring</t>
  </si>
  <si>
    <t>oxidized jewellery</t>
  </si>
  <si>
    <t>black bag</t>
  </si>
  <si>
    <t>black dresses for women</t>
  </si>
  <si>
    <t>women michael kors purse</t>
  </si>
  <si>
    <t>indo western dress</t>
  </si>
  <si>
    <t>indo western outfits</t>
  </si>
  <si>
    <t>purple dress</t>
  </si>
  <si>
    <t>red dresses for women</t>
  </si>
  <si>
    <t>trench coat women</t>
  </si>
  <si>
    <t>shoulder bags for women</t>
  </si>
  <si>
    <t>blue stone jewelry</t>
  </si>
  <si>
    <t>stilettos</t>
  </si>
  <si>
    <t>new gold ring design</t>
  </si>
  <si>
    <t>puma factory outlet</t>
  </si>
  <si>
    <t>ladies dresses</t>
  </si>
  <si>
    <t>casio india</t>
  </si>
  <si>
    <t>gold ring design</t>
  </si>
  <si>
    <t>temple jewellery</t>
  </si>
  <si>
    <t>jordan retro 4</t>
  </si>
  <si>
    <t>tanishq gold ring for men</t>
  </si>
  <si>
    <t>mens crocs</t>
  </si>
  <si>
    <t>travel bags for women</t>
  </si>
  <si>
    <t>cargo trousers women</t>
  </si>
  <si>
    <t>cargo jeans women</t>
  </si>
  <si>
    <t>trench coat</t>
  </si>
  <si>
    <t>new gold chain design</t>
  </si>
  <si>
    <t>beige trousers women</t>
  </si>
  <si>
    <t>beige pants women</t>
  </si>
  <si>
    <t>blouses</t>
  </si>
  <si>
    <t>new gold necklace design</t>
  </si>
  <si>
    <t>yeezy shoes</t>
  </si>
  <si>
    <t>coat</t>
  </si>
  <si>
    <t>rucksack</t>
  </si>
  <si>
    <t>men bracelets</t>
  </si>
  <si>
    <t>denim shorts</t>
  </si>
  <si>
    <t>cotton pants for women</t>
  </si>
  <si>
    <t>moms jeans</t>
  </si>
  <si>
    <t>stylish gold chain design for female</t>
  </si>
  <si>
    <t>fur coat women</t>
  </si>
  <si>
    <t>fur jacket women</t>
  </si>
  <si>
    <t>fluffy jacket womens</t>
  </si>
  <si>
    <t>gold ring design for female</t>
  </si>
  <si>
    <t>gold ring designs for women</t>
  </si>
  <si>
    <t>travel bag</t>
  </si>
  <si>
    <t>traveling bag</t>
  </si>
  <si>
    <t>biker jacket</t>
  </si>
  <si>
    <t>fur jacket men</t>
  </si>
  <si>
    <t>winter tops</t>
  </si>
  <si>
    <t>dolce and gabbana jacket</t>
  </si>
  <si>
    <t>d&amp;g jacket</t>
  </si>
  <si>
    <t>semi formal outfits for guys</t>
  </si>
  <si>
    <t>artificial jewellery</t>
  </si>
  <si>
    <t>floral dress</t>
  </si>
  <si>
    <t>beautiful dresses for women</t>
  </si>
  <si>
    <t>bikini dress</t>
  </si>
  <si>
    <t>silver kada</t>
  </si>
  <si>
    <t>winter dresses for women</t>
  </si>
  <si>
    <t>tank top</t>
  </si>
  <si>
    <t>mens travel bag</t>
  </si>
  <si>
    <t>male travel bag</t>
  </si>
  <si>
    <t>choker necklace</t>
  </si>
  <si>
    <t>jeans</t>
  </si>
  <si>
    <t>jean's</t>
  </si>
  <si>
    <t>kundan jewellery</t>
  </si>
  <si>
    <t>waist coat for women</t>
  </si>
  <si>
    <t>long dresses</t>
  </si>
  <si>
    <t>adidas backpack</t>
  </si>
  <si>
    <t>adidas bookbag</t>
  </si>
  <si>
    <t>gold earrings new design</t>
  </si>
  <si>
    <t>zara sling bags</t>
  </si>
  <si>
    <t>black cargo pants women</t>
  </si>
  <si>
    <t>sabyasachi bags</t>
  </si>
  <si>
    <t>gold bracelet designs for women</t>
  </si>
  <si>
    <t>hoodie</t>
  </si>
  <si>
    <t>earrings for women gold designs</t>
  </si>
  <si>
    <t>gold earrings designs for female</t>
  </si>
  <si>
    <t>jacquemus bag</t>
  </si>
  <si>
    <t>gold earrings design</t>
  </si>
  <si>
    <t>smart casual guys</t>
  </si>
  <si>
    <t>party wear</t>
  </si>
  <si>
    <t>tory burch bags</t>
  </si>
  <si>
    <t>puffer jacket women</t>
  </si>
  <si>
    <t>wedges</t>
  </si>
  <si>
    <t>abaya dress</t>
  </si>
  <si>
    <t>shoe sole</t>
  </si>
  <si>
    <t>white tank top</t>
  </si>
  <si>
    <t>mini dress</t>
  </si>
  <si>
    <t>ear ring design gold</t>
  </si>
  <si>
    <t>torn jeans for women</t>
  </si>
  <si>
    <t>necklace set for women</t>
  </si>
  <si>
    <t>rolex datejust</t>
  </si>
  <si>
    <t>rolex daytona</t>
  </si>
  <si>
    <t>tube top</t>
  </si>
  <si>
    <t>gym clothes for women</t>
  </si>
  <si>
    <t>womens gym wear</t>
  </si>
  <si>
    <t>2 gram gold earrings new design</t>
  </si>
  <si>
    <t>trendy dresses for women</t>
  </si>
  <si>
    <t>mini skirt</t>
  </si>
  <si>
    <t>h&amp;m bags</t>
  </si>
  <si>
    <t>gold ring men</t>
  </si>
  <si>
    <t>maxi dresses</t>
  </si>
  <si>
    <t>polo shirt</t>
  </si>
  <si>
    <t>leather jacket women</t>
  </si>
  <si>
    <t>leather coat women</t>
  </si>
  <si>
    <t>cotton dress for women</t>
  </si>
  <si>
    <t>black skirts</t>
  </si>
  <si>
    <t>campus shoes for men</t>
  </si>
  <si>
    <t>beach dresses</t>
  </si>
  <si>
    <t>juti</t>
  </si>
  <si>
    <t>zara jeans</t>
  </si>
  <si>
    <t>wildcraft raincoat</t>
  </si>
  <si>
    <t>2 gram gold earrings</t>
  </si>
  <si>
    <t>1 gram gold earrings</t>
  </si>
  <si>
    <t>one gram gold earrings</t>
  </si>
  <si>
    <t>yellow dresses</t>
  </si>
  <si>
    <t>jute bags</t>
  </si>
  <si>
    <t>tank tops for women</t>
  </si>
  <si>
    <t>black hoodie</t>
  </si>
  <si>
    <t>dhoti pants</t>
  </si>
  <si>
    <t>boys jacket</t>
  </si>
  <si>
    <t>chandi ki ring</t>
  </si>
  <si>
    <t>party tops for women</t>
  </si>
  <si>
    <t>running shoe</t>
  </si>
  <si>
    <t>haldi jewellery</t>
  </si>
  <si>
    <t>timex expedition</t>
  </si>
  <si>
    <t>skinny jeans</t>
  </si>
  <si>
    <t>yeezy slides</t>
  </si>
  <si>
    <t>fashion shoes</t>
  </si>
  <si>
    <t>michael kors purse</t>
  </si>
  <si>
    <t>mk purses</t>
  </si>
  <si>
    <t>black anarkali dress</t>
  </si>
  <si>
    <t>silver kada for men</t>
  </si>
  <si>
    <t>party gowns for women</t>
  </si>
  <si>
    <t>party gowns for ladies</t>
  </si>
  <si>
    <t>noise colorfit pro 2</t>
  </si>
  <si>
    <t>beige pants</t>
  </si>
  <si>
    <t>kundan set</t>
  </si>
  <si>
    <t>fit and flare dress</t>
  </si>
  <si>
    <t>adidas shoes</t>
  </si>
  <si>
    <t>daily wear gold bangles design</t>
  </si>
  <si>
    <t>yeezy foam runner</t>
  </si>
  <si>
    <t>best sandals for men</t>
  </si>
  <si>
    <t>yoga pants for women</t>
  </si>
  <si>
    <t>overcoat women</t>
  </si>
  <si>
    <t>over coat for women</t>
  </si>
  <si>
    <t>gold chain design</t>
  </si>
  <si>
    <t>bridal heels</t>
  </si>
  <si>
    <t>tshirt dress women</t>
  </si>
  <si>
    <t>boots for women</t>
  </si>
  <si>
    <t>puma backpack</t>
  </si>
  <si>
    <t>highlander jeans</t>
  </si>
  <si>
    <t>white jacket womens</t>
  </si>
  <si>
    <t>floral dresses for women</t>
  </si>
  <si>
    <t>indowestern for women</t>
  </si>
  <si>
    <t>kundan necklace</t>
  </si>
  <si>
    <t>croc slides</t>
  </si>
  <si>
    <t>winter jackets women</t>
  </si>
  <si>
    <t>loose shirts for women</t>
  </si>
  <si>
    <t>gym shorts</t>
  </si>
  <si>
    <t>flip flops</t>
  </si>
  <si>
    <t>silver anklet design</t>
  </si>
  <si>
    <t>wedding wear for women</t>
  </si>
  <si>
    <t>long winter coat women</t>
  </si>
  <si>
    <t>long winter jackets for women</t>
  </si>
  <si>
    <t>gym shorts women</t>
  </si>
  <si>
    <t>ladies gym shorts</t>
  </si>
  <si>
    <t>ladies pants</t>
  </si>
  <si>
    <t>winter jacket</t>
  </si>
  <si>
    <t>designer suits for women</t>
  </si>
  <si>
    <t>oxidised jewellery</t>
  </si>
  <si>
    <t>flip flop slippers</t>
  </si>
  <si>
    <t>noise colorfit pro 3</t>
  </si>
  <si>
    <t>wedding outfits for women</t>
  </si>
  <si>
    <t>pakistani suits</t>
  </si>
  <si>
    <t>office dresses for women</t>
  </si>
  <si>
    <t>zara jeans men</t>
  </si>
  <si>
    <t>floral print dress</t>
  </si>
  <si>
    <t>boys jeans</t>
  </si>
  <si>
    <t>bomber jacket women</t>
  </si>
  <si>
    <t>denim skirts for women</t>
  </si>
  <si>
    <t>best shoe brands</t>
  </si>
  <si>
    <t>1 gram gold ring</t>
  </si>
  <si>
    <t>amiri shoes</t>
  </si>
  <si>
    <t>women dresses</t>
  </si>
  <si>
    <t>dresses for wedding</t>
  </si>
  <si>
    <t>birthday party dress</t>
  </si>
  <si>
    <t>birthday party wear dress</t>
  </si>
  <si>
    <t>kundan jewellery set</t>
  </si>
  <si>
    <t>wrap dress</t>
  </si>
  <si>
    <t>yonex badminton shoes</t>
  </si>
  <si>
    <t>chino pants</t>
  </si>
  <si>
    <t>cargo pants men</t>
  </si>
  <si>
    <t>brown jeans women</t>
  </si>
  <si>
    <t>saree jacket</t>
  </si>
  <si>
    <t>midi dress</t>
  </si>
  <si>
    <t>yeezy 350</t>
  </si>
  <si>
    <t>ethnic wear for women</t>
  </si>
  <si>
    <t>oxidised earrings</t>
  </si>
  <si>
    <t>men gold chain design</t>
  </si>
  <si>
    <t>gents gold chain design</t>
  </si>
  <si>
    <t>ralph lauren shirt</t>
  </si>
  <si>
    <t>tommy hilfiger bag</t>
  </si>
  <si>
    <t>dungaree dress for women</t>
  </si>
  <si>
    <t>indo western dress for women</t>
  </si>
  <si>
    <t>shoulder bag</t>
  </si>
  <si>
    <t>long coat</t>
  </si>
  <si>
    <t>suitcase bag</t>
  </si>
  <si>
    <t>panda dunks</t>
  </si>
  <si>
    <t>1 gram gold jewellery</t>
  </si>
  <si>
    <t>shoe brands</t>
  </si>
  <si>
    <t>adidas running shoes</t>
  </si>
  <si>
    <t>womens denim shorts</t>
  </si>
  <si>
    <t>casual wear shirts</t>
  </si>
  <si>
    <t>crop top dress</t>
  </si>
  <si>
    <t>22k gold bangles designs with price</t>
  </si>
  <si>
    <t>denim dress for women</t>
  </si>
  <si>
    <t>birkenstock sandals</t>
  </si>
  <si>
    <t>fossil smartwatch</t>
  </si>
  <si>
    <t>cargo pants baggy</t>
  </si>
  <si>
    <t>adidas shoes for men</t>
  </si>
  <si>
    <t>temple jewellery set</t>
  </si>
  <si>
    <t>short skirts for women</t>
  </si>
  <si>
    <t>frock dress for women</t>
  </si>
  <si>
    <t>mens puffer jacket</t>
  </si>
  <si>
    <t>office bag</t>
  </si>
  <si>
    <t>puma store</t>
  </si>
  <si>
    <t>camisole tops</t>
  </si>
  <si>
    <t>heels</t>
  </si>
  <si>
    <t>long tops</t>
  </si>
  <si>
    <t>boot cut womens jeans</t>
  </si>
  <si>
    <t>western gown for women</t>
  </si>
  <si>
    <t>halter neck top</t>
  </si>
  <si>
    <t>short party dresses</t>
  </si>
  <si>
    <t>party wear short dress</t>
  </si>
  <si>
    <t>party wear short frock</t>
  </si>
  <si>
    <t>short frocks for party</t>
  </si>
  <si>
    <t>best sports shoes for men</t>
  </si>
  <si>
    <t>jack and jones shoes</t>
  </si>
  <si>
    <t>flying machine jeans</t>
  </si>
  <si>
    <t>winter sweaters for women</t>
  </si>
  <si>
    <t>sports shoes for women</t>
  </si>
  <si>
    <t>couple bracelets</t>
  </si>
  <si>
    <t>puma jackets for women</t>
  </si>
  <si>
    <t>woolen sweater for women</t>
  </si>
  <si>
    <t>woolen sweater for ladies</t>
  </si>
  <si>
    <t>mens sandals</t>
  </si>
  <si>
    <t>best running shoes for men</t>
  </si>
  <si>
    <t>kundan earrings</t>
  </si>
  <si>
    <t>asics running shoes</t>
  </si>
  <si>
    <t>cotton suits for women</t>
  </si>
  <si>
    <t>gold earrings with price</t>
  </si>
  <si>
    <t>puma motorsport shoes</t>
  </si>
  <si>
    <t>casual wear for men</t>
  </si>
  <si>
    <t>casual dressing for men</t>
  </si>
  <si>
    <t>casual attire for male</t>
  </si>
  <si>
    <t>casual mens attire</t>
  </si>
  <si>
    <t>punjabi suits</t>
  </si>
  <si>
    <t>formal tops for women</t>
  </si>
  <si>
    <t>pumps heels</t>
  </si>
  <si>
    <t>varsity jacket women</t>
  </si>
  <si>
    <t>girls cargo pants</t>
  </si>
  <si>
    <t>converse shoes</t>
  </si>
  <si>
    <t>birkenstock slippers</t>
  </si>
  <si>
    <t>puma black sneakers</t>
  </si>
  <si>
    <t>trekking shoes for men</t>
  </si>
  <si>
    <t>steve madden shoes</t>
  </si>
  <si>
    <t>gold necklace with price</t>
  </si>
  <si>
    <t>spikes shoes</t>
  </si>
  <si>
    <t>gym pants for women</t>
  </si>
  <si>
    <t>gym dress for men</t>
  </si>
  <si>
    <t>oversized t shirt women</t>
  </si>
  <si>
    <t>h&amp;m hoodies men</t>
  </si>
  <si>
    <t>h and m hoodies for men</t>
  </si>
  <si>
    <t>womens shorts</t>
  </si>
  <si>
    <t>long earrings</t>
  </si>
  <si>
    <t>long jacket men</t>
  </si>
  <si>
    <t>shorts</t>
  </si>
  <si>
    <t>cord set dress</t>
  </si>
  <si>
    <t>2 gram gold ring</t>
  </si>
  <si>
    <t>ladies sports shoes</t>
  </si>
  <si>
    <t>puma mercedes shoes</t>
  </si>
  <si>
    <t>converse chuck taylor</t>
  </si>
  <si>
    <t>trending dresses for women</t>
  </si>
  <si>
    <t>diwali dress for women</t>
  </si>
  <si>
    <t>mens locket</t>
  </si>
  <si>
    <t>adidas cricket shoes</t>
  </si>
  <si>
    <t>wedge heels</t>
  </si>
  <si>
    <t>women's suits</t>
  </si>
  <si>
    <t>woolen dresses for women</t>
  </si>
  <si>
    <t>denim jacket women</t>
  </si>
  <si>
    <t>short jackets for women</t>
  </si>
  <si>
    <t>stylish shoes</t>
  </si>
  <si>
    <t>party wear dresses for women</t>
  </si>
  <si>
    <t>party wear frocks for women</t>
  </si>
  <si>
    <t>party wear frocks for ladies</t>
  </si>
  <si>
    <t>zip hoodie women</t>
  </si>
  <si>
    <t>tunic clothing</t>
  </si>
  <si>
    <t>womens rucksack</t>
  </si>
  <si>
    <t>summer dress for women</t>
  </si>
  <si>
    <t>trekking shoes</t>
  </si>
  <si>
    <t>wool sweater</t>
  </si>
  <si>
    <t>maxi dresses for women</t>
  </si>
  <si>
    <t>printed hoodies for men</t>
  </si>
  <si>
    <t>lacoste shoes</t>
  </si>
  <si>
    <t>vans shoes for men</t>
  </si>
  <si>
    <t>vans sneakers for men</t>
  </si>
  <si>
    <t>velvet dress women</t>
  </si>
  <si>
    <t>gold bangles price</t>
  </si>
  <si>
    <t>adidas hoodie</t>
  </si>
  <si>
    <t>fleece leggings</t>
  </si>
  <si>
    <t>shoe laces</t>
  </si>
  <si>
    <t>two piece dresses</t>
  </si>
  <si>
    <t>shoe polish</t>
  </si>
  <si>
    <t>stylish sweater for women</t>
  </si>
  <si>
    <t>ladies gold ring design</t>
  </si>
  <si>
    <t>necklace set</t>
  </si>
  <si>
    <t>wedding party wear dress</t>
  </si>
  <si>
    <t>party wear gown for wedding</t>
  </si>
  <si>
    <t>short dresses for women</t>
  </si>
  <si>
    <t>performax shoes</t>
  </si>
  <si>
    <t>transparent heels</t>
  </si>
  <si>
    <t>adidas running shoes for men</t>
  </si>
  <si>
    <t>rain jacket men</t>
  </si>
  <si>
    <t>rain coats men</t>
  </si>
  <si>
    <t>black heels for women</t>
  </si>
  <si>
    <t>chelsea boots</t>
  </si>
  <si>
    <t>korean baggy pants</t>
  </si>
  <si>
    <t>black heels</t>
  </si>
  <si>
    <t>adidas sneakers</t>
  </si>
  <si>
    <t>beach dresses for women</t>
  </si>
  <si>
    <t>beach dress for women</t>
  </si>
  <si>
    <t>stiletto heels</t>
  </si>
  <si>
    <t>party gown dresses</t>
  </si>
  <si>
    <t>biker jacket men</t>
  </si>
  <si>
    <t>adidas t shirts for men</t>
  </si>
  <si>
    <t>designer blouse</t>
  </si>
  <si>
    <t>footwear for women</t>
  </si>
  <si>
    <t>stylish dresses for women</t>
  </si>
  <si>
    <t>riding jacket</t>
  </si>
  <si>
    <t>black trousers women</t>
  </si>
  <si>
    <t>crop sweater for women</t>
  </si>
  <si>
    <t>long coat women</t>
  </si>
  <si>
    <t>long jacket women</t>
  </si>
  <si>
    <t>long overcoat women</t>
  </si>
  <si>
    <t>cotton shirts for women</t>
  </si>
  <si>
    <t>adidas flip flops</t>
  </si>
  <si>
    <t>party saree</t>
  </si>
  <si>
    <t>south indian jewellery</t>
  </si>
  <si>
    <t>varsity jacket mens</t>
  </si>
  <si>
    <t>mens letterman jacket</t>
  </si>
  <si>
    <t>men letterman jacket</t>
  </si>
  <si>
    <t>birthday party dress for women</t>
  </si>
  <si>
    <t>traditional dress for women</t>
  </si>
  <si>
    <t>traditional dresses for ladies</t>
  </si>
  <si>
    <t>foam runners</t>
  </si>
  <si>
    <t>cargo black pants</t>
  </si>
  <si>
    <t>mens leather jackets</t>
  </si>
  <si>
    <t>leather coats for men</t>
  </si>
  <si>
    <t>hot dresses for women</t>
  </si>
  <si>
    <t>relaxed fit jeans women</t>
  </si>
  <si>
    <t>loose fit jeans women</t>
  </si>
  <si>
    <t>sweaters for women</t>
  </si>
  <si>
    <t>collar t shirt for women</t>
  </si>
  <si>
    <t>adidas basketball shoes</t>
  </si>
  <si>
    <t>traditional dress for men</t>
  </si>
  <si>
    <t>party wear western dresses</t>
  </si>
  <si>
    <t>western dresses for party</t>
  </si>
  <si>
    <t>winter tops for women</t>
  </si>
  <si>
    <t>myntra tops</t>
  </si>
  <si>
    <t>tunic tops</t>
  </si>
  <si>
    <t>best hoodies for men</t>
  </si>
  <si>
    <t>jeans crop top</t>
  </si>
  <si>
    <t>sexy dresses</t>
  </si>
  <si>
    <t>long frocks</t>
  </si>
  <si>
    <t>clutch bag</t>
  </si>
  <si>
    <t>yoga clothes for women</t>
  </si>
  <si>
    <t>yoga dress for women</t>
  </si>
  <si>
    <t>jacket with hoodie</t>
  </si>
  <si>
    <t>skirt top for women</t>
  </si>
  <si>
    <t>short tops</t>
  </si>
  <si>
    <t>churidar</t>
  </si>
  <si>
    <t>mens sports shorts</t>
  </si>
  <si>
    <t>heels for women</t>
  </si>
  <si>
    <t>straight fit jeans</t>
  </si>
  <si>
    <t>puma slippers for women</t>
  </si>
  <si>
    <t>sweatshirt</t>
  </si>
  <si>
    <t>sling purse for women</t>
  </si>
  <si>
    <t>sling bags for ladies</t>
  </si>
  <si>
    <t>white cargo jeans</t>
  </si>
  <si>
    <t>jogger jeans women</t>
  </si>
  <si>
    <t>wildcraft shoes</t>
  </si>
  <si>
    <t>long skirts</t>
  </si>
  <si>
    <t>white pants for women</t>
  </si>
  <si>
    <t>football shoes for men</t>
  </si>
  <si>
    <t>loafers for women</t>
  </si>
  <si>
    <t>denim jeans for women</t>
  </si>
  <si>
    <t>sexy dresses for women</t>
  </si>
  <si>
    <t>skirt and top for women</t>
  </si>
  <si>
    <t>sweatshirts for women</t>
  </si>
  <si>
    <t>nike sb</t>
  </si>
  <si>
    <t>fossil watch price</t>
  </si>
  <si>
    <t>slip on shoes for men</t>
  </si>
  <si>
    <t>ladies suits</t>
  </si>
  <si>
    <t>yellow dresses for women</t>
  </si>
  <si>
    <t>latest dress for women</t>
  </si>
  <si>
    <t>bridal sandals</t>
  </si>
  <si>
    <t>touch ghadi</t>
  </si>
  <si>
    <t>woodland shoes</t>
  </si>
  <si>
    <t>womens trousers</t>
  </si>
  <si>
    <t>football boots</t>
  </si>
  <si>
    <t>party wear dress</t>
  </si>
  <si>
    <t>hoodies for women</t>
  </si>
  <si>
    <t>cropped jacket womens</t>
  </si>
  <si>
    <t>crop jacket for women</t>
  </si>
  <si>
    <t>sports shoes for men</t>
  </si>
  <si>
    <t>fancy dresses for women</t>
  </si>
  <si>
    <t>studs shoes</t>
  </si>
  <si>
    <t>summer tops</t>
  </si>
  <si>
    <t>adidas slippers</t>
  </si>
  <si>
    <t>black sweater women</t>
  </si>
  <si>
    <t>birthday dresses for women</t>
  </si>
  <si>
    <t>ladies birthday dress</t>
  </si>
  <si>
    <t>trench coat men</t>
  </si>
  <si>
    <t>gold ring price</t>
  </si>
  <si>
    <t>jewellery set</t>
  </si>
  <si>
    <t>party wear indian dresses</t>
  </si>
  <si>
    <t>leather shoes</t>
  </si>
  <si>
    <t>small bag</t>
  </si>
  <si>
    <t>columbia jacket</t>
  </si>
  <si>
    <t>polo t shirts mens</t>
  </si>
  <si>
    <t>black t shirt women</t>
  </si>
  <si>
    <t>formal shirts for women</t>
  </si>
  <si>
    <t>american diamond necklace</t>
  </si>
  <si>
    <t>white hoodie</t>
  </si>
  <si>
    <t>mens wedding shoes</t>
  </si>
  <si>
    <t>badminton shoes for men</t>
  </si>
  <si>
    <t>baby shoes</t>
  </si>
  <si>
    <t>basketball shoes</t>
  </si>
  <si>
    <t>bball shoes</t>
  </si>
  <si>
    <t>black jeans</t>
  </si>
  <si>
    <t>choker necklace set</t>
  </si>
  <si>
    <t>nike backpacks</t>
  </si>
  <si>
    <t>nike backpack</t>
  </si>
  <si>
    <t>nike bag backpack</t>
  </si>
  <si>
    <t>fossil gen 6</t>
  </si>
  <si>
    <t>gym t shirts for men</t>
  </si>
  <si>
    <t>wedges for women</t>
  </si>
  <si>
    <t>long dresses for women</t>
  </si>
  <si>
    <t>handbags</t>
  </si>
  <si>
    <t>trekking bag</t>
  </si>
  <si>
    <t>girls jeans</t>
  </si>
  <si>
    <t>pregnancy dresses</t>
  </si>
  <si>
    <t>cropped sweatshirt women</t>
  </si>
  <si>
    <t>white heels for women</t>
  </si>
  <si>
    <t>mens sweatshirts</t>
  </si>
  <si>
    <t>safari backpack</t>
  </si>
  <si>
    <t>tanishq gold chain for men</t>
  </si>
  <si>
    <t>adidas samba</t>
  </si>
  <si>
    <t>best smartwatch for women</t>
  </si>
  <si>
    <t>puma bag</t>
  </si>
  <si>
    <t>coat suit for women</t>
  </si>
  <si>
    <t>girls sandals</t>
  </si>
  <si>
    <t>torn jeans</t>
  </si>
  <si>
    <t>yellow dress for haldi</t>
  </si>
  <si>
    <t>mens crossbody bag</t>
  </si>
  <si>
    <t>woolen tops for women</t>
  </si>
  <si>
    <t>palazzo pants</t>
  </si>
  <si>
    <t>organza saree party wear</t>
  </si>
  <si>
    <t>high heels for women</t>
  </si>
  <si>
    <t>western dresses for women</t>
  </si>
  <si>
    <t>high neck sweater women</t>
  </si>
  <si>
    <t>puffer jacket</t>
  </si>
  <si>
    <t>ladies summer tops</t>
  </si>
  <si>
    <t>black coat</t>
  </si>
  <si>
    <t>party wear gown</t>
  </si>
  <si>
    <t>gown dress party wear</t>
  </si>
  <si>
    <t>high waisted jeans</t>
  </si>
  <si>
    <t>converse high tops</t>
  </si>
  <si>
    <t>party wear sarees</t>
  </si>
  <si>
    <t>party wear long dresses</t>
  </si>
  <si>
    <t>long party wear gown</t>
  </si>
  <si>
    <t>long frock party wear</t>
  </si>
  <si>
    <t>full sleeve crop top</t>
  </si>
  <si>
    <t>gap hoodie men</t>
  </si>
  <si>
    <t>slippers</t>
  </si>
  <si>
    <t>h&amp;m jeans women</t>
  </si>
  <si>
    <t>black sling bag</t>
  </si>
  <si>
    <t>watches</t>
  </si>
  <si>
    <t>converse all star</t>
  </si>
  <si>
    <t>laptop bags</t>
  </si>
  <si>
    <t>modern dress for women</t>
  </si>
  <si>
    <t>windbreaker</t>
  </si>
  <si>
    <t>midi dress for women</t>
  </si>
  <si>
    <t>windcheater for women</t>
  </si>
  <si>
    <t>us polo jacket</t>
  </si>
  <si>
    <t>uspa jackets</t>
  </si>
  <si>
    <t>sweat shirt for women</t>
  </si>
  <si>
    <t>reeboks</t>
  </si>
  <si>
    <t>black pants</t>
  </si>
  <si>
    <t>red saree party wear</t>
  </si>
  <si>
    <t>red saree for party</t>
  </si>
  <si>
    <t>casual dress for men</t>
  </si>
  <si>
    <t>casual dress clothes for guys</t>
  </si>
  <si>
    <t>poncho raincoat</t>
  </si>
  <si>
    <t>light blue jeans</t>
  </si>
  <si>
    <t>trendy tops for women</t>
  </si>
  <si>
    <t>trending tops for women</t>
  </si>
  <si>
    <t>fancy tops for women</t>
  </si>
  <si>
    <t>womens t shirt</t>
  </si>
  <si>
    <t>wedding suits for women</t>
  </si>
  <si>
    <t>vans old skool</t>
  </si>
  <si>
    <t>grey jeans</t>
  </si>
  <si>
    <t>grey denim jeans</t>
  </si>
  <si>
    <t>black jacket</t>
  </si>
  <si>
    <t>babydoll dresses</t>
  </si>
  <si>
    <t>red one piece dress</t>
  </si>
  <si>
    <t>jeans shirt</t>
  </si>
  <si>
    <t>crocs slippers for men</t>
  </si>
  <si>
    <t>puma tracksuit</t>
  </si>
  <si>
    <t>jeans for women</t>
  </si>
  <si>
    <t>lehenga for wedding party</t>
  </si>
  <si>
    <t>cargo pants for women</t>
  </si>
  <si>
    <t>hobo purses</t>
  </si>
  <si>
    <t>bell bottom jeans for women</t>
  </si>
  <si>
    <t>handbags for women</t>
  </si>
  <si>
    <t>puma sneakers for ladies</t>
  </si>
  <si>
    <t>long sweaters for women</t>
  </si>
  <si>
    <t>black sandals for women</t>
  </si>
  <si>
    <t>heeled sandals</t>
  </si>
  <si>
    <t>oxidised jewellery set</t>
  </si>
  <si>
    <t>girls jackets</t>
  </si>
  <si>
    <t>armani watch</t>
  </si>
  <si>
    <t>converse sneakers</t>
  </si>
  <si>
    <t>punjabi sharara suits</t>
  </si>
  <si>
    <t>boyfriend jeans</t>
  </si>
  <si>
    <t>bf jeans</t>
  </si>
  <si>
    <t>white jeans</t>
  </si>
  <si>
    <t>half jacket for women</t>
  </si>
  <si>
    <t>denim jeans for men</t>
  </si>
  <si>
    <t>dhoti dress for women</t>
  </si>
  <si>
    <t>nike mercurial</t>
  </si>
  <si>
    <t>floral tops for women</t>
  </si>
  <si>
    <t>straight fit jeans women</t>
  </si>
  <si>
    <t>black hoodie mens</t>
  </si>
  <si>
    <t>wildcraft jacket</t>
  </si>
  <si>
    <t>baggit handbags</t>
  </si>
  <si>
    <t>baggit purse</t>
  </si>
  <si>
    <t>nike air max 90</t>
  </si>
  <si>
    <t>nike airmax 90</t>
  </si>
  <si>
    <t>diesel watches</t>
  </si>
  <si>
    <t>boat xtend</t>
  </si>
  <si>
    <t>puma sneakers</t>
  </si>
  <si>
    <t>rain coat women</t>
  </si>
  <si>
    <t>cotton t shirts for women</t>
  </si>
  <si>
    <t>brown jacket men</t>
  </si>
  <si>
    <t>denim jeans</t>
  </si>
  <si>
    <t>gown dress for women</t>
  </si>
  <si>
    <t>rucksack bag</t>
  </si>
  <si>
    <t>mens sneakers</t>
  </si>
  <si>
    <t>punjabi dress for women</t>
  </si>
  <si>
    <t>sharara dress for women</t>
  </si>
  <si>
    <t>mens black cargo pants</t>
  </si>
  <si>
    <t>gap hoodie</t>
  </si>
  <si>
    <t>sleeveless tops</t>
  </si>
  <si>
    <t>long skirt with top</t>
  </si>
  <si>
    <t>long skirt and top</t>
  </si>
  <si>
    <t>flat sandals</t>
  </si>
  <si>
    <t>man purse</t>
  </si>
  <si>
    <t>stylish tops for women</t>
  </si>
  <si>
    <t>nike factory outlet</t>
  </si>
  <si>
    <t>puma jacket</t>
  </si>
  <si>
    <t>mens asics trainers</t>
  </si>
  <si>
    <t>asics sneakers for men</t>
  </si>
  <si>
    <t>shoe brands for women</t>
  </si>
  <si>
    <t>kids raincoat</t>
  </si>
  <si>
    <t>us polo shirts</t>
  </si>
  <si>
    <t>us polo assn shirts</t>
  </si>
  <si>
    <t>polo assn shirts</t>
  </si>
  <si>
    <t>black one piece dress</t>
  </si>
  <si>
    <t>mens rucksack</t>
  </si>
  <si>
    <t>traditional wear for women</t>
  </si>
  <si>
    <t>platform heels</t>
  </si>
  <si>
    <t>korean style dresses</t>
  </si>
  <si>
    <t>woodland sandals</t>
  </si>
  <si>
    <t>doc sneakers</t>
  </si>
  <si>
    <t>birthday outfits for women</t>
  </si>
  <si>
    <t>birthday clothes for ladies</t>
  </si>
  <si>
    <t>bangles set</t>
  </si>
  <si>
    <t>purses</t>
  </si>
  <si>
    <t>american tourister backpack</t>
  </si>
  <si>
    <t>allen solly jacket</t>
  </si>
  <si>
    <t>crocs literide</t>
  </si>
  <si>
    <t>white hoodie mens</t>
  </si>
  <si>
    <t>sneaker</t>
  </si>
  <si>
    <t>dresses for women for wedding</t>
  </si>
  <si>
    <t>western dresses</t>
  </si>
  <si>
    <t>leather jacket</t>
  </si>
  <si>
    <t>nike panda dunks</t>
  </si>
  <si>
    <t>wedding dress for men</t>
  </si>
  <si>
    <t>jackets for women</t>
  </si>
  <si>
    <t>mens jeans</t>
  </si>
  <si>
    <t>men's jeans</t>
  </si>
  <si>
    <t>adidas sports shoes</t>
  </si>
  <si>
    <t>puma bags for men</t>
  </si>
  <si>
    <t>us polo shirts for men</t>
  </si>
  <si>
    <t>uspa shirts men</t>
  </si>
  <si>
    <t>puma ferrari sneakers</t>
  </si>
  <si>
    <t>white jeans for women</t>
  </si>
  <si>
    <t>loose t shirt for women</t>
  </si>
  <si>
    <t>backpack for women</t>
  </si>
  <si>
    <t>party wear saree for wedding</t>
  </si>
  <si>
    <t>best sneakers for men</t>
  </si>
  <si>
    <t>us polo t shirt</t>
  </si>
  <si>
    <t>uspa polo t shirts</t>
  </si>
  <si>
    <t>t shirt us polo assn</t>
  </si>
  <si>
    <t>us polo polo t shirts</t>
  </si>
  <si>
    <t>polo assn t shirts</t>
  </si>
  <si>
    <t>stylish hoodies for guys</t>
  </si>
  <si>
    <t>stylish hoodies for men</t>
  </si>
  <si>
    <t>ladies handbags</t>
  </si>
  <si>
    <t>jegging</t>
  </si>
  <si>
    <t>h&amp;m hoodie</t>
  </si>
  <si>
    <t>jeans tops for women</t>
  </si>
  <si>
    <t>mens ripped jeans</t>
  </si>
  <si>
    <t>saree for wedding party</t>
  </si>
  <si>
    <t>party sarees for wedding</t>
  </si>
  <si>
    <t>us polo sneakers</t>
  </si>
  <si>
    <t>nike court vision low</t>
  </si>
  <si>
    <t>nike court vision lo</t>
  </si>
  <si>
    <t>beautiful tops for ladies</t>
  </si>
  <si>
    <t>black denim jacket</t>
  </si>
  <si>
    <t>party wear gown for women</t>
  </si>
  <si>
    <t>ladies gown party wear</t>
  </si>
  <si>
    <t>adidas jacket</t>
  </si>
  <si>
    <t>sling bag women</t>
  </si>
  <si>
    <t>jacket</t>
  </si>
  <si>
    <t>haldi dress for men</t>
  </si>
  <si>
    <t>gym dress for women</t>
  </si>
  <si>
    <t>best slippers for men</t>
  </si>
  <si>
    <t>watches for women</t>
  </si>
  <si>
    <t>jeggings for women</t>
  </si>
  <si>
    <t>girls hoodies</t>
  </si>
  <si>
    <t>best jackets for men</t>
  </si>
  <si>
    <t>party wear suits for women</t>
  </si>
  <si>
    <t>party wear tops for women</t>
  </si>
  <si>
    <t>crochet bag</t>
  </si>
  <si>
    <t>blue jeans</t>
  </si>
  <si>
    <t>polo t shirts</t>
  </si>
  <si>
    <t>polo tee shirts</t>
  </si>
  <si>
    <t>polo jersey shirt</t>
  </si>
  <si>
    <t>t shirt polos</t>
  </si>
  <si>
    <t>office bag for men</t>
  </si>
  <si>
    <t>puma hoodie</t>
  </si>
  <si>
    <t>hot pants for women</t>
  </si>
  <si>
    <t>ladies white sneakers</t>
  </si>
  <si>
    <t>hoodies for men</t>
  </si>
  <si>
    <t>tunic tops for women</t>
  </si>
  <si>
    <t>guess handbags</t>
  </si>
  <si>
    <t>best smartwatch under 3000</t>
  </si>
  <si>
    <t>varsity jacket</t>
  </si>
  <si>
    <t>hand purse</t>
  </si>
  <si>
    <t>baggy pants mens</t>
  </si>
  <si>
    <t>latest dresses for ladies</t>
  </si>
  <si>
    <t>puma jackets for men</t>
  </si>
  <si>
    <t>best wedding dresses for men</t>
  </si>
  <si>
    <t>guess bags</t>
  </si>
  <si>
    <t>waterproof shoes</t>
  </si>
  <si>
    <t>sneakers for women</t>
  </si>
  <si>
    <t>wrist watch for women</t>
  </si>
  <si>
    <t>stylish party wear dresses</t>
  </si>
  <si>
    <t>purple earrings</t>
  </si>
  <si>
    <t>baggy jeans women</t>
  </si>
  <si>
    <t>mens bootcut jeans</t>
  </si>
  <si>
    <t>engagement dress for men</t>
  </si>
  <si>
    <t>womens tracksuits</t>
  </si>
  <si>
    <t>boyfriend jeans for ladies</t>
  </si>
  <si>
    <t>jeans pant</t>
  </si>
  <si>
    <t>woodland sandals for men</t>
  </si>
  <si>
    <t>riding jacket for men</t>
  </si>
  <si>
    <t>puma bmw sneakers</t>
  </si>
  <si>
    <t>jordan 1</t>
  </si>
  <si>
    <t>puma sneakers for men</t>
  </si>
  <si>
    <t>black leather jacket</t>
  </si>
  <si>
    <t>one piece dress for women</t>
  </si>
  <si>
    <t>christmas dress women</t>
  </si>
  <si>
    <t>sweater jacket women</t>
  </si>
  <si>
    <t>ladies sweater jacket</t>
  </si>
  <si>
    <t>nike blazer mid 77</t>
  </si>
  <si>
    <t>ad jewellery set</t>
  </si>
  <si>
    <t>puma flip flops</t>
  </si>
  <si>
    <t>boys hoodies</t>
  </si>
  <si>
    <t>t shirts for women</t>
  </si>
  <si>
    <t>puma hoodie mens</t>
  </si>
  <si>
    <t>puma sweatshirt for men</t>
  </si>
  <si>
    <t>short frock for women</t>
  </si>
  <si>
    <t>bride bag</t>
  </si>
  <si>
    <t>bridal purse</t>
  </si>
  <si>
    <t>mens leather boots</t>
  </si>
  <si>
    <t>ghagra choli for women</t>
  </si>
  <si>
    <t>asics sneakers</t>
  </si>
  <si>
    <t>white jacket</t>
  </si>
  <si>
    <t>touch wali ghadi</t>
  </si>
  <si>
    <t>best smart watch under 3000</t>
  </si>
  <si>
    <t>mens slides</t>
  </si>
  <si>
    <t>puma white sneakers</t>
  </si>
  <si>
    <t>jeans top</t>
  </si>
  <si>
    <t>puma nitro</t>
  </si>
  <si>
    <t>latest western dresses in fashion</t>
  </si>
  <si>
    <t>rain coat men</t>
  </si>
  <si>
    <t>puma slippers</t>
  </si>
  <si>
    <t>mens boots</t>
  </si>
  <si>
    <t>best watches for men</t>
  </si>
  <si>
    <t>chelsea shoes</t>
  </si>
  <si>
    <t>branded jeans for men</t>
  </si>
  <si>
    <t>green jewellery set</t>
  </si>
  <si>
    <t>short tops for women</t>
  </si>
  <si>
    <t>wrist watch</t>
  </si>
  <si>
    <t>womens slippers</t>
  </si>
  <si>
    <t>senco jewellers</t>
  </si>
  <si>
    <t>rajputi jewellery</t>
  </si>
  <si>
    <t>womens casual shoes</t>
  </si>
  <si>
    <t>senco gold &amp; diamond</t>
  </si>
  <si>
    <t>john players jeans</t>
  </si>
  <si>
    <t>uspa tshirt</t>
  </si>
  <si>
    <t>party wear lehenga</t>
  </si>
  <si>
    <t>ladies sweaters</t>
  </si>
  <si>
    <t>ladies jeans top</t>
  </si>
  <si>
    <t>high neck sweater</t>
  </si>
  <si>
    <t>rain coat</t>
  </si>
  <si>
    <t>sling bags</t>
  </si>
  <si>
    <t>puma flip flops for men</t>
  </si>
  <si>
    <t>puma running shoes for men</t>
  </si>
  <si>
    <t>h&amp;m sweatshirt</t>
  </si>
  <si>
    <t>h and m sweatshirt</t>
  </si>
  <si>
    <t>hush puppies sandals</t>
  </si>
  <si>
    <t>adidas casual shoes for men</t>
  </si>
  <si>
    <t>purses for women</t>
  </si>
  <si>
    <t>chelsea boots men</t>
  </si>
  <si>
    <t>shoes for women</t>
  </si>
  <si>
    <t>korean dress</t>
  </si>
  <si>
    <t>loose jeans for men</t>
  </si>
  <si>
    <t>palazzo pants for women</t>
  </si>
  <si>
    <t>hot pants</t>
  </si>
  <si>
    <t>calvin klein jacket</t>
  </si>
  <si>
    <t>ck jacket</t>
  </si>
  <si>
    <t>flat sandals for women</t>
  </si>
  <si>
    <t>hush puppies shoes for men</t>
  </si>
  <si>
    <t>woodland slippers</t>
  </si>
  <si>
    <t>one gram gold jewellery</t>
  </si>
  <si>
    <t>adidas white sneakers</t>
  </si>
  <si>
    <t>hand purse for women</t>
  </si>
  <si>
    <t>puma slippers for men</t>
  </si>
  <si>
    <t>nike court vision</t>
  </si>
  <si>
    <t>brown shoes</t>
  </si>
  <si>
    <t>chiffon saree party wear</t>
  </si>
  <si>
    <t>wildcraft bag</t>
  </si>
  <si>
    <t>kalenji running shoes</t>
  </si>
  <si>
    <t>sandals for women</t>
  </si>
  <si>
    <t>party wear lehenga for women</t>
  </si>
  <si>
    <t>wedge sandals for women</t>
  </si>
  <si>
    <t>puma sandals</t>
  </si>
  <si>
    <t>ladies purse</t>
  </si>
  <si>
    <t>hand bag ladies</t>
  </si>
  <si>
    <t>nike air jordan shoes</t>
  </si>
  <si>
    <t>one piece dress</t>
  </si>
  <si>
    <t>best smartwatch under 2000</t>
  </si>
  <si>
    <t>relaxed fit jeans</t>
  </si>
  <si>
    <t>walkaroo shoes</t>
  </si>
  <si>
    <t>mens shorts</t>
  </si>
  <si>
    <t>black jeans men</t>
  </si>
  <si>
    <t>black denim jeans men</t>
  </si>
  <si>
    <t>mens loose fit jeans</t>
  </si>
  <si>
    <t>mens denim joggers</t>
  </si>
  <si>
    <t>plazo jeans</t>
  </si>
  <si>
    <t>puma t shirts for men</t>
  </si>
  <si>
    <t>korean dress for women</t>
  </si>
  <si>
    <t>black sneakers</t>
  </si>
  <si>
    <t>baggy jeans</t>
  </si>
  <si>
    <t>jeans pants for women</t>
  </si>
  <si>
    <t>girls sneakers</t>
  </si>
  <si>
    <t>cross slippers</t>
  </si>
  <si>
    <t>cargo jeans</t>
  </si>
  <si>
    <t>white jeans for men</t>
  </si>
  <si>
    <t>chunky sneakers</t>
  </si>
  <si>
    <t>fila shoes</t>
  </si>
  <si>
    <t>uspa polo shirts</t>
  </si>
  <si>
    <t>nike sb dunk low</t>
  </si>
  <si>
    <t>puma nitro shoes</t>
  </si>
  <si>
    <t>best smart watch under 2000</t>
  </si>
  <si>
    <t>heel sandals for women</t>
  </si>
  <si>
    <t>puma white shoes for men</t>
  </si>
  <si>
    <t>puma white sneakers for men</t>
  </si>
  <si>
    <t>white shoes for women</t>
  </si>
  <si>
    <t>mens jackets</t>
  </si>
  <si>
    <t>mens grey jeans</t>
  </si>
  <si>
    <t>gray jeans mens</t>
  </si>
  <si>
    <t>denim jacket</t>
  </si>
  <si>
    <t>straight fit jeans mens</t>
  </si>
  <si>
    <t>mens bell bottom pants</t>
  </si>
  <si>
    <t>bata shoes for women</t>
  </si>
  <si>
    <t>gym shoes</t>
  </si>
  <si>
    <t>gum shoes</t>
  </si>
  <si>
    <t>kurta with jeans</t>
  </si>
  <si>
    <t>girls slippers</t>
  </si>
  <si>
    <t>nike factory store</t>
  </si>
  <si>
    <t>trending shoes</t>
  </si>
  <si>
    <t>nike hoodie</t>
  </si>
  <si>
    <t>nike jordan 1</t>
  </si>
  <si>
    <t>party wear one piece</t>
  </si>
  <si>
    <t>one piece dress party wear</t>
  </si>
  <si>
    <t>mens black boots</t>
  </si>
  <si>
    <t>long t shirt for women</t>
  </si>
  <si>
    <t>tommy hilfiger jacket</t>
  </si>
  <si>
    <t>damage jeans</t>
  </si>
  <si>
    <t>leather sandals for men</t>
  </si>
  <si>
    <t>bomber jacket</t>
  </si>
  <si>
    <t>nike bags for men</t>
  </si>
  <si>
    <t>jordans</t>
  </si>
  <si>
    <t>lees jeans</t>
  </si>
  <si>
    <t>mens casual jackets</t>
  </si>
  <si>
    <t>mens dress casual jackets</t>
  </si>
  <si>
    <t>half sleeve jacket</t>
  </si>
  <si>
    <t>nike studs</t>
  </si>
  <si>
    <t>branded jackets for men</t>
  </si>
  <si>
    <t>lee cooper jeans</t>
  </si>
  <si>
    <t>puma sandals for men</t>
  </si>
  <si>
    <t>wildcraft backpack</t>
  </si>
  <si>
    <t>nike sandals for men</t>
  </si>
  <si>
    <t>dangri for women</t>
  </si>
  <si>
    <t>nike air max</t>
  </si>
  <si>
    <t>stretchable blouse</t>
  </si>
  <si>
    <t>short one piece dress</t>
  </si>
  <si>
    <t>hoodie shirts for men</t>
  </si>
  <si>
    <t>jeans pants for men</t>
  </si>
  <si>
    <t>jeans trousers for men</t>
  </si>
  <si>
    <t>tommy hilfiger shoes</t>
  </si>
  <si>
    <t>puma white shoes</t>
  </si>
  <si>
    <t>long tops for jeans</t>
  </si>
  <si>
    <t>nike air</t>
  </si>
  <si>
    <t>white jacket men</t>
  </si>
  <si>
    <t>trolly bag vip</t>
  </si>
  <si>
    <t>best smart watch under 5000</t>
  </si>
  <si>
    <t>amazon dresses</t>
  </si>
  <si>
    <t>nike blazers</t>
  </si>
  <si>
    <t>nike airforce</t>
  </si>
  <si>
    <t>stylish jacket for men</t>
  </si>
  <si>
    <t>branded shoes for men</t>
  </si>
  <si>
    <t>dunks</t>
  </si>
  <si>
    <t>nike dunk low</t>
  </si>
  <si>
    <t>low dunks nike</t>
  </si>
  <si>
    <t>kalenji shoes</t>
  </si>
  <si>
    <t>nike jordan</t>
  </si>
  <si>
    <t>ladies blazer</t>
  </si>
  <si>
    <t>leather slippers for men</t>
  </si>
  <si>
    <t>nike trackpants</t>
  </si>
  <si>
    <t>bata formal shoes</t>
  </si>
  <si>
    <t>boys shoes</t>
  </si>
  <si>
    <t>sreeleathers shoes</t>
  </si>
  <si>
    <t>nike basketball shoes</t>
  </si>
  <si>
    <t>wranglers jeans</t>
  </si>
  <si>
    <t>bata sandals for men</t>
  </si>
  <si>
    <t>nike dunks</t>
  </si>
  <si>
    <t>cargo jeans for men</t>
  </si>
  <si>
    <t>nike football boots</t>
  </si>
  <si>
    <t>nike jordan shoes</t>
  </si>
  <si>
    <t>nike sneakers men</t>
  </si>
  <si>
    <t>cotton jacket for men</t>
  </si>
  <si>
    <t>wrist watch for men</t>
  </si>
  <si>
    <t>bata sandals</t>
  </si>
  <si>
    <t>men's high top sneakers</t>
  </si>
  <si>
    <t>clogs for women</t>
  </si>
  <si>
    <t>heavy party wear saree</t>
  </si>
  <si>
    <t>best shoes for men</t>
  </si>
  <si>
    <t>nike jacket</t>
  </si>
  <si>
    <t>nike jackets</t>
  </si>
  <si>
    <t>cole haan shoes</t>
  </si>
  <si>
    <t>fort collins jacket</t>
  </si>
  <si>
    <t>ladies jackets</t>
  </si>
  <si>
    <t>high ankle shoes for men</t>
  </si>
  <si>
    <t>jeans shirt for men</t>
  </si>
  <si>
    <t>high top sneakers</t>
  </si>
  <si>
    <t>flipkart bag</t>
  </si>
  <si>
    <t>gmt</t>
  </si>
  <si>
    <t>g shock watches for men</t>
  </si>
  <si>
    <t>sneakers shoes</t>
  </si>
  <si>
    <t>hakoba blouse</t>
  </si>
  <si>
    <t>shoes</t>
  </si>
  <si>
    <t>ladies jeans</t>
  </si>
  <si>
    <t>sarees for farewell party</t>
  </si>
  <si>
    <t>waterproof shoes for men</t>
  </si>
  <si>
    <t>ladies sandals</t>
  </si>
  <si>
    <t>best shoes</t>
  </si>
  <si>
    <t>windcheater for men</t>
  </si>
  <si>
    <t>nike air zoom</t>
  </si>
  <si>
    <t>clogs</t>
  </si>
  <si>
    <t>zudio shoes</t>
  </si>
  <si>
    <t>air force shoes</t>
  </si>
  <si>
    <t>ladies shoes</t>
  </si>
  <si>
    <t>nike football shoes</t>
  </si>
  <si>
    <t>black shoes</t>
  </si>
  <si>
    <t>nike bag</t>
  </si>
  <si>
    <t>casio digital watch</t>
  </si>
  <si>
    <t>blazer coat</t>
  </si>
  <si>
    <t>ladies t shirt</t>
  </si>
  <si>
    <t>quechua bag</t>
  </si>
  <si>
    <t>loafer shoes for men</t>
  </si>
  <si>
    <t>bata sandals for women</t>
  </si>
  <si>
    <t>mens bags</t>
  </si>
  <si>
    <t>air jordan shoes</t>
  </si>
  <si>
    <t>nike store</t>
  </si>
  <si>
    <t>mens slippers</t>
  </si>
  <si>
    <t>half jacket for men</t>
  </si>
  <si>
    <t>black formal shoes</t>
  </si>
  <si>
    <t>nike white sneakers</t>
  </si>
  <si>
    <t>roller skate shoes</t>
  </si>
  <si>
    <t>black saree party wear</t>
  </si>
  <si>
    <t>black saree for party</t>
  </si>
  <si>
    <t>light shoes</t>
  </si>
  <si>
    <t>boat watch price</t>
  </si>
  <si>
    <t>sarara dress party wear</t>
  </si>
  <si>
    <t>nike flip flops</t>
  </si>
  <si>
    <t>mens casual shoes</t>
  </si>
  <si>
    <t>skybags backpack</t>
  </si>
  <si>
    <t>formal shoes for men</t>
  </si>
  <si>
    <t>best smartwatch under 5000</t>
  </si>
  <si>
    <t>bata shoes for men</t>
  </si>
  <si>
    <t>chandi ka kada</t>
  </si>
  <si>
    <t>air shoes for men</t>
  </si>
  <si>
    <t>nike shoes</t>
  </si>
  <si>
    <t>mens duffle bag</t>
  </si>
  <si>
    <t>red tape jackets</t>
  </si>
  <si>
    <t>ladies purse amazon</t>
  </si>
  <si>
    <t>mens shoes</t>
  </si>
  <si>
    <t>nike socks</t>
  </si>
  <si>
    <t>reebok shoes</t>
  </si>
  <si>
    <t>stylish shoes for men</t>
  </si>
  <si>
    <t>jordan shoes</t>
  </si>
  <si>
    <t>amazon women dresses</t>
  </si>
  <si>
    <t>loafer shoes</t>
  </si>
  <si>
    <t>nike running shoes for men</t>
  </si>
  <si>
    <t>nike sports shoes for men</t>
  </si>
  <si>
    <t>one piece dress long</t>
  </si>
  <si>
    <t>jordan shoes for men</t>
  </si>
  <si>
    <t>sharara dress for wedding</t>
  </si>
  <si>
    <t>nike slippers</t>
  </si>
  <si>
    <t>sparx shoes</t>
  </si>
  <si>
    <t>jeans jacket for men</t>
  </si>
  <si>
    <t>baggy jeans men</t>
  </si>
  <si>
    <t>titan watch price</t>
  </si>
  <si>
    <t>myntra tops for women</t>
  </si>
  <si>
    <t>black and white shoes</t>
  </si>
  <si>
    <t>formal shoes</t>
  </si>
  <si>
    <t>clogs for men</t>
  </si>
  <si>
    <t>seiko 5</t>
  </si>
  <si>
    <t>white sneakers</t>
  </si>
  <si>
    <t>sneakers shoes for men</t>
  </si>
  <si>
    <t>red tape shoes</t>
  </si>
  <si>
    <t>school shoes</t>
  </si>
  <si>
    <t>rain shoes</t>
  </si>
  <si>
    <t>casio vintage</t>
  </si>
  <si>
    <t>ladies coats</t>
  </si>
  <si>
    <t>red tape shoes for men</t>
  </si>
  <si>
    <t>allen cooper safety shoes</t>
  </si>
  <si>
    <t>leather shoes for men</t>
  </si>
  <si>
    <t>nike air shoes</t>
  </si>
  <si>
    <t>small bag for men</t>
  </si>
  <si>
    <t>kipsta football shoes</t>
  </si>
  <si>
    <t>shoes without laces</t>
  </si>
  <si>
    <t>hoka shoes</t>
  </si>
  <si>
    <t>g shock</t>
  </si>
  <si>
    <t>bmw shoes</t>
  </si>
  <si>
    <t>white sports shoes for men</t>
  </si>
  <si>
    <t>boys slippers</t>
  </si>
  <si>
    <t>jordan shoes price</t>
  </si>
  <si>
    <t>black nike sneakers</t>
  </si>
  <si>
    <t>ladies jeans pant</t>
  </si>
  <si>
    <t>black sports shoes</t>
  </si>
  <si>
    <t>windcheater jacket</t>
  </si>
  <si>
    <t>bata slippers for men</t>
  </si>
  <si>
    <t>adidas shoes price</t>
  </si>
  <si>
    <t>nike casual shoes for men</t>
  </si>
  <si>
    <t>nike sneakers</t>
  </si>
  <si>
    <t>ladies frock</t>
  </si>
  <si>
    <t>ladies gown</t>
  </si>
  <si>
    <t>casio g shock</t>
  </si>
  <si>
    <t>lyra leggings</t>
  </si>
  <si>
    <t>sparx shoes for men</t>
  </si>
  <si>
    <t>nb shoes</t>
  </si>
  <si>
    <t>casio edifice</t>
  </si>
  <si>
    <t>high top shoes</t>
  </si>
  <si>
    <t>ladies slippers</t>
  </si>
  <si>
    <t>long shoes for men</t>
  </si>
  <si>
    <t>windcheater</t>
  </si>
  <si>
    <t>sports t shirts for men</t>
  </si>
  <si>
    <t>cotton jeans for men</t>
  </si>
  <si>
    <t>gym bag for men</t>
  </si>
  <si>
    <t>red tape sports shoes</t>
  </si>
  <si>
    <t>casio ae1200</t>
  </si>
  <si>
    <t>nike original shoes</t>
  </si>
  <si>
    <t>nike white sneakers for men</t>
  </si>
  <si>
    <t>lofer shoes man</t>
  </si>
  <si>
    <t>trolly bags</t>
  </si>
  <si>
    <t>white shoes</t>
  </si>
  <si>
    <t>nike sports shoes</t>
  </si>
  <si>
    <t>iphone watch price</t>
  </si>
  <si>
    <t>velcro shoes</t>
  </si>
  <si>
    <t>nike shoes for men</t>
  </si>
  <si>
    <t>abros shoes</t>
  </si>
  <si>
    <t>lee cooper shoes</t>
  </si>
  <si>
    <t>hrx shoes for men</t>
  </si>
  <si>
    <t>white sports shoes</t>
  </si>
  <si>
    <t>casual footwear for men</t>
  </si>
  <si>
    <t>nike running shoes</t>
  </si>
  <si>
    <t>nike running sneakers</t>
  </si>
  <si>
    <t>nike jogging shoes</t>
  </si>
  <si>
    <t>amazon shoes</t>
  </si>
  <si>
    <t>lakhani shoes</t>
  </si>
  <si>
    <t>cheater jacket</t>
  </si>
  <si>
    <t>adda slippers</t>
  </si>
  <si>
    <t>asian shoes for men</t>
  </si>
  <si>
    <t>g shock watches price</t>
  </si>
  <si>
    <t>puma shoes price</t>
  </si>
  <si>
    <t>flite slippers</t>
  </si>
  <si>
    <t>amazon smart watch</t>
  </si>
  <si>
    <t>jqr shoes</t>
  </si>
  <si>
    <t>lotto shoes</t>
  </si>
  <si>
    <t>mens bell bottom jeans</t>
  </si>
  <si>
    <t>timberland shoes</t>
  </si>
  <si>
    <t>hanuman locket</t>
  </si>
  <si>
    <t>asian shoes</t>
  </si>
  <si>
    <t>mens side bag</t>
  </si>
  <si>
    <t>adda slippers for men</t>
  </si>
  <si>
    <t>flatheads shoes</t>
  </si>
  <si>
    <t>sega running shoes</t>
  </si>
  <si>
    <t>camera bag</t>
  </si>
  <si>
    <t>sega shoes</t>
  </si>
  <si>
    <t>casio duro</t>
  </si>
  <si>
    <t>furo shoes</t>
  </si>
  <si>
    <t>skate shoes</t>
  </si>
  <si>
    <t>swiss military</t>
  </si>
  <si>
    <t>lancer shoes</t>
  </si>
  <si>
    <t>calcetto shoes</t>
  </si>
  <si>
    <t>casio f91w</t>
  </si>
  <si>
    <t>shoe box</t>
  </si>
  <si>
    <t>army shoes</t>
  </si>
  <si>
    <t>myntra saree party wear</t>
  </si>
  <si>
    <t>red chief shoes</t>
  </si>
  <si>
    <t>f91w</t>
  </si>
  <si>
    <t>casio a168</t>
  </si>
  <si>
    <t>nike shoes price</t>
  </si>
  <si>
    <t>christmas dress</t>
  </si>
  <si>
    <t>casual simple anarkali dress</t>
  </si>
  <si>
    <t>most expensive shoes</t>
  </si>
  <si>
    <t>kobes</t>
  </si>
  <si>
    <t>most expensive shoes in the world</t>
  </si>
  <si>
    <t>xxi xxii</t>
  </si>
  <si>
    <t>IPL Surround</t>
  </si>
  <si>
    <t>25+ MF, YT Select pack: beauty and fashion</t>
  </si>
  <si>
    <t>Instant Reserve (Non-skip instream)</t>
  </si>
  <si>
    <t>Hinglish</t>
  </si>
  <si>
    <t>Fashion In-market: Custom intent: Daily/replenishable fashion, Affinity: Fashionistas</t>
  </si>
  <si>
    <t>Hinglish + Bengali</t>
  </si>
  <si>
    <t>Hinglish + Tamil</t>
  </si>
  <si>
    <t>As per feeds</t>
  </si>
  <si>
    <t>Edit</t>
  </si>
  <si>
    <t>DCM</t>
  </si>
  <si>
    <t>Rate</t>
  </si>
  <si>
    <t>cost</t>
  </si>
  <si>
    <t>5% Buffer</t>
  </si>
  <si>
    <t>Cost + Buffer</t>
  </si>
  <si>
    <t>Static display banners on Go-MMT on key placements like homepage, flights, hotels, holidays, rail. Landing page would be the microsite, Thank you page , My trip section.</t>
  </si>
  <si>
    <t>4 blogs from 4 micro influencers which will link Amazon Fashion with top 10 travel destinations. These will be on the microsite</t>
  </si>
  <si>
    <t>Microsite</t>
  </si>
  <si>
    <t>We will need flexibility of grace period of additional 30 days in case required for the delivery of the campaign</t>
  </si>
  <si>
    <t>Internal BLS will be done by MMT at no extra cost</t>
  </si>
  <si>
    <t>OTT buys test</t>
  </si>
  <si>
    <t>Thematic Male+Female</t>
  </si>
  <si>
    <t xml:space="preserve">25+ MF; Men's + Women's Fashion, 25K+ Device </t>
  </si>
  <si>
    <t>Cost Per Impression (Open Auction)</t>
  </si>
  <si>
    <t>Cost Per Impression (PG)</t>
  </si>
  <si>
    <t>OTT Test</t>
  </si>
  <si>
    <t>25+ MF; Women's Fashion, 25K+ Device , PG Deal</t>
  </si>
  <si>
    <t>25+ MF; Women's Fashion, 25K+ Device , Auction</t>
  </si>
  <si>
    <t>25+ MF; Men's Fashion, 25K+ Device , Auction</t>
  </si>
  <si>
    <t>DV Fee calc</t>
  </si>
  <si>
    <t>Est. CTR</t>
  </si>
  <si>
    <t>0.3% to 0.5%</t>
  </si>
  <si>
    <t>90 days activity from start date</t>
  </si>
  <si>
    <t>Sustenance</t>
  </si>
  <si>
    <t>Hyderabad - Seg A</t>
  </si>
  <si>
    <t>Bangalore - Seg A</t>
  </si>
  <si>
    <t>Delhi + NCR</t>
  </si>
  <si>
    <t>Kolkata + Howrah</t>
  </si>
  <si>
    <t>Community</t>
  </si>
  <si>
    <t>Mygate</t>
  </si>
  <si>
    <t>ROA</t>
  </si>
  <si>
    <t>PAC</t>
  </si>
  <si>
    <t>Static</t>
  </si>
  <si>
    <t>Targeting for Seg A &amp; Regular Lines</t>
  </si>
  <si>
    <t>Demo+ Geos + Flat cost 40 lacs to 1 cr+</t>
  </si>
  <si>
    <t>Overall Demo</t>
  </si>
  <si>
    <t>18 + | Male &amp; Female</t>
  </si>
  <si>
    <t>Geo List</t>
  </si>
  <si>
    <t>City Name</t>
  </si>
  <si>
    <t>Cohort / Priority</t>
  </si>
  <si>
    <t>Telengana</t>
  </si>
  <si>
    <t>Test Market</t>
  </si>
  <si>
    <t>Telugu</t>
  </si>
  <si>
    <t>English</t>
  </si>
  <si>
    <t>Ahmdabad</t>
  </si>
  <si>
    <t>P0</t>
  </si>
  <si>
    <t>Hindi</t>
  </si>
  <si>
    <t>Tamil</t>
  </si>
  <si>
    <t>Delhi + NCR (Gurgaon, Noida, Ghaziabad, Faridabad)</t>
  </si>
  <si>
    <t>Bangla</t>
  </si>
  <si>
    <t>Marathi</t>
  </si>
  <si>
    <t>Ref targeting sheet</t>
  </si>
  <si>
    <t>25+ MF; Men's Fashion, 25K+ Device , PG Deal</t>
  </si>
  <si>
    <t>25+ MF; Women's Fashion, 25K+ Device , PG Deal - S</t>
  </si>
  <si>
    <t>25+ MF; Men's Fashion, 25K+ Device , PG Deal - S</t>
  </si>
  <si>
    <t>ROS</t>
  </si>
  <si>
    <t>15s Video w/Static Banner</t>
  </si>
  <si>
    <t>15s</t>
  </si>
  <si>
    <t>25+ Women's Fashion</t>
  </si>
  <si>
    <t>25+ Men's Fashion</t>
  </si>
  <si>
    <t>Campaign to be Paused from 5/27-6/16</t>
  </si>
  <si>
    <t>Hyderabad  Total</t>
  </si>
  <si>
    <t>Remark</t>
  </si>
  <si>
    <t>Pune Total</t>
  </si>
  <si>
    <t>Sports Worldcup</t>
  </si>
  <si>
    <t>Mid Roll Video - CTV</t>
  </si>
  <si>
    <t>Coimbatore Total</t>
  </si>
  <si>
    <t>Visakhapatnam Total</t>
  </si>
  <si>
    <t>Nagpur Total</t>
  </si>
  <si>
    <t>Lucknow Total</t>
  </si>
  <si>
    <t>Booster (Bang,Hyd,Chn,Kol,Pune,T17,T57,Vizag, Coimbatore,Nagpur,Lucknow)</t>
  </si>
  <si>
    <t>Geo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</si>
</sst>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 #,##0;[Red]&quot;₹&quot;\ \-#,##0"/>
    <numFmt numFmtId="44" formatCode="_ &quot;₹&quot;\ * #,##0.00_ ;_ &quot;₹&quot;\ * \-#,##0.00_ ;_ &quot;₹&quot;\ * &quot;-&quot;??_ ;_ @_ "/>
    <numFmt numFmtId="43" formatCode="_ * #,##0.00_ ;_ * \-#,##0.00_ ;_ * &quot;-&quot;??_ ;_ @_ "/>
    <numFmt numFmtId="164" formatCode="_(* #,##0.00_);_(* \(#,##0.00\);_(* &quot;-&quot;??_);_(@_)"/>
    <numFmt numFmtId="165" formatCode="_ * #,##0_ ;_ * \-#,##0_ ;_ * &quot;-&quot;??_ ;_ @_ "/>
    <numFmt numFmtId="166" formatCode="0.0%"/>
    <numFmt numFmtId="167" formatCode="_ &quot;₹&quot;\ * #,##0.0_ ;_ &quot;₹&quot;\ * \-#,##0.0_ ;_ &quot;₹&quot;\ * &quot;-&quot;??_ ;_ @_ "/>
    <numFmt numFmtId="168" formatCode="_ &quot;₹&quot;\ * #,##0_ ;_ &quot;₹&quot;\ * \-#,##0_ ;_ &quot;₹&quot;\ * &quot;-&quot;??_ ;_ @_ "/>
    <numFmt numFmtId="169" formatCode="&quot;₹&quot;\ #,##0"/>
    <numFmt numFmtId="170" formatCode="&quot;₹&quot;\ #,##0.00"/>
    <numFmt numFmtId="171" formatCode="0.0"/>
    <numFmt numFmtId="172" formatCode="##,##0"/>
    <numFmt numFmtId="173" formatCode="##0"/>
    <numFmt numFmtId="174" formatCode="##,##0.0"/>
    <numFmt numFmtId="175" formatCode="_(* #,##0_);_(* \(#,##0\);_(* &quot;-&quot;??_);_(@_)"/>
    <numFmt numFmtId="176" formatCode="_(* #,##0.0_);_(* \(#,##0.0\);_(* &quot;-&quot;??_);_(@_)"/>
  </numFmts>
  <fonts count="3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10"/>
      <name val="Calibri"/>
      <family val="2"/>
      <scheme val="minor"/>
    </font>
    <font>
      <sz val="11"/>
      <name val="Calibri"/>
      <family val="2"/>
      <scheme val="minor"/>
    </font>
    <font>
      <sz val="10"/>
      <color theme="0"/>
      <name val="Calibri"/>
      <family val="2"/>
      <scheme val="minor"/>
    </font>
    <font>
      <b/>
      <sz val="11"/>
      <color theme="1"/>
      <name val="Calibri"/>
      <family val="2"/>
      <scheme val="minor"/>
    </font>
    <font>
      <sz val="11"/>
      <color theme="1"/>
      <name val="Calibri"/>
      <family val="2"/>
    </font>
    <font>
      <sz val="11"/>
      <color theme="0"/>
      <name val="Calibri"/>
      <family val="2"/>
    </font>
    <font>
      <b/>
      <sz val="11"/>
      <name val="Calibri"/>
      <family val="2"/>
      <scheme val="minor"/>
    </font>
    <font>
      <u/>
      <sz val="11"/>
      <color theme="10"/>
      <name val="Calibri"/>
      <family val="2"/>
      <scheme val="minor"/>
    </font>
    <font>
      <b/>
      <sz val="10"/>
      <name val="Calibri"/>
      <family val="2"/>
      <scheme val="minor"/>
    </font>
    <font>
      <sz val="10"/>
      <color theme="1"/>
      <name val="Calibri"/>
      <family val="2"/>
      <scheme val="minor"/>
    </font>
    <font>
      <sz val="8"/>
      <name val="Calibri"/>
      <family val="2"/>
      <scheme val="minor"/>
    </font>
    <font>
      <sz val="9"/>
      <color theme="1"/>
      <name val="Calibri"/>
      <family val="2"/>
      <scheme val="minor"/>
    </font>
    <font>
      <sz val="9"/>
      <color theme="0"/>
      <name val="Calibri"/>
      <family val="2"/>
      <scheme val="minor"/>
    </font>
    <font>
      <b/>
      <u/>
      <sz val="9"/>
      <color theme="1"/>
      <name val="Calibri"/>
      <family val="2"/>
      <scheme val="minor"/>
    </font>
    <font>
      <i/>
      <sz val="10"/>
      <name val="Calibri"/>
      <family val="2"/>
      <scheme val="minor"/>
    </font>
    <font>
      <b/>
      <sz val="11"/>
      <color theme="0"/>
      <name val="Calibri"/>
      <family val="2"/>
    </font>
    <font>
      <sz val="9"/>
      <name val="Arial"/>
      <family val="2"/>
    </font>
    <font>
      <sz val="9"/>
      <name val="Calibri"/>
      <family val="2"/>
      <scheme val="minor"/>
    </font>
    <font>
      <sz val="8"/>
      <color theme="1"/>
      <name val="Calibri"/>
      <family val="2"/>
      <scheme val="minor"/>
    </font>
    <font>
      <i/>
      <sz val="11"/>
      <color theme="1"/>
      <name val="Calibri"/>
      <family val="2"/>
      <scheme val="minor"/>
    </font>
    <font>
      <b/>
      <sz val="11"/>
      <color theme="1"/>
      <name val="Calibri"/>
      <family val="2"/>
    </font>
    <font>
      <b/>
      <sz val="11"/>
      <color rgb="FF222222"/>
      <name val="Calibri"/>
      <family val="2"/>
      <scheme val="minor"/>
    </font>
    <font>
      <b/>
      <sz val="9"/>
      <color theme="0"/>
      <name val="Calibri"/>
      <family val="2"/>
      <scheme val="minor"/>
    </font>
    <font>
      <b/>
      <sz val="12"/>
      <color theme="1"/>
      <name val="Calibri"/>
      <family val="2"/>
      <scheme val="minor"/>
    </font>
    <font>
      <i/>
      <sz val="9"/>
      <color theme="1"/>
      <name val="Calibri"/>
      <family val="2"/>
      <scheme val="minor"/>
    </font>
    <font>
      <b/>
      <sz val="9"/>
      <name val="Calibri"/>
      <family val="2"/>
      <scheme val="minor"/>
    </font>
    <font>
      <b/>
      <sz val="9"/>
      <color theme="1"/>
      <name val="Calibri"/>
      <family val="2"/>
      <scheme val="minor"/>
    </font>
    <font>
      <sz val="11"/>
      <color theme="10"/>
      <name val="Calibri"/>
      <family val="2"/>
      <scheme val="minor"/>
    </font>
  </fonts>
  <fills count="24">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0" tint="-0.34998626667073579"/>
        <bgColor indexed="64"/>
      </patternFill>
    </fill>
    <fill>
      <patternFill patternType="solid">
        <fgColor theme="3"/>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indexed="64"/>
      </left>
      <right style="thin">
        <color indexed="64"/>
      </right>
      <top/>
      <bottom style="thin">
        <color indexed="64"/>
      </bottom>
      <diagonal/>
    </border>
    <border>
      <left style="thin">
        <color theme="1" tint="0.249977111117893"/>
      </left>
      <right style="thin">
        <color theme="1" tint="0.249977111117893"/>
      </right>
      <top style="thin">
        <color theme="1" tint="0.249977111117893"/>
      </top>
      <bottom/>
      <diagonal/>
    </border>
    <border>
      <left/>
      <right/>
      <top/>
      <bottom style="thin">
        <color theme="1" tint="0.499984740745262"/>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right style="thin">
        <color theme="1" tint="0.249977111117893"/>
      </right>
      <top style="thin">
        <color theme="1" tint="0.249977111117893"/>
      </top>
      <bottom style="thin">
        <color theme="1" tint="0.249977111117893"/>
      </bottom>
      <diagonal/>
    </border>
    <border>
      <left/>
      <right style="thin">
        <color theme="1" tint="0.249977111117893"/>
      </right>
      <top style="thin">
        <color theme="1" tint="0.249977111117893"/>
      </top>
      <bottom/>
      <diagonal/>
    </border>
    <border>
      <left style="thin">
        <color theme="1" tint="0.499984740745262"/>
      </left>
      <right style="thin">
        <color theme="1" tint="0.499984740745262"/>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top/>
      <bottom/>
      <diagonal/>
    </border>
    <border>
      <left/>
      <right style="thin">
        <color theme="1" tint="0.499984740745262"/>
      </right>
      <top/>
      <bottom/>
      <diagonal/>
    </border>
    <border>
      <left style="thin">
        <color theme="1"/>
      </left>
      <right style="thin">
        <color theme="1"/>
      </right>
      <top style="thin">
        <color theme="1"/>
      </top>
      <bottom style="thin">
        <color theme="1"/>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9" fillId="0" borderId="0"/>
    <xf numFmtId="0" fontId="12" fillId="0" borderId="0" applyNumberFormat="0" applyFill="0" applyBorder="0" applyAlignment="0" applyProtection="0"/>
    <xf numFmtId="43" fontId="1" fillId="0" borderId="0" applyFont="0" applyFill="0" applyBorder="0" applyAlignment="0" applyProtection="0"/>
    <xf numFmtId="0" fontId="9" fillId="0" borderId="0"/>
    <xf numFmtId="0" fontId="21"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559">
    <xf numFmtId="0" fontId="0" fillId="0" borderId="0" xfId="0"/>
    <xf numFmtId="49" fontId="4" fillId="2" borderId="1" xfId="1" applyNumberFormat="1" applyFont="1" applyFill="1" applyBorder="1" applyAlignment="1">
      <alignment horizontal="center" vertical="center"/>
    </xf>
    <xf numFmtId="3" fontId="4" fillId="2" borderId="1" xfId="1" applyNumberFormat="1" applyFont="1" applyFill="1" applyBorder="1" applyAlignment="1">
      <alignment horizontal="center" vertical="center"/>
    </xf>
    <xf numFmtId="165" fontId="4" fillId="2" borderId="1" xfId="1" applyNumberFormat="1" applyFont="1" applyFill="1" applyBorder="1" applyAlignment="1">
      <alignment horizontal="center" vertical="center"/>
    </xf>
    <xf numFmtId="166" fontId="4" fillId="2" borderId="1" xfId="2" applyNumberFormat="1" applyFont="1" applyFill="1" applyBorder="1" applyAlignment="1">
      <alignment horizontal="center" vertical="center"/>
    </xf>
    <xf numFmtId="9" fontId="4" fillId="2" borderId="1" xfId="2" applyFont="1" applyFill="1" applyBorder="1" applyAlignment="1">
      <alignment horizontal="center" vertical="center"/>
    </xf>
    <xf numFmtId="0" fontId="4" fillId="2" borderId="1" xfId="1" applyNumberFormat="1" applyFont="1" applyFill="1" applyBorder="1" applyAlignment="1">
      <alignment horizontal="center" vertical="center"/>
    </xf>
    <xf numFmtId="167" fontId="4" fillId="2" borderId="1" xfId="3" applyNumberFormat="1" applyFont="1" applyFill="1" applyBorder="1" applyAlignment="1">
      <alignment horizontal="center" vertical="center"/>
    </xf>
    <xf numFmtId="168" fontId="4" fillId="2" borderId="1" xfId="3" applyNumberFormat="1" applyFont="1" applyFill="1" applyBorder="1" applyAlignment="1">
      <alignment horizontal="center" vertical="center"/>
    </xf>
    <xf numFmtId="49" fontId="5" fillId="0" borderId="1" xfId="1" applyNumberFormat="1" applyFont="1" applyFill="1" applyBorder="1" applyAlignment="1">
      <alignment horizontal="center" vertical="center"/>
    </xf>
    <xf numFmtId="3" fontId="5" fillId="0" borderId="1" xfId="1" applyNumberFormat="1" applyFont="1" applyFill="1" applyBorder="1" applyAlignment="1">
      <alignment horizontal="center" vertical="center"/>
    </xf>
    <xf numFmtId="165" fontId="5" fillId="0" borderId="1" xfId="1" applyNumberFormat="1" applyFont="1" applyFill="1" applyBorder="1" applyAlignment="1">
      <alignment horizontal="center" vertical="center"/>
    </xf>
    <xf numFmtId="10" fontId="5" fillId="0" borderId="1" xfId="2" applyNumberFormat="1" applyFont="1" applyFill="1" applyBorder="1" applyAlignment="1">
      <alignment horizontal="center" vertical="center"/>
    </xf>
    <xf numFmtId="9" fontId="5" fillId="0" borderId="1" xfId="2" applyFont="1" applyFill="1" applyBorder="1" applyAlignment="1">
      <alignment horizontal="center" vertical="center"/>
    </xf>
    <xf numFmtId="0" fontId="5" fillId="0" borderId="1" xfId="1" applyNumberFormat="1" applyFont="1" applyFill="1" applyBorder="1" applyAlignment="1">
      <alignment horizontal="center" vertical="center"/>
    </xf>
    <xf numFmtId="167" fontId="5" fillId="0" borderId="1" xfId="3" applyNumberFormat="1" applyFont="1" applyFill="1" applyBorder="1" applyAlignment="1">
      <alignment horizontal="center" vertical="center"/>
    </xf>
    <xf numFmtId="168" fontId="5" fillId="0" borderId="1" xfId="3" applyNumberFormat="1" applyFont="1" applyFill="1" applyBorder="1" applyAlignment="1">
      <alignment horizontal="center" vertical="center"/>
    </xf>
    <xf numFmtId="14" fontId="5" fillId="0" borderId="1" xfId="1" applyNumberFormat="1" applyFont="1" applyFill="1" applyBorder="1" applyAlignment="1">
      <alignment horizontal="center" vertical="center"/>
    </xf>
    <xf numFmtId="165" fontId="7" fillId="3" borderId="1" xfId="1" applyNumberFormat="1" applyFont="1" applyFill="1" applyBorder="1" applyAlignment="1">
      <alignment horizontal="center"/>
    </xf>
    <xf numFmtId="166" fontId="7" fillId="3" borderId="1" xfId="2" applyNumberFormat="1" applyFont="1" applyFill="1" applyBorder="1" applyAlignment="1">
      <alignment horizontal="center"/>
    </xf>
    <xf numFmtId="9" fontId="7" fillId="3" borderId="1" xfId="2" applyFont="1" applyFill="1" applyBorder="1" applyAlignment="1">
      <alignment horizontal="center"/>
    </xf>
    <xf numFmtId="1" fontId="7" fillId="3" borderId="1" xfId="0" applyNumberFormat="1" applyFont="1" applyFill="1" applyBorder="1" applyAlignment="1">
      <alignment horizontal="center"/>
    </xf>
    <xf numFmtId="168" fontId="7" fillId="3" borderId="1" xfId="3" applyNumberFormat="1" applyFont="1" applyFill="1" applyBorder="1" applyAlignment="1">
      <alignment horizontal="center" vertical="center"/>
    </xf>
    <xf numFmtId="2" fontId="4" fillId="2" borderId="1" xfId="1" applyNumberFormat="1" applyFont="1" applyFill="1" applyBorder="1" applyAlignment="1">
      <alignment horizontal="center" vertical="center"/>
    </xf>
    <xf numFmtId="2" fontId="0" fillId="0" borderId="0" xfId="0" applyNumberFormat="1"/>
    <xf numFmtId="165" fontId="0" fillId="0" borderId="0" xfId="1" applyNumberFormat="1" applyFont="1"/>
    <xf numFmtId="43" fontId="0" fillId="0" borderId="0" xfId="0" applyNumberFormat="1"/>
    <xf numFmtId="9" fontId="0" fillId="0" borderId="0" xfId="2" applyFont="1"/>
    <xf numFmtId="165" fontId="2" fillId="2" borderId="1" xfId="1" applyNumberFormat="1" applyFont="1" applyFill="1" applyBorder="1" applyAlignment="1">
      <alignment horizontal="center"/>
    </xf>
    <xf numFmtId="165" fontId="0" fillId="0" borderId="1" xfId="1" applyNumberFormat="1" applyFont="1" applyBorder="1"/>
    <xf numFmtId="165" fontId="11" fillId="4" borderId="1" xfId="1" applyNumberFormat="1" applyFont="1" applyFill="1" applyBorder="1"/>
    <xf numFmtId="165" fontId="2" fillId="3" borderId="2" xfId="1" applyNumberFormat="1" applyFont="1" applyFill="1" applyBorder="1"/>
    <xf numFmtId="165" fontId="6" fillId="0" borderId="1" xfId="1" applyNumberFormat="1" applyFont="1" applyFill="1" applyBorder="1"/>
    <xf numFmtId="165" fontId="8" fillId="4" borderId="1" xfId="1" applyNumberFormat="1" applyFont="1" applyFill="1" applyBorder="1"/>
    <xf numFmtId="0" fontId="0" fillId="0" borderId="1" xfId="0" applyBorder="1" applyAlignment="1">
      <alignment horizontal="center" vertical="center"/>
    </xf>
    <xf numFmtId="0" fontId="0" fillId="0" borderId="1" xfId="0" applyBorder="1"/>
    <xf numFmtId="165" fontId="0" fillId="0" borderId="0" xfId="0" applyNumberFormat="1"/>
    <xf numFmtId="165" fontId="2" fillId="2" borderId="0" xfId="1" applyNumberFormat="1" applyFont="1" applyFill="1" applyBorder="1" applyAlignment="1">
      <alignment horizontal="center"/>
    </xf>
    <xf numFmtId="0" fontId="2" fillId="2" borderId="3" xfId="0" applyFont="1" applyFill="1" applyBorder="1"/>
    <xf numFmtId="0" fontId="0" fillId="0" borderId="1" xfId="0" applyBorder="1" applyAlignment="1">
      <alignment horizontal="left"/>
    </xf>
    <xf numFmtId="0" fontId="8" fillId="0" borderId="0" xfId="0" applyFont="1"/>
    <xf numFmtId="0" fontId="0" fillId="0" borderId="1" xfId="0" applyBorder="1" applyAlignment="1">
      <alignment horizontal="left" vertical="center" wrapText="1"/>
    </xf>
    <xf numFmtId="49" fontId="7" fillId="3" borderId="1" xfId="0" applyNumberFormat="1" applyFont="1" applyFill="1" applyBorder="1" applyAlignment="1">
      <alignment horizontal="left" vertical="center"/>
    </xf>
    <xf numFmtId="0" fontId="2" fillId="2" borderId="1" xfId="0" applyFont="1" applyFill="1" applyBorder="1" applyAlignment="1">
      <alignment horizontal="center" vertical="center"/>
    </xf>
    <xf numFmtId="168" fontId="7" fillId="3" borderId="1" xfId="1" applyNumberFormat="1" applyFont="1" applyFill="1" applyBorder="1" applyAlignment="1">
      <alignment horizontal="center"/>
    </xf>
    <xf numFmtId="9" fontId="3" fillId="3" borderId="1" xfId="2" applyFont="1" applyFill="1" applyBorder="1"/>
    <xf numFmtId="49" fontId="7" fillId="2" borderId="1" xfId="0" applyNumberFormat="1" applyFont="1" applyFill="1" applyBorder="1" applyAlignment="1">
      <alignment horizontal="left" vertical="center"/>
    </xf>
    <xf numFmtId="165" fontId="7" fillId="2" borderId="1" xfId="1" applyNumberFormat="1" applyFont="1" applyFill="1" applyBorder="1" applyAlignment="1">
      <alignment horizontal="center"/>
    </xf>
    <xf numFmtId="166" fontId="7" fillId="2" borderId="1" xfId="2" applyNumberFormat="1" applyFont="1" applyFill="1" applyBorder="1" applyAlignment="1">
      <alignment horizontal="center"/>
    </xf>
    <xf numFmtId="9" fontId="7" fillId="2" borderId="1" xfId="2" applyFont="1" applyFill="1" applyBorder="1" applyAlignment="1">
      <alignment horizontal="center"/>
    </xf>
    <xf numFmtId="1" fontId="7" fillId="2" borderId="1" xfId="0" applyNumberFormat="1" applyFont="1" applyFill="1" applyBorder="1" applyAlignment="1">
      <alignment horizontal="center"/>
    </xf>
    <xf numFmtId="168" fontId="7" fillId="2" borderId="1" xfId="3" applyNumberFormat="1" applyFont="1" applyFill="1" applyBorder="1" applyAlignment="1">
      <alignment horizontal="center" vertical="center"/>
    </xf>
    <xf numFmtId="9" fontId="3" fillId="2" borderId="1" xfId="2" applyFont="1" applyFill="1" applyBorder="1"/>
    <xf numFmtId="1" fontId="7" fillId="5" borderId="1" xfId="0" applyNumberFormat="1" applyFont="1" applyFill="1" applyBorder="1" applyAlignment="1">
      <alignment horizontal="center"/>
    </xf>
    <xf numFmtId="49" fontId="7" fillId="5" borderId="1" xfId="0" applyNumberFormat="1" applyFont="1" applyFill="1" applyBorder="1" applyAlignment="1">
      <alignment horizontal="left" vertical="center"/>
    </xf>
    <xf numFmtId="165" fontId="7" fillId="5" borderId="1" xfId="1" applyNumberFormat="1" applyFont="1" applyFill="1" applyBorder="1" applyAlignment="1">
      <alignment horizontal="center"/>
    </xf>
    <xf numFmtId="166" fontId="7" fillId="5" borderId="1" xfId="2" applyNumberFormat="1" applyFont="1" applyFill="1" applyBorder="1" applyAlignment="1">
      <alignment horizontal="center"/>
    </xf>
    <xf numFmtId="9" fontId="7" fillId="5" borderId="1" xfId="2" applyFont="1" applyFill="1" applyBorder="1" applyAlignment="1">
      <alignment horizontal="center"/>
    </xf>
    <xf numFmtId="168" fontId="7" fillId="5" borderId="1" xfId="1" applyNumberFormat="1" applyFont="1" applyFill="1" applyBorder="1" applyAlignment="1">
      <alignment horizontal="center"/>
    </xf>
    <xf numFmtId="168" fontId="7" fillId="5" borderId="1" xfId="3" applyNumberFormat="1" applyFont="1" applyFill="1" applyBorder="1" applyAlignment="1">
      <alignment horizontal="center" vertical="center"/>
    </xf>
    <xf numFmtId="9" fontId="3" fillId="5" borderId="1" xfId="2" applyFont="1" applyFill="1" applyBorder="1"/>
    <xf numFmtId="0" fontId="3" fillId="2" borderId="0" xfId="0" applyFont="1" applyFill="1"/>
    <xf numFmtId="167" fontId="7" fillId="2" borderId="1" xfId="1" applyNumberFormat="1" applyFont="1" applyFill="1" applyBorder="1" applyAlignment="1">
      <alignment horizontal="center"/>
    </xf>
    <xf numFmtId="49" fontId="4" fillId="6" borderId="1" xfId="1" applyNumberFormat="1" applyFont="1" applyFill="1" applyBorder="1" applyAlignment="1">
      <alignment horizontal="center" vertical="center"/>
    </xf>
    <xf numFmtId="3" fontId="4" fillId="6" borderId="1" xfId="1" applyNumberFormat="1" applyFont="1" applyFill="1" applyBorder="1" applyAlignment="1">
      <alignment horizontal="center" vertical="center"/>
    </xf>
    <xf numFmtId="165" fontId="4" fillId="6" borderId="1" xfId="1" applyNumberFormat="1" applyFont="1" applyFill="1" applyBorder="1" applyAlignment="1">
      <alignment horizontal="center" vertical="center"/>
    </xf>
    <xf numFmtId="166" fontId="4" fillId="6" borderId="1" xfId="2" applyNumberFormat="1" applyFont="1" applyFill="1" applyBorder="1" applyAlignment="1">
      <alignment horizontal="center" vertical="center"/>
    </xf>
    <xf numFmtId="9" fontId="4" fillId="6" borderId="1" xfId="2" applyFont="1" applyFill="1" applyBorder="1" applyAlignment="1">
      <alignment horizontal="center" vertical="center"/>
    </xf>
    <xf numFmtId="0" fontId="4" fillId="6" borderId="1" xfId="1" applyNumberFormat="1" applyFont="1" applyFill="1" applyBorder="1" applyAlignment="1">
      <alignment horizontal="center" vertical="center"/>
    </xf>
    <xf numFmtId="167" fontId="4" fillId="6" borderId="1" xfId="3" applyNumberFormat="1" applyFont="1" applyFill="1" applyBorder="1" applyAlignment="1">
      <alignment horizontal="center" vertical="center"/>
    </xf>
    <xf numFmtId="168" fontId="4" fillId="6" borderId="1" xfId="3" applyNumberFormat="1" applyFont="1" applyFill="1" applyBorder="1" applyAlignment="1">
      <alignment horizontal="center" vertical="center"/>
    </xf>
    <xf numFmtId="2" fontId="4" fillId="6" borderId="1" xfId="1" applyNumberFormat="1" applyFont="1" applyFill="1" applyBorder="1" applyAlignment="1">
      <alignment horizontal="center" vertic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0" xfId="0" applyFont="1" applyFill="1" applyAlignment="1">
      <alignment horizontal="center"/>
    </xf>
    <xf numFmtId="0" fontId="4" fillId="7" borderId="8" xfId="0" applyFont="1" applyFill="1" applyBorder="1" applyAlignment="1">
      <alignment horizontal="center"/>
    </xf>
    <xf numFmtId="0" fontId="14" fillId="5" borderId="8" xfId="0" applyFont="1" applyFill="1" applyBorder="1"/>
    <xf numFmtId="0" fontId="14" fillId="0" borderId="6" xfId="0" applyFont="1" applyBorder="1" applyAlignment="1">
      <alignment horizontal="left"/>
    </xf>
    <xf numFmtId="3" fontId="14" fillId="0" borderId="6" xfId="0" applyNumberFormat="1" applyFont="1" applyBorder="1" applyAlignment="1">
      <alignment horizontal="right"/>
    </xf>
    <xf numFmtId="169" fontId="14" fillId="0" borderId="7" xfId="0" applyNumberFormat="1" applyFont="1" applyBorder="1" applyAlignment="1">
      <alignment horizontal="right"/>
    </xf>
    <xf numFmtId="0" fontId="14" fillId="0" borderId="9" xfId="0" applyFont="1" applyBorder="1" applyAlignment="1">
      <alignment horizontal="left"/>
    </xf>
    <xf numFmtId="0" fontId="14" fillId="0" borderId="1" xfId="0" applyFont="1" applyBorder="1"/>
    <xf numFmtId="0" fontId="14" fillId="5" borderId="1" xfId="0" applyFont="1" applyFill="1" applyBorder="1"/>
    <xf numFmtId="0" fontId="13" fillId="8" borderId="9" xfId="0" applyFont="1" applyFill="1" applyBorder="1" applyAlignment="1">
      <alignment horizontal="left"/>
    </xf>
    <xf numFmtId="165" fontId="13" fillId="8" borderId="9" xfId="1" applyNumberFormat="1" applyFont="1" applyFill="1" applyBorder="1" applyAlignment="1">
      <alignment horizontal="right"/>
    </xf>
    <xf numFmtId="0" fontId="14" fillId="0" borderId="0" xfId="0" applyFont="1"/>
    <xf numFmtId="0" fontId="4" fillId="2" borderId="0" xfId="0" applyFont="1" applyFill="1" applyAlignment="1">
      <alignment horizontal="left"/>
    </xf>
    <xf numFmtId="0" fontId="4" fillId="2" borderId="0" xfId="0" applyFont="1" applyFill="1"/>
    <xf numFmtId="169" fontId="4" fillId="2" borderId="0" xfId="0" applyNumberFormat="1" applyFont="1" applyFill="1" applyAlignment="1">
      <alignment horizontal="right"/>
    </xf>
    <xf numFmtId="1" fontId="0" fillId="0" borderId="0" xfId="0" applyNumberFormat="1"/>
    <xf numFmtId="0" fontId="16" fillId="0" borderId="0" xfId="0" applyFont="1"/>
    <xf numFmtId="0" fontId="17" fillId="2" borderId="4" xfId="0" applyFont="1" applyFill="1" applyBorder="1" applyAlignment="1">
      <alignment wrapText="1"/>
    </xf>
    <xf numFmtId="0" fontId="17" fillId="2" borderId="5" xfId="0" applyFont="1" applyFill="1" applyBorder="1" applyAlignment="1">
      <alignment horizontal="center" wrapText="1"/>
    </xf>
    <xf numFmtId="0" fontId="16" fillId="0" borderId="1" xfId="0" applyFont="1" applyBorder="1" applyAlignment="1">
      <alignment horizontal="center" vertical="center"/>
    </xf>
    <xf numFmtId="0" fontId="16" fillId="0" borderId="1" xfId="0" applyFont="1" applyBorder="1" applyAlignment="1">
      <alignment horizontal="left" vertical="center" wrapText="1"/>
    </xf>
    <xf numFmtId="0" fontId="16" fillId="0" borderId="0" xfId="0" applyFont="1" applyAlignment="1">
      <alignment wrapText="1"/>
    </xf>
    <xf numFmtId="49" fontId="7" fillId="5" borderId="1" xfId="1" applyNumberFormat="1" applyFont="1" applyFill="1" applyBorder="1" applyAlignment="1">
      <alignment vertical="center"/>
    </xf>
    <xf numFmtId="165" fontId="3" fillId="5" borderId="1" xfId="1" applyNumberFormat="1" applyFont="1" applyFill="1" applyBorder="1"/>
    <xf numFmtId="168" fontId="3" fillId="5" borderId="1" xfId="1" applyNumberFormat="1" applyFont="1" applyFill="1" applyBorder="1"/>
    <xf numFmtId="0" fontId="3" fillId="2" borderId="1" xfId="0" applyFont="1" applyFill="1" applyBorder="1"/>
    <xf numFmtId="49" fontId="7" fillId="9" borderId="1" xfId="0" applyNumberFormat="1" applyFont="1" applyFill="1" applyBorder="1" applyAlignment="1">
      <alignment horizontal="left" vertical="center"/>
    </xf>
    <xf numFmtId="165" fontId="7" fillId="9" borderId="1" xfId="1" applyNumberFormat="1" applyFont="1" applyFill="1" applyBorder="1" applyAlignment="1">
      <alignment horizontal="center"/>
    </xf>
    <xf numFmtId="166" fontId="7" fillId="9" borderId="1" xfId="2" applyNumberFormat="1" applyFont="1" applyFill="1" applyBorder="1" applyAlignment="1">
      <alignment horizontal="center"/>
    </xf>
    <xf numFmtId="9" fontId="7" fillId="9" borderId="1" xfId="2" applyFont="1" applyFill="1" applyBorder="1" applyAlignment="1">
      <alignment horizontal="center"/>
    </xf>
    <xf numFmtId="1" fontId="7" fillId="9" borderId="1" xfId="0" applyNumberFormat="1" applyFont="1" applyFill="1" applyBorder="1" applyAlignment="1">
      <alignment horizontal="center"/>
    </xf>
    <xf numFmtId="168" fontId="7" fillId="9" borderId="1" xfId="1" applyNumberFormat="1" applyFont="1" applyFill="1" applyBorder="1" applyAlignment="1">
      <alignment horizontal="center"/>
    </xf>
    <xf numFmtId="168" fontId="7" fillId="9" borderId="1" xfId="3" applyNumberFormat="1" applyFont="1" applyFill="1" applyBorder="1" applyAlignment="1">
      <alignment horizontal="center" vertical="center"/>
    </xf>
    <xf numFmtId="9" fontId="3" fillId="9" borderId="1" xfId="2" applyFont="1" applyFill="1" applyBorder="1"/>
    <xf numFmtId="166" fontId="5" fillId="0" borderId="1" xfId="2" applyNumberFormat="1" applyFont="1" applyFill="1" applyBorder="1" applyAlignment="1">
      <alignment horizontal="center" vertical="center"/>
    </xf>
    <xf numFmtId="0" fontId="0" fillId="0" borderId="1" xfId="0" applyBorder="1" applyAlignment="1">
      <alignment horizontal="center" vertical="center" wrapText="1"/>
    </xf>
    <xf numFmtId="0" fontId="3" fillId="2" borderId="0" xfId="0" applyFont="1" applyFill="1" applyAlignment="1">
      <alignment horizontal="center"/>
    </xf>
    <xf numFmtId="166" fontId="3" fillId="5" borderId="1" xfId="2" applyNumberFormat="1" applyFont="1" applyFill="1" applyBorder="1"/>
    <xf numFmtId="0" fontId="3" fillId="2" borderId="1" xfId="0" applyFont="1" applyFill="1" applyBorder="1" applyAlignment="1">
      <alignment horizontal="center"/>
    </xf>
    <xf numFmtId="0" fontId="14" fillId="0" borderId="12" xfId="0" applyFont="1" applyBorder="1"/>
    <xf numFmtId="0" fontId="9" fillId="0" borderId="0" xfId="0" applyFont="1"/>
    <xf numFmtId="0" fontId="9" fillId="0" borderId="1" xfId="0" applyFont="1" applyBorder="1" applyAlignment="1">
      <alignment horizontal="center" vertical="center" wrapText="1"/>
    </xf>
    <xf numFmtId="0" fontId="9" fillId="10" borderId="1" xfId="0" applyFont="1" applyFill="1" applyBorder="1" applyAlignment="1">
      <alignment horizontal="center" vertical="center" wrapText="1"/>
    </xf>
    <xf numFmtId="3" fontId="9" fillId="10" borderId="1" xfId="0" applyNumberFormat="1" applyFont="1" applyFill="1" applyBorder="1" applyAlignment="1">
      <alignment horizontal="center" vertical="center" wrapText="1"/>
    </xf>
    <xf numFmtId="169" fontId="13" fillId="8" borderId="9" xfId="1" applyNumberFormat="1" applyFont="1" applyFill="1" applyBorder="1" applyAlignment="1">
      <alignment horizontal="right"/>
    </xf>
    <xf numFmtId="165" fontId="0" fillId="0" borderId="1" xfId="0" applyNumberFormat="1" applyBorder="1"/>
    <xf numFmtId="0" fontId="19" fillId="0" borderId="0" xfId="0" applyFont="1" applyAlignment="1">
      <alignment horizontal="left"/>
    </xf>
    <xf numFmtId="170" fontId="0" fillId="0" borderId="0" xfId="0" applyNumberFormat="1"/>
    <xf numFmtId="0" fontId="20" fillId="2" borderId="1" xfId="0" applyFont="1" applyFill="1" applyBorder="1" applyAlignment="1">
      <alignment horizontal="center" vertical="center" wrapText="1"/>
    </xf>
    <xf numFmtId="0" fontId="9" fillId="10" borderId="11" xfId="0" applyFont="1" applyFill="1" applyBorder="1" applyAlignment="1">
      <alignment vertical="center" wrapText="1"/>
    </xf>
    <xf numFmtId="0" fontId="10" fillId="3" borderId="1" xfId="0" applyFont="1" applyFill="1" applyBorder="1" applyAlignment="1">
      <alignment horizontal="center" vertical="center" wrapText="1"/>
    </xf>
    <xf numFmtId="3" fontId="10" fillId="3" borderId="1" xfId="0" applyNumberFormat="1" applyFont="1" applyFill="1" applyBorder="1" applyAlignment="1">
      <alignment horizontal="center" vertical="center" wrapText="1"/>
    </xf>
    <xf numFmtId="164" fontId="9" fillId="0" borderId="0" xfId="0" applyNumberFormat="1" applyFont="1"/>
    <xf numFmtId="169" fontId="0" fillId="0" borderId="0" xfId="0" applyNumberFormat="1"/>
    <xf numFmtId="0" fontId="9" fillId="0" borderId="2" xfId="0" applyFont="1" applyBorder="1" applyAlignment="1">
      <alignment horizontal="center" vertical="center"/>
    </xf>
    <xf numFmtId="6" fontId="0" fillId="0" borderId="0" xfId="0" applyNumberFormat="1"/>
    <xf numFmtId="0" fontId="22" fillId="11" borderId="0" xfId="8" applyFont="1" applyFill="1" applyAlignment="1">
      <alignment horizontal="center"/>
    </xf>
    <xf numFmtId="0" fontId="22" fillId="0" borderId="0" xfId="8" applyFont="1"/>
    <xf numFmtId="9" fontId="22" fillId="11" borderId="0" xfId="8" applyNumberFormat="1" applyFont="1" applyFill="1" applyAlignment="1">
      <alignment horizontal="center"/>
    </xf>
    <xf numFmtId="0" fontId="22" fillId="0" borderId="0" xfId="8" applyFont="1" applyAlignment="1">
      <alignment horizontal="center"/>
    </xf>
    <xf numFmtId="0" fontId="17" fillId="2" borderId="14" xfId="8" applyFont="1" applyFill="1" applyBorder="1" applyAlignment="1">
      <alignment horizontal="center" vertical="center" wrapText="1"/>
    </xf>
    <xf numFmtId="0" fontId="17" fillId="2" borderId="15" xfId="8" applyFont="1" applyFill="1" applyBorder="1" applyAlignment="1">
      <alignment horizontal="center"/>
    </xf>
    <xf numFmtId="0" fontId="17" fillId="2" borderId="15" xfId="8" applyFont="1" applyFill="1" applyBorder="1" applyAlignment="1">
      <alignment horizontal="center" vertical="center" wrapText="1"/>
    </xf>
    <xf numFmtId="0" fontId="22" fillId="0" borderId="11" xfId="8" applyFont="1" applyBorder="1" applyAlignment="1">
      <alignment horizontal="center" wrapText="1"/>
    </xf>
    <xf numFmtId="172" fontId="22" fillId="0" borderId="1" xfId="8" applyNumberFormat="1" applyFont="1" applyBorder="1" applyAlignment="1">
      <alignment wrapText="1"/>
    </xf>
    <xf numFmtId="173" fontId="22" fillId="0" borderId="1" xfId="8" applyNumberFormat="1" applyFont="1" applyBorder="1" applyAlignment="1">
      <alignment wrapText="1"/>
    </xf>
    <xf numFmtId="174" fontId="22" fillId="0" borderId="1" xfId="8" applyNumberFormat="1" applyFont="1" applyBorder="1" applyAlignment="1">
      <alignment wrapText="1"/>
    </xf>
    <xf numFmtId="1" fontId="22" fillId="0" borderId="11" xfId="8" applyNumberFormat="1" applyFont="1" applyBorder="1" applyAlignment="1">
      <alignment horizontal="center"/>
    </xf>
    <xf numFmtId="0" fontId="22" fillId="0" borderId="1" xfId="8" applyFont="1" applyBorder="1" applyAlignment="1">
      <alignment horizontal="center" wrapText="1"/>
    </xf>
    <xf numFmtId="0" fontId="23" fillId="5" borderId="8" xfId="0" applyFont="1" applyFill="1" applyBorder="1" applyAlignment="1">
      <alignment horizontal="center"/>
    </xf>
    <xf numFmtId="0" fontId="23" fillId="5" borderId="12" xfId="0" applyFont="1" applyFill="1" applyBorder="1" applyAlignment="1">
      <alignment horizontal="center"/>
    </xf>
    <xf numFmtId="0" fontId="22" fillId="12" borderId="11" xfId="8" applyFont="1" applyFill="1" applyBorder="1" applyAlignment="1">
      <alignment horizontal="center" wrapText="1"/>
    </xf>
    <xf numFmtId="171" fontId="22" fillId="0" borderId="1" xfId="8" applyNumberFormat="1" applyFont="1" applyBorder="1" applyAlignment="1">
      <alignment wrapText="1"/>
    </xf>
    <xf numFmtId="171" fontId="22" fillId="0" borderId="0" xfId="8" applyNumberFormat="1" applyFont="1" applyAlignment="1">
      <alignment wrapText="1"/>
    </xf>
    <xf numFmtId="173" fontId="22" fillId="0" borderId="0" xfId="8" applyNumberFormat="1" applyFont="1" applyAlignment="1">
      <alignment wrapText="1"/>
    </xf>
    <xf numFmtId="174" fontId="22" fillId="0" borderId="0" xfId="8" applyNumberFormat="1" applyFont="1" applyAlignment="1">
      <alignment wrapText="1"/>
    </xf>
    <xf numFmtId="0" fontId="17" fillId="2" borderId="14" xfId="8" applyFont="1" applyFill="1" applyBorder="1" applyAlignment="1">
      <alignment horizontal="center"/>
    </xf>
    <xf numFmtId="0" fontId="22" fillId="0" borderId="1" xfId="8" applyFont="1" applyBorder="1" applyAlignment="1">
      <alignment wrapText="1"/>
    </xf>
    <xf numFmtId="171" fontId="5" fillId="0" borderId="1" xfId="1" applyNumberFormat="1" applyFont="1" applyFill="1" applyBorder="1" applyAlignment="1">
      <alignment horizontal="center" vertical="center"/>
    </xf>
    <xf numFmtId="168" fontId="5" fillId="0" borderId="1" xfId="3" applyNumberFormat="1" applyFont="1" applyBorder="1" applyAlignment="1">
      <alignment horizontal="center" vertical="center"/>
    </xf>
    <xf numFmtId="44" fontId="5" fillId="0" borderId="1" xfId="3" applyFont="1" applyFill="1" applyBorder="1" applyAlignment="1">
      <alignment horizontal="center" vertical="center"/>
    </xf>
    <xf numFmtId="49" fontId="5" fillId="13" borderId="1" xfId="1" applyNumberFormat="1" applyFont="1" applyFill="1" applyBorder="1" applyAlignment="1">
      <alignment horizontal="center" vertical="center"/>
    </xf>
    <xf numFmtId="3" fontId="5" fillId="13" borderId="1" xfId="1" applyNumberFormat="1" applyFont="1" applyFill="1" applyBorder="1" applyAlignment="1">
      <alignment horizontal="center" vertical="center"/>
    </xf>
    <xf numFmtId="165" fontId="5" fillId="13" borderId="1" xfId="1" applyNumberFormat="1" applyFont="1" applyFill="1" applyBorder="1" applyAlignment="1">
      <alignment horizontal="center" vertical="center"/>
    </xf>
    <xf numFmtId="166" fontId="5" fillId="13" borderId="1" xfId="2" applyNumberFormat="1" applyFont="1" applyFill="1" applyBorder="1" applyAlignment="1">
      <alignment horizontal="center" vertical="center"/>
    </xf>
    <xf numFmtId="9" fontId="5" fillId="13" borderId="1" xfId="2" applyFont="1" applyFill="1" applyBorder="1" applyAlignment="1">
      <alignment horizontal="center" vertical="center"/>
    </xf>
    <xf numFmtId="0" fontId="5" fillId="13" borderId="1" xfId="1" applyNumberFormat="1" applyFont="1" applyFill="1" applyBorder="1" applyAlignment="1">
      <alignment horizontal="center" vertical="center"/>
    </xf>
    <xf numFmtId="167" fontId="5" fillId="13" borderId="1" xfId="3" applyNumberFormat="1" applyFont="1" applyFill="1" applyBorder="1" applyAlignment="1">
      <alignment horizontal="center" vertical="center"/>
    </xf>
    <xf numFmtId="168" fontId="5" fillId="13" borderId="1" xfId="3" applyNumberFormat="1" applyFont="1" applyFill="1" applyBorder="1" applyAlignment="1">
      <alignment horizontal="center" vertical="center"/>
    </xf>
    <xf numFmtId="44" fontId="0" fillId="0" borderId="0" xfId="0" applyNumberFormat="1"/>
    <xf numFmtId="49" fontId="5" fillId="0" borderId="1" xfId="1" applyNumberFormat="1" applyFont="1" applyBorder="1" applyAlignment="1">
      <alignment horizontal="center" vertical="center"/>
    </xf>
    <xf numFmtId="0" fontId="9" fillId="0" borderId="0" xfId="0" applyFont="1" applyAlignment="1">
      <alignment horizontal="left"/>
    </xf>
    <xf numFmtId="0" fontId="23" fillId="5" borderId="16" xfId="0" applyFont="1" applyFill="1" applyBorder="1" applyAlignment="1">
      <alignment horizontal="center"/>
    </xf>
    <xf numFmtId="0" fontId="23" fillId="5" borderId="17" xfId="0" applyFont="1" applyFill="1" applyBorder="1" applyAlignment="1">
      <alignment horizontal="center"/>
    </xf>
    <xf numFmtId="0" fontId="14" fillId="0" borderId="5" xfId="0" applyFont="1" applyBorder="1"/>
    <xf numFmtId="0" fontId="4" fillId="2" borderId="9" xfId="0" applyFont="1" applyFill="1" applyBorder="1" applyAlignment="1">
      <alignment horizontal="center"/>
    </xf>
    <xf numFmtId="0" fontId="4" fillId="2" borderId="10" xfId="0" applyFont="1" applyFill="1" applyBorder="1" applyAlignment="1">
      <alignment horizontal="center"/>
    </xf>
    <xf numFmtId="0" fontId="13" fillId="8" borderId="18" xfId="0" applyFont="1" applyFill="1" applyBorder="1" applyAlignment="1">
      <alignment horizontal="left"/>
    </xf>
    <xf numFmtId="165" fontId="13" fillId="8" borderId="18" xfId="1" applyNumberFormat="1" applyFont="1" applyFill="1" applyBorder="1" applyAlignment="1">
      <alignment horizontal="right"/>
    </xf>
    <xf numFmtId="169" fontId="13" fillId="8" borderId="18" xfId="0" quotePrefix="1" applyNumberFormat="1" applyFont="1" applyFill="1" applyBorder="1" applyAlignment="1">
      <alignment horizontal="center"/>
    </xf>
    <xf numFmtId="0" fontId="14" fillId="0" borderId="1" xfId="0" applyFont="1" applyBorder="1" applyAlignment="1">
      <alignment horizontal="left"/>
    </xf>
    <xf numFmtId="3" fontId="14" fillId="0" borderId="1" xfId="0" applyNumberFormat="1" applyFont="1" applyBorder="1" applyAlignment="1">
      <alignment horizontal="right"/>
    </xf>
    <xf numFmtId="169" fontId="14" fillId="0" borderId="1" xfId="0" applyNumberFormat="1" applyFont="1" applyBorder="1" applyAlignment="1">
      <alignment horizontal="right"/>
    </xf>
    <xf numFmtId="9" fontId="14" fillId="0" borderId="1" xfId="2" applyFont="1" applyFill="1" applyBorder="1" applyAlignment="1">
      <alignment horizontal="right"/>
    </xf>
    <xf numFmtId="169" fontId="14" fillId="0" borderId="1" xfId="0" quotePrefix="1" applyNumberFormat="1" applyFont="1" applyBorder="1" applyAlignment="1">
      <alignment horizontal="center"/>
    </xf>
    <xf numFmtId="9" fontId="14" fillId="0" borderId="1" xfId="2" applyFont="1" applyBorder="1" applyAlignment="1">
      <alignment horizontal="right"/>
    </xf>
    <xf numFmtId="172" fontId="22" fillId="0" borderId="1" xfId="8" applyNumberFormat="1" applyFont="1" applyBorder="1" applyAlignment="1">
      <alignment horizontal="center" wrapText="1"/>
    </xf>
    <xf numFmtId="173" fontId="22" fillId="0" borderId="1" xfId="8" applyNumberFormat="1" applyFont="1" applyBorder="1" applyAlignment="1">
      <alignment horizontal="center" wrapText="1"/>
    </xf>
    <xf numFmtId="174" fontId="22" fillId="0" borderId="1" xfId="8" applyNumberFormat="1" applyFont="1" applyBorder="1" applyAlignment="1">
      <alignment horizontal="center" wrapText="1"/>
    </xf>
    <xf numFmtId="3" fontId="14" fillId="0" borderId="7" xfId="0" applyNumberFormat="1" applyFont="1" applyBorder="1" applyAlignment="1">
      <alignment horizontal="right"/>
    </xf>
    <xf numFmtId="3" fontId="14" fillId="0" borderId="10" xfId="0" applyNumberFormat="1" applyFont="1" applyBorder="1" applyAlignment="1">
      <alignment horizontal="right"/>
    </xf>
    <xf numFmtId="165" fontId="13" fillId="8" borderId="10" xfId="1" applyNumberFormat="1" applyFont="1" applyFill="1" applyBorder="1" applyAlignment="1">
      <alignment horizontal="right"/>
    </xf>
    <xf numFmtId="169" fontId="13" fillId="8" borderId="1" xfId="1" applyNumberFormat="1" applyFont="1" applyFill="1" applyBorder="1" applyAlignment="1">
      <alignment horizontal="right"/>
    </xf>
    <xf numFmtId="165" fontId="14" fillId="0" borderId="1" xfId="1" applyNumberFormat="1" applyFont="1" applyBorder="1" applyAlignment="1">
      <alignment horizontal="right"/>
    </xf>
    <xf numFmtId="165" fontId="14" fillId="14" borderId="1" xfId="1" applyNumberFormat="1" applyFont="1" applyFill="1" applyBorder="1" applyAlignment="1">
      <alignment horizontal="right"/>
    </xf>
    <xf numFmtId="169" fontId="14" fillId="14" borderId="1" xfId="0" applyNumberFormat="1" applyFont="1" applyFill="1" applyBorder="1" applyAlignment="1">
      <alignment horizontal="right"/>
    </xf>
    <xf numFmtId="0" fontId="17" fillId="2" borderId="1" xfId="0" applyFont="1" applyFill="1" applyBorder="1"/>
    <xf numFmtId="0" fontId="16" fillId="0" borderId="1" xfId="0" applyFont="1" applyBorder="1"/>
    <xf numFmtId="0" fontId="17" fillId="2" borderId="1" xfId="0" applyFont="1" applyFill="1" applyBorder="1" applyAlignment="1">
      <alignment horizontal="center"/>
    </xf>
    <xf numFmtId="3" fontId="9" fillId="0" borderId="1" xfId="0" applyNumberFormat="1" applyFont="1" applyBorder="1" applyAlignment="1">
      <alignment horizontal="center" vertical="center" wrapText="1"/>
    </xf>
    <xf numFmtId="0" fontId="9" fillId="10" borderId="2" xfId="0" applyFont="1" applyFill="1" applyBorder="1" applyAlignment="1">
      <alignment horizontal="center" vertical="center" wrapText="1"/>
    </xf>
    <xf numFmtId="0" fontId="2" fillId="2" borderId="0" xfId="0" applyFont="1" applyFill="1"/>
    <xf numFmtId="0" fontId="9" fillId="10" borderId="1" xfId="0" applyFont="1" applyFill="1" applyBorder="1" applyAlignment="1">
      <alignment vertical="center" wrapText="1"/>
    </xf>
    <xf numFmtId="165" fontId="2" fillId="2" borderId="0" xfId="0" applyNumberFormat="1" applyFont="1" applyFill="1"/>
    <xf numFmtId="0" fontId="25" fillId="0" borderId="0" xfId="0" applyFont="1" applyAlignment="1">
      <alignment horizontal="left"/>
    </xf>
    <xf numFmtId="0" fontId="9" fillId="0" borderId="0" xfId="0" applyFont="1" applyAlignment="1">
      <alignment horizontal="center" vertical="center"/>
    </xf>
    <xf numFmtId="0" fontId="26" fillId="0" borderId="0" xfId="0" applyFont="1" applyAlignment="1">
      <alignment horizontal="left" indent="1"/>
    </xf>
    <xf numFmtId="0" fontId="25" fillId="0" borderId="0" xfId="0" applyFont="1" applyAlignment="1">
      <alignment horizontal="center" vertical="center"/>
    </xf>
    <xf numFmtId="169" fontId="14" fillId="0" borderId="0" xfId="0" applyNumberFormat="1" applyFont="1" applyAlignment="1">
      <alignment horizontal="right"/>
    </xf>
    <xf numFmtId="9" fontId="14" fillId="0" borderId="0" xfId="2" applyFont="1" applyBorder="1" applyAlignment="1">
      <alignment horizontal="right"/>
    </xf>
    <xf numFmtId="49" fontId="13" fillId="6" borderId="1" xfId="1"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0" fillId="0" borderId="0" xfId="0" applyAlignment="1">
      <alignment horizontal="center" vertical="center"/>
    </xf>
    <xf numFmtId="9" fontId="0" fillId="0" borderId="1" xfId="2" applyFont="1" applyBorder="1" applyAlignment="1">
      <alignment horizontal="center" vertical="center"/>
    </xf>
    <xf numFmtId="0" fontId="7" fillId="5" borderId="1" xfId="0" applyFont="1" applyFill="1" applyBorder="1" applyAlignment="1">
      <alignment horizontal="center" vertical="center"/>
    </xf>
    <xf numFmtId="165" fontId="7" fillId="5" borderId="1" xfId="1" applyNumberFormat="1" applyFont="1" applyFill="1" applyBorder="1" applyAlignment="1">
      <alignment horizontal="center" vertical="center"/>
    </xf>
    <xf numFmtId="166" fontId="7" fillId="5" borderId="1" xfId="2" applyNumberFormat="1" applyFont="1" applyFill="1" applyBorder="1" applyAlignment="1">
      <alignment horizontal="center" vertical="center"/>
    </xf>
    <xf numFmtId="9" fontId="7" fillId="5" borderId="1" xfId="2" applyFont="1" applyFill="1" applyBorder="1" applyAlignment="1">
      <alignment horizontal="center" vertical="center"/>
    </xf>
    <xf numFmtId="1" fontId="7" fillId="5" borderId="1" xfId="0" applyNumberFormat="1" applyFont="1" applyFill="1" applyBorder="1" applyAlignment="1">
      <alignment horizontal="center" vertical="center"/>
    </xf>
    <xf numFmtId="167" fontId="7" fillId="5" borderId="1" xfId="3" applyNumberFormat="1" applyFont="1" applyFill="1" applyBorder="1" applyAlignment="1">
      <alignment horizontal="center" vertical="center"/>
    </xf>
    <xf numFmtId="168" fontId="7" fillId="5" borderId="1" xfId="1" applyNumberFormat="1" applyFont="1" applyFill="1" applyBorder="1" applyAlignment="1">
      <alignment horizontal="center" vertical="center"/>
    </xf>
    <xf numFmtId="9" fontId="3" fillId="5" borderId="1" xfId="2" applyFont="1" applyFill="1" applyBorder="1" applyAlignment="1">
      <alignment horizontal="center" vertical="center"/>
    </xf>
    <xf numFmtId="43" fontId="7" fillId="5" borderId="1" xfId="1" applyFont="1" applyFill="1" applyBorder="1" applyAlignment="1">
      <alignment horizontal="center" vertical="center"/>
    </xf>
    <xf numFmtId="49" fontId="5" fillId="0" borderId="0" xfId="1" applyNumberFormat="1" applyFont="1" applyFill="1" applyBorder="1" applyAlignment="1">
      <alignment horizontal="center" vertical="center"/>
    </xf>
    <xf numFmtId="168" fontId="0" fillId="0" borderId="0" xfId="0" applyNumberFormat="1" applyAlignment="1">
      <alignment horizontal="center" vertical="center"/>
    </xf>
    <xf numFmtId="165" fontId="0" fillId="0" borderId="0" xfId="1" applyNumberFormat="1" applyFont="1" applyAlignment="1">
      <alignment horizontal="center" vertical="center"/>
    </xf>
    <xf numFmtId="2" fontId="0" fillId="0" borderId="0" xfId="0" applyNumberFormat="1" applyAlignment="1">
      <alignment horizontal="center" vertical="center"/>
    </xf>
    <xf numFmtId="9" fontId="0" fillId="0" borderId="1" xfId="2" applyFont="1" applyFill="1" applyBorder="1" applyAlignment="1">
      <alignment horizontal="center" vertical="center"/>
    </xf>
    <xf numFmtId="14" fontId="0" fillId="0" borderId="0" xfId="0" applyNumberFormat="1" applyAlignment="1">
      <alignment horizontal="center" vertical="center"/>
    </xf>
    <xf numFmtId="49" fontId="12" fillId="0" borderId="1" xfId="5" applyNumberFormat="1" applyFill="1" applyBorder="1" applyAlignment="1">
      <alignment horizontal="center" vertical="center"/>
    </xf>
    <xf numFmtId="0" fontId="12" fillId="0" borderId="0" xfId="5" applyFill="1" applyAlignment="1">
      <alignment horizontal="center" vertical="center"/>
    </xf>
    <xf numFmtId="9" fontId="0" fillId="13" borderId="1" xfId="2" applyFont="1" applyFill="1" applyBorder="1" applyAlignment="1">
      <alignment horizontal="center" vertical="center"/>
    </xf>
    <xf numFmtId="0" fontId="24" fillId="0" borderId="0" xfId="0" applyFont="1" applyAlignment="1">
      <alignment horizontal="center" vertical="center"/>
    </xf>
    <xf numFmtId="0" fontId="3" fillId="2" borderId="1" xfId="0" applyFont="1" applyFill="1" applyBorder="1" applyAlignment="1">
      <alignment horizontal="center" vertical="center"/>
    </xf>
    <xf numFmtId="14" fontId="0" fillId="0" borderId="1" xfId="0" applyNumberFormat="1" applyBorder="1" applyAlignment="1">
      <alignment horizontal="center" vertical="center"/>
    </xf>
    <xf numFmtId="165" fontId="0" fillId="0" borderId="1" xfId="0" applyNumberFormat="1" applyBorder="1" applyAlignment="1">
      <alignment horizontal="center" vertical="center"/>
    </xf>
    <xf numFmtId="49" fontId="7" fillId="3" borderId="1" xfId="0" applyNumberFormat="1" applyFont="1" applyFill="1" applyBorder="1" applyAlignment="1">
      <alignment horizontal="center" vertical="center"/>
    </xf>
    <xf numFmtId="49" fontId="7" fillId="9" borderId="1" xfId="0" applyNumberFormat="1" applyFont="1" applyFill="1" applyBorder="1" applyAlignment="1">
      <alignment horizontal="center" vertical="center"/>
    </xf>
    <xf numFmtId="49" fontId="7" fillId="5" borderId="1" xfId="1"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5" fontId="7" fillId="3" borderId="1" xfId="1" applyNumberFormat="1" applyFont="1" applyFill="1" applyBorder="1" applyAlignment="1">
      <alignment horizontal="center" vertical="center"/>
    </xf>
    <xf numFmtId="166" fontId="7" fillId="3" borderId="1" xfId="2" applyNumberFormat="1" applyFont="1" applyFill="1" applyBorder="1" applyAlignment="1">
      <alignment horizontal="center" vertical="center"/>
    </xf>
    <xf numFmtId="9" fontId="7" fillId="3" borderId="1" xfId="2" applyFont="1" applyFill="1" applyBorder="1" applyAlignment="1">
      <alignment horizontal="center" vertical="center"/>
    </xf>
    <xf numFmtId="171" fontId="7" fillId="3" borderId="1" xfId="0" applyNumberFormat="1" applyFont="1" applyFill="1" applyBorder="1" applyAlignment="1">
      <alignment horizontal="center" vertical="center"/>
    </xf>
    <xf numFmtId="167" fontId="7" fillId="3" borderId="1" xfId="3" applyNumberFormat="1" applyFont="1" applyFill="1" applyBorder="1" applyAlignment="1">
      <alignment horizontal="center" vertical="center"/>
    </xf>
    <xf numFmtId="168" fontId="7" fillId="3" borderId="1" xfId="1" applyNumberFormat="1" applyFont="1" applyFill="1" applyBorder="1" applyAlignment="1">
      <alignment horizontal="center" vertical="center"/>
    </xf>
    <xf numFmtId="9" fontId="3" fillId="3" borderId="1" xfId="2" applyFont="1" applyFill="1" applyBorder="1" applyAlignment="1">
      <alignment horizontal="center" vertical="center"/>
    </xf>
    <xf numFmtId="1" fontId="7" fillId="3"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165" fontId="7" fillId="9" borderId="1" xfId="1" applyNumberFormat="1" applyFont="1" applyFill="1" applyBorder="1" applyAlignment="1">
      <alignment horizontal="center" vertical="center"/>
    </xf>
    <xf numFmtId="166" fontId="7" fillId="9" borderId="1" xfId="2" applyNumberFormat="1" applyFont="1" applyFill="1" applyBorder="1" applyAlignment="1">
      <alignment horizontal="center" vertical="center"/>
    </xf>
    <xf numFmtId="9" fontId="7" fillId="9" borderId="1" xfId="2" applyFont="1" applyFill="1" applyBorder="1" applyAlignment="1">
      <alignment horizontal="center" vertical="center"/>
    </xf>
    <xf numFmtId="1" fontId="7" fillId="9" borderId="1" xfId="0" applyNumberFormat="1" applyFont="1" applyFill="1" applyBorder="1" applyAlignment="1">
      <alignment horizontal="center" vertical="center"/>
    </xf>
    <xf numFmtId="167" fontId="7" fillId="9" borderId="1" xfId="3" applyNumberFormat="1" applyFont="1" applyFill="1" applyBorder="1" applyAlignment="1">
      <alignment horizontal="center" vertical="center"/>
    </xf>
    <xf numFmtId="168" fontId="7" fillId="9" borderId="1" xfId="1" applyNumberFormat="1" applyFont="1" applyFill="1" applyBorder="1" applyAlignment="1">
      <alignment horizontal="center" vertical="center"/>
    </xf>
    <xf numFmtId="9" fontId="3" fillId="9" borderId="1" xfId="2" applyFont="1" applyFill="1" applyBorder="1" applyAlignment="1">
      <alignment horizontal="center" vertical="center"/>
    </xf>
    <xf numFmtId="0" fontId="3" fillId="5" borderId="1" xfId="0" applyFont="1" applyFill="1" applyBorder="1" applyAlignment="1">
      <alignment horizontal="center" vertical="center"/>
    </xf>
    <xf numFmtId="165" fontId="3" fillId="5" borderId="1" xfId="1" applyNumberFormat="1" applyFont="1" applyFill="1" applyBorder="1" applyAlignment="1">
      <alignment horizontal="center" vertical="center"/>
    </xf>
    <xf numFmtId="168" fontId="3" fillId="5" borderId="1" xfId="1" applyNumberFormat="1" applyFont="1" applyFill="1" applyBorder="1" applyAlignment="1">
      <alignment horizontal="center" vertical="center"/>
    </xf>
    <xf numFmtId="0" fontId="7" fillId="2" borderId="1" xfId="0" applyFont="1" applyFill="1" applyBorder="1" applyAlignment="1">
      <alignment horizontal="center" vertical="center"/>
    </xf>
    <xf numFmtId="165" fontId="7" fillId="2" borderId="1" xfId="1" applyNumberFormat="1" applyFont="1" applyFill="1" applyBorder="1" applyAlignment="1">
      <alignment horizontal="center" vertical="center"/>
    </xf>
    <xf numFmtId="166" fontId="7" fillId="2" borderId="1" xfId="2" applyNumberFormat="1" applyFont="1" applyFill="1" applyBorder="1" applyAlignment="1">
      <alignment horizontal="center" vertical="center"/>
    </xf>
    <xf numFmtId="9" fontId="7" fillId="2" borderId="1" xfId="2" applyFont="1" applyFill="1" applyBorder="1" applyAlignment="1">
      <alignment horizontal="center" vertical="center"/>
    </xf>
    <xf numFmtId="1" fontId="7" fillId="2" borderId="1" xfId="0" applyNumberFormat="1" applyFont="1" applyFill="1" applyBorder="1" applyAlignment="1">
      <alignment horizontal="center" vertical="center"/>
    </xf>
    <xf numFmtId="167" fontId="7" fillId="2" borderId="1" xfId="3"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9" fontId="3" fillId="2" borderId="1" xfId="2" applyFont="1" applyFill="1" applyBorder="1" applyAlignment="1">
      <alignment horizontal="center" vertical="center"/>
    </xf>
    <xf numFmtId="164" fontId="0" fillId="0" borderId="0" xfId="0" applyNumberFormat="1"/>
    <xf numFmtId="175"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vertical="center"/>
    </xf>
    <xf numFmtId="175" fontId="0" fillId="0" borderId="0" xfId="0" applyNumberFormat="1" applyAlignment="1">
      <alignment vertical="center"/>
    </xf>
    <xf numFmtId="1" fontId="0" fillId="0" borderId="0" xfId="0" applyNumberFormat="1" applyAlignment="1">
      <alignment vertical="center"/>
    </xf>
    <xf numFmtId="0" fontId="0" fillId="15" borderId="0" xfId="0" applyFill="1" applyAlignment="1">
      <alignment horizontal="center" vertical="center"/>
    </xf>
    <xf numFmtId="175" fontId="0" fillId="15" borderId="0" xfId="0" applyNumberFormat="1" applyFill="1" applyAlignment="1">
      <alignment horizontal="center" vertical="center"/>
    </xf>
    <xf numFmtId="0" fontId="0" fillId="15" borderId="0" xfId="0" applyFill="1"/>
    <xf numFmtId="175" fontId="0" fillId="15" borderId="0" xfId="0" applyNumberFormat="1" applyFill="1"/>
    <xf numFmtId="1" fontId="0" fillId="15" borderId="0" xfId="0" applyNumberFormat="1" applyFill="1" applyAlignment="1">
      <alignment horizontal="center" vertical="center"/>
    </xf>
    <xf numFmtId="168" fontId="5" fillId="0" borderId="1" xfId="12" applyNumberFormat="1" applyFont="1" applyFill="1" applyBorder="1" applyAlignment="1">
      <alignment horizontal="center" vertical="center"/>
    </xf>
    <xf numFmtId="14" fontId="5" fillId="16" borderId="1" xfId="1" applyNumberFormat="1" applyFont="1" applyFill="1" applyBorder="1" applyAlignment="1">
      <alignment horizontal="center" vertical="center"/>
    </xf>
    <xf numFmtId="169" fontId="10" fillId="3" borderId="1" xfId="1" applyNumberFormat="1" applyFont="1" applyFill="1" applyBorder="1" applyAlignment="1">
      <alignment horizontal="center" vertical="center" wrapText="1"/>
    </xf>
    <xf numFmtId="0" fontId="27" fillId="17" borderId="1" xfId="0" applyFont="1" applyFill="1" applyBorder="1" applyAlignment="1">
      <alignment horizontal="center" vertical="center" wrapText="1"/>
    </xf>
    <xf numFmtId="0" fontId="16" fillId="0" borderId="0" xfId="0" applyFont="1" applyAlignment="1">
      <alignment horizontal="left" vertical="top" wrapText="1"/>
    </xf>
    <xf numFmtId="0" fontId="16" fillId="0" borderId="0" xfId="0" applyFont="1" applyAlignment="1">
      <alignment horizontal="center" vertical="center" wrapText="1"/>
    </xf>
    <xf numFmtId="0" fontId="28" fillId="16" borderId="3" xfId="0" applyFont="1" applyFill="1" applyBorder="1"/>
    <xf numFmtId="0" fontId="14" fillId="15" borderId="21" xfId="0" applyFont="1" applyFill="1" applyBorder="1" applyAlignment="1">
      <alignment vertical="center"/>
    </xf>
    <xf numFmtId="0" fontId="14" fillId="15" borderId="22" xfId="0" applyFont="1" applyFill="1" applyBorder="1" applyAlignment="1">
      <alignment vertical="center"/>
    </xf>
    <xf numFmtId="0" fontId="14" fillId="15" borderId="23" xfId="0" applyFont="1" applyFill="1" applyBorder="1" applyAlignment="1">
      <alignment vertical="center"/>
    </xf>
    <xf numFmtId="0" fontId="14" fillId="15" borderId="24" xfId="0" applyFont="1" applyFill="1" applyBorder="1" applyAlignment="1">
      <alignment vertical="center"/>
    </xf>
    <xf numFmtId="0" fontId="14" fillId="15" borderId="25" xfId="0" applyFont="1" applyFill="1" applyBorder="1" applyAlignment="1">
      <alignment vertical="center"/>
    </xf>
    <xf numFmtId="0" fontId="14" fillId="15" borderId="26" xfId="0" applyFont="1" applyFill="1" applyBorder="1" applyAlignment="1">
      <alignment vertical="center"/>
    </xf>
    <xf numFmtId="0" fontId="14" fillId="14" borderId="27" xfId="0" applyFont="1" applyFill="1" applyBorder="1" applyAlignment="1">
      <alignment vertical="center"/>
    </xf>
    <xf numFmtId="0" fontId="14" fillId="14" borderId="28" xfId="0" applyFont="1" applyFill="1" applyBorder="1" applyAlignment="1">
      <alignment vertical="center"/>
    </xf>
    <xf numFmtId="0" fontId="14" fillId="14" borderId="29" xfId="0" applyFont="1" applyFill="1" applyBorder="1" applyAlignment="1">
      <alignment vertical="center"/>
    </xf>
    <xf numFmtId="0" fontId="14" fillId="14" borderId="30" xfId="0" applyFont="1" applyFill="1" applyBorder="1" applyAlignment="1">
      <alignment vertical="center"/>
    </xf>
    <xf numFmtId="0" fontId="14" fillId="14" borderId="31" xfId="0" applyFont="1" applyFill="1" applyBorder="1" applyAlignment="1">
      <alignment vertical="center"/>
    </xf>
    <xf numFmtId="0" fontId="14" fillId="14" borderId="32" xfId="0" applyFont="1" applyFill="1" applyBorder="1" applyAlignment="1">
      <alignment vertical="center"/>
    </xf>
    <xf numFmtId="0" fontId="14" fillId="14" borderId="24" xfId="0" applyFont="1" applyFill="1" applyBorder="1" applyAlignment="1">
      <alignment vertical="center"/>
    </xf>
    <xf numFmtId="0" fontId="14" fillId="14" borderId="33" xfId="0" applyFont="1" applyFill="1" applyBorder="1" applyAlignment="1">
      <alignment vertical="center"/>
    </xf>
    <xf numFmtId="0" fontId="14" fillId="14" borderId="26" xfId="0" applyFont="1" applyFill="1" applyBorder="1" applyAlignment="1">
      <alignment vertical="center"/>
    </xf>
    <xf numFmtId="168" fontId="0" fillId="0" borderId="0" xfId="0" applyNumberFormat="1"/>
    <xf numFmtId="0" fontId="16" fillId="14" borderId="1" xfId="0" applyFont="1" applyFill="1" applyBorder="1" applyAlignment="1">
      <alignment horizontal="center" vertical="center" wrapText="1"/>
    </xf>
    <xf numFmtId="1" fontId="8" fillId="0" borderId="0" xfId="0" applyNumberFormat="1" applyFont="1"/>
    <xf numFmtId="49" fontId="5" fillId="19" borderId="1" xfId="1" applyNumberFormat="1" applyFont="1" applyFill="1" applyBorder="1" applyAlignment="1">
      <alignment horizontal="center" vertical="center"/>
    </xf>
    <xf numFmtId="0" fontId="5" fillId="19" borderId="1" xfId="1" applyNumberFormat="1" applyFont="1" applyFill="1" applyBorder="1" applyAlignment="1">
      <alignment horizontal="center" vertical="center"/>
    </xf>
    <xf numFmtId="3" fontId="5" fillId="19" borderId="1" xfId="1" applyNumberFormat="1" applyFont="1" applyFill="1" applyBorder="1" applyAlignment="1">
      <alignment horizontal="center" vertical="center"/>
    </xf>
    <xf numFmtId="165" fontId="5" fillId="19" borderId="1" xfId="1" applyNumberFormat="1" applyFont="1" applyFill="1" applyBorder="1" applyAlignment="1">
      <alignment horizontal="center" vertical="center"/>
    </xf>
    <xf numFmtId="166" fontId="5" fillId="19" borderId="1" xfId="2" applyNumberFormat="1" applyFont="1" applyFill="1" applyBorder="1" applyAlignment="1">
      <alignment horizontal="center" vertical="center"/>
    </xf>
    <xf numFmtId="9" fontId="5" fillId="19" borderId="1" xfId="2" applyFont="1" applyFill="1" applyBorder="1" applyAlignment="1">
      <alignment horizontal="center" vertical="center"/>
    </xf>
    <xf numFmtId="168" fontId="5" fillId="19" borderId="1" xfId="3" applyNumberFormat="1" applyFont="1" applyFill="1" applyBorder="1" applyAlignment="1">
      <alignment horizontal="center" vertical="center"/>
    </xf>
    <xf numFmtId="9" fontId="0" fillId="19" borderId="1" xfId="2" applyFont="1" applyFill="1" applyBorder="1" applyAlignment="1">
      <alignment horizontal="center" vertical="center"/>
    </xf>
    <xf numFmtId="14" fontId="5" fillId="19" borderId="1" xfId="1" applyNumberFormat="1" applyFont="1" applyFill="1" applyBorder="1" applyAlignment="1">
      <alignment horizontal="center" vertical="center"/>
    </xf>
    <xf numFmtId="49" fontId="12" fillId="13" borderId="1" xfId="5" applyNumberFormat="1" applyFill="1" applyBorder="1" applyAlignment="1">
      <alignment horizontal="center" vertical="center"/>
    </xf>
    <xf numFmtId="14" fontId="5" fillId="13" borderId="1" xfId="1" applyNumberFormat="1" applyFont="1" applyFill="1" applyBorder="1" applyAlignment="1">
      <alignment horizontal="center" vertical="center"/>
    </xf>
    <xf numFmtId="0" fontId="29" fillId="0" borderId="0" xfId="0" applyFont="1"/>
    <xf numFmtId="49" fontId="22" fillId="0" borderId="1" xfId="1" applyNumberFormat="1" applyFont="1" applyFill="1" applyBorder="1" applyAlignment="1">
      <alignment horizontal="center" vertical="center"/>
    </xf>
    <xf numFmtId="3" fontId="22" fillId="0" borderId="1" xfId="1" applyNumberFormat="1" applyFont="1" applyFill="1" applyBorder="1" applyAlignment="1">
      <alignment horizontal="center" vertical="center"/>
    </xf>
    <xf numFmtId="165" fontId="22" fillId="0" borderId="1" xfId="1" applyNumberFormat="1" applyFont="1" applyFill="1" applyBorder="1" applyAlignment="1">
      <alignment horizontal="center" vertical="center"/>
    </xf>
    <xf numFmtId="10" fontId="22" fillId="0" borderId="1" xfId="2" applyNumberFormat="1" applyFont="1" applyFill="1" applyBorder="1" applyAlignment="1">
      <alignment horizontal="center" vertical="center"/>
    </xf>
    <xf numFmtId="9" fontId="22" fillId="0" borderId="1" xfId="2" applyFont="1" applyFill="1" applyBorder="1" applyAlignment="1">
      <alignment horizontal="center" vertical="center"/>
    </xf>
    <xf numFmtId="171" fontId="22" fillId="0" borderId="1" xfId="1" applyNumberFormat="1" applyFont="1" applyFill="1" applyBorder="1" applyAlignment="1">
      <alignment horizontal="center" vertical="center"/>
    </xf>
    <xf numFmtId="168" fontId="22" fillId="0" borderId="1" xfId="3" applyNumberFormat="1" applyFont="1" applyFill="1" applyBorder="1" applyAlignment="1">
      <alignment horizontal="center" vertical="center"/>
    </xf>
    <xf numFmtId="9" fontId="16" fillId="0" borderId="1" xfId="2" applyFont="1" applyBorder="1" applyAlignment="1">
      <alignment horizontal="center" vertical="center"/>
    </xf>
    <xf numFmtId="167" fontId="22" fillId="0" borderId="1" xfId="3" applyNumberFormat="1" applyFont="1" applyFill="1" applyBorder="1" applyAlignment="1">
      <alignment horizontal="center" vertical="center"/>
    </xf>
    <xf numFmtId="1" fontId="4" fillId="2" borderId="1" xfId="1" applyNumberFormat="1" applyFont="1" applyFill="1" applyBorder="1" applyAlignment="1">
      <alignment horizontal="center" vertical="center"/>
    </xf>
    <xf numFmtId="1" fontId="0" fillId="0" borderId="0" xfId="0" applyNumberFormat="1" applyAlignment="1">
      <alignment horizontal="center"/>
    </xf>
    <xf numFmtId="49" fontId="22" fillId="0" borderId="3" xfId="1" applyNumberFormat="1" applyFont="1" applyFill="1" applyBorder="1" applyAlignment="1">
      <alignment horizontal="center" vertical="center"/>
    </xf>
    <xf numFmtId="49" fontId="22" fillId="13" borderId="34" xfId="1" applyNumberFormat="1" applyFont="1" applyFill="1" applyBorder="1" applyAlignment="1">
      <alignment horizontal="center" vertical="center"/>
    </xf>
    <xf numFmtId="3" fontId="22" fillId="13" borderId="34" xfId="1" applyNumberFormat="1" applyFont="1" applyFill="1" applyBorder="1" applyAlignment="1">
      <alignment horizontal="center" vertical="center"/>
    </xf>
    <xf numFmtId="10" fontId="22" fillId="13" borderId="34" xfId="2" applyNumberFormat="1" applyFont="1" applyFill="1" applyBorder="1" applyAlignment="1">
      <alignment horizontal="center" vertical="center"/>
    </xf>
    <xf numFmtId="9" fontId="22" fillId="13" borderId="34" xfId="2" applyFont="1" applyFill="1" applyBorder="1" applyAlignment="1">
      <alignment horizontal="center" vertical="center"/>
    </xf>
    <xf numFmtId="165" fontId="30" fillId="13" borderId="34" xfId="1" applyNumberFormat="1" applyFont="1" applyFill="1" applyBorder="1" applyAlignment="1">
      <alignment vertical="center"/>
    </xf>
    <xf numFmtId="167" fontId="30" fillId="13" borderId="34" xfId="3" applyNumberFormat="1" applyFont="1" applyFill="1" applyBorder="1" applyAlignment="1">
      <alignment horizontal="center" vertical="center"/>
    </xf>
    <xf numFmtId="168" fontId="30" fillId="13" borderId="34" xfId="3" applyNumberFormat="1" applyFont="1" applyFill="1" applyBorder="1" applyAlignment="1">
      <alignment horizontal="center" vertical="center"/>
    </xf>
    <xf numFmtId="9" fontId="31" fillId="13" borderId="34" xfId="2" applyFont="1" applyFill="1" applyBorder="1" applyAlignment="1">
      <alignment horizontal="center" vertical="center"/>
    </xf>
    <xf numFmtId="165" fontId="30" fillId="13" borderId="34" xfId="1" applyNumberFormat="1" applyFont="1" applyFill="1" applyBorder="1" applyAlignment="1">
      <alignment horizontal="center" vertical="center"/>
    </xf>
    <xf numFmtId="14" fontId="22" fillId="13" borderId="34" xfId="1" applyNumberFormat="1" applyFont="1" applyFill="1" applyBorder="1" applyAlignment="1">
      <alignment horizontal="center" vertical="center"/>
    </xf>
    <xf numFmtId="14" fontId="22" fillId="13" borderId="5" xfId="1" applyNumberFormat="1" applyFont="1" applyFill="1" applyBorder="1" applyAlignment="1">
      <alignment horizontal="center" vertical="center"/>
    </xf>
    <xf numFmtId="49" fontId="22" fillId="13" borderId="36" xfId="1" applyNumberFormat="1" applyFont="1" applyFill="1" applyBorder="1" applyAlignment="1">
      <alignment horizontal="center" vertical="center"/>
    </xf>
    <xf numFmtId="3" fontId="22" fillId="13" borderId="36" xfId="1" applyNumberFormat="1" applyFont="1" applyFill="1" applyBorder="1" applyAlignment="1">
      <alignment horizontal="center" vertical="center"/>
    </xf>
    <xf numFmtId="10" fontId="22" fillId="13" borderId="36" xfId="2" applyNumberFormat="1" applyFont="1" applyFill="1" applyBorder="1" applyAlignment="1">
      <alignment horizontal="center" vertical="center"/>
    </xf>
    <xf numFmtId="9" fontId="22" fillId="13" borderId="36" xfId="2" applyFont="1" applyFill="1" applyBorder="1" applyAlignment="1">
      <alignment horizontal="center" vertical="center"/>
    </xf>
    <xf numFmtId="167" fontId="30" fillId="13" borderId="36" xfId="3" applyNumberFormat="1" applyFont="1" applyFill="1" applyBorder="1" applyAlignment="1">
      <alignment horizontal="center" vertical="center"/>
    </xf>
    <xf numFmtId="168" fontId="30" fillId="13" borderId="36" xfId="3" applyNumberFormat="1" applyFont="1" applyFill="1" applyBorder="1" applyAlignment="1">
      <alignment horizontal="center" vertical="center"/>
    </xf>
    <xf numFmtId="9" fontId="31" fillId="13" borderId="36" xfId="2" applyFont="1" applyFill="1" applyBorder="1" applyAlignment="1">
      <alignment horizontal="center" vertical="center"/>
    </xf>
    <xf numFmtId="165" fontId="30" fillId="13" borderId="36" xfId="1" applyNumberFormat="1" applyFont="1" applyFill="1" applyBorder="1" applyAlignment="1">
      <alignment horizontal="center" vertical="center"/>
    </xf>
    <xf numFmtId="14" fontId="22" fillId="13" borderId="36" xfId="1" applyNumberFormat="1" applyFont="1" applyFill="1" applyBorder="1" applyAlignment="1">
      <alignment horizontal="center" vertical="center"/>
    </xf>
    <xf numFmtId="14" fontId="22" fillId="13" borderId="37" xfId="1" applyNumberFormat="1" applyFont="1" applyFill="1" applyBorder="1" applyAlignment="1">
      <alignment horizontal="center" vertical="center"/>
    </xf>
    <xf numFmtId="0" fontId="29" fillId="19" borderId="0" xfId="0" applyFont="1" applyFill="1"/>
    <xf numFmtId="3" fontId="0" fillId="0" borderId="0" xfId="0" applyNumberFormat="1"/>
    <xf numFmtId="0" fontId="14" fillId="5" borderId="12" xfId="0" applyFont="1" applyFill="1" applyBorder="1"/>
    <xf numFmtId="0" fontId="0" fillId="5" borderId="0" xfId="0" applyFill="1"/>
    <xf numFmtId="0" fontId="2" fillId="0" borderId="0" xfId="0" applyFont="1"/>
    <xf numFmtId="165" fontId="30" fillId="13" borderId="36" xfId="1" applyNumberFormat="1" applyFont="1" applyFill="1" applyBorder="1" applyAlignment="1">
      <alignment vertical="center"/>
    </xf>
    <xf numFmtId="0" fontId="0" fillId="4" borderId="38" xfId="0" applyFill="1" applyBorder="1"/>
    <xf numFmtId="165" fontId="31" fillId="4" borderId="38" xfId="1" applyNumberFormat="1" applyFont="1" applyFill="1" applyBorder="1" applyAlignment="1">
      <alignment horizontal="center"/>
    </xf>
    <xf numFmtId="10" fontId="31" fillId="4" borderId="38" xfId="0" applyNumberFormat="1" applyFont="1" applyFill="1" applyBorder="1" applyAlignment="1">
      <alignment horizontal="center"/>
    </xf>
    <xf numFmtId="9" fontId="31" fillId="4" borderId="38" xfId="2" applyFont="1" applyFill="1" applyBorder="1" applyAlignment="1">
      <alignment horizontal="center"/>
    </xf>
    <xf numFmtId="165" fontId="31" fillId="4" borderId="38" xfId="0" applyNumberFormat="1" applyFont="1" applyFill="1" applyBorder="1"/>
    <xf numFmtId="0" fontId="8" fillId="4" borderId="38" xfId="0" applyFont="1" applyFill="1" applyBorder="1"/>
    <xf numFmtId="168" fontId="31" fillId="4" borderId="38" xfId="0" applyNumberFormat="1" applyFont="1" applyFill="1" applyBorder="1"/>
    <xf numFmtId="168" fontId="30" fillId="4" borderId="38" xfId="3" applyNumberFormat="1" applyFont="1" applyFill="1" applyBorder="1" applyAlignment="1">
      <alignment horizontal="center" vertical="center"/>
    </xf>
    <xf numFmtId="9" fontId="31" fillId="4" borderId="38" xfId="0" applyNumberFormat="1" applyFont="1" applyFill="1" applyBorder="1" applyAlignment="1">
      <alignment horizontal="center"/>
    </xf>
    <xf numFmtId="165" fontId="31" fillId="4" borderId="38" xfId="0" applyNumberFormat="1" applyFont="1" applyFill="1" applyBorder="1" applyAlignment="1">
      <alignment horizontal="center"/>
    </xf>
    <xf numFmtId="49" fontId="22" fillId="20" borderId="1" xfId="1" applyNumberFormat="1" applyFont="1" applyFill="1" applyBorder="1" applyAlignment="1">
      <alignment horizontal="center" vertical="center"/>
    </xf>
    <xf numFmtId="10" fontId="22" fillId="20" borderId="1" xfId="2" applyNumberFormat="1" applyFont="1" applyFill="1" applyBorder="1" applyAlignment="1">
      <alignment horizontal="center" vertical="center"/>
    </xf>
    <xf numFmtId="9" fontId="22" fillId="20" borderId="1" xfId="2" applyFont="1" applyFill="1" applyBorder="1" applyAlignment="1">
      <alignment horizontal="center" vertical="center"/>
    </xf>
    <xf numFmtId="49" fontId="22" fillId="20" borderId="5" xfId="1" applyNumberFormat="1" applyFont="1" applyFill="1" applyBorder="1" applyAlignment="1">
      <alignment horizontal="center" vertical="center"/>
    </xf>
    <xf numFmtId="0" fontId="0" fillId="20" borderId="0" xfId="0" applyFill="1"/>
    <xf numFmtId="0" fontId="0" fillId="20" borderId="40" xfId="0" applyFill="1" applyBorder="1"/>
    <xf numFmtId="49" fontId="22" fillId="20" borderId="37" xfId="1" applyNumberFormat="1" applyFont="1" applyFill="1" applyBorder="1" applyAlignment="1">
      <alignment horizontal="center" vertical="center"/>
    </xf>
    <xf numFmtId="49" fontId="22" fillId="20" borderId="3" xfId="1" applyNumberFormat="1" applyFont="1" applyFill="1" applyBorder="1" applyAlignment="1">
      <alignment horizontal="center" vertical="center"/>
    </xf>
    <xf numFmtId="10" fontId="22" fillId="20" borderId="3" xfId="2" applyNumberFormat="1" applyFont="1" applyFill="1" applyBorder="1" applyAlignment="1">
      <alignment horizontal="center" vertical="center"/>
    </xf>
    <xf numFmtId="9" fontId="22" fillId="20" borderId="3" xfId="2" applyFont="1" applyFill="1" applyBorder="1" applyAlignment="1">
      <alignment horizontal="center" vertical="center"/>
    </xf>
    <xf numFmtId="49" fontId="22" fillId="20" borderId="39" xfId="1" applyNumberFormat="1" applyFont="1" applyFill="1" applyBorder="1" applyAlignment="1">
      <alignment horizontal="center" vertical="center"/>
    </xf>
    <xf numFmtId="49" fontId="22" fillId="20" borderId="11" xfId="1" applyNumberFormat="1" applyFont="1" applyFill="1" applyBorder="1" applyAlignment="1">
      <alignment horizontal="center" vertical="center"/>
    </xf>
    <xf numFmtId="10" fontId="22" fillId="20" borderId="11" xfId="2" applyNumberFormat="1" applyFont="1" applyFill="1" applyBorder="1" applyAlignment="1">
      <alignment horizontal="center" vertical="center"/>
    </xf>
    <xf numFmtId="9" fontId="22" fillId="20" borderId="11" xfId="2" applyFont="1" applyFill="1" applyBorder="1" applyAlignment="1">
      <alignment horizontal="center" vertical="center"/>
    </xf>
    <xf numFmtId="0" fontId="29" fillId="20" borderId="0" xfId="0" applyFont="1" applyFill="1"/>
    <xf numFmtId="49" fontId="22" fillId="21" borderId="34" xfId="1" applyNumberFormat="1" applyFont="1" applyFill="1" applyBorder="1" applyAlignment="1">
      <alignment horizontal="center" vertical="center"/>
    </xf>
    <xf numFmtId="3" fontId="22" fillId="21" borderId="34" xfId="1" applyNumberFormat="1" applyFont="1" applyFill="1" applyBorder="1" applyAlignment="1">
      <alignment horizontal="center" vertical="center"/>
    </xf>
    <xf numFmtId="165" fontId="30" fillId="21" borderId="34" xfId="1" applyNumberFormat="1" applyFont="1" applyFill="1" applyBorder="1" applyAlignment="1">
      <alignment horizontal="center" vertical="center"/>
    </xf>
    <xf numFmtId="10" fontId="22" fillId="21" borderId="34" xfId="2" applyNumberFormat="1" applyFont="1" applyFill="1" applyBorder="1" applyAlignment="1">
      <alignment horizontal="center" vertical="center"/>
    </xf>
    <xf numFmtId="9" fontId="22" fillId="21" borderId="34" xfId="2" applyFont="1" applyFill="1" applyBorder="1" applyAlignment="1">
      <alignment horizontal="center" vertical="center"/>
    </xf>
    <xf numFmtId="165" fontId="30" fillId="21" borderId="34" xfId="1" applyNumberFormat="1" applyFont="1" applyFill="1" applyBorder="1" applyAlignment="1">
      <alignment vertical="center"/>
    </xf>
    <xf numFmtId="167" fontId="30" fillId="21" borderId="34" xfId="3" applyNumberFormat="1" applyFont="1" applyFill="1" applyBorder="1" applyAlignment="1">
      <alignment horizontal="center" vertical="center"/>
    </xf>
    <xf numFmtId="168" fontId="30" fillId="21" borderId="34" xfId="3" applyNumberFormat="1" applyFont="1" applyFill="1" applyBorder="1" applyAlignment="1">
      <alignment horizontal="center" vertical="center"/>
    </xf>
    <xf numFmtId="9" fontId="31" fillId="21" borderId="34" xfId="2" applyFont="1" applyFill="1" applyBorder="1" applyAlignment="1">
      <alignment horizontal="center" vertical="center"/>
    </xf>
    <xf numFmtId="14" fontId="22" fillId="21" borderId="34" xfId="1" applyNumberFormat="1" applyFont="1" applyFill="1" applyBorder="1" applyAlignment="1">
      <alignment horizontal="center" vertical="center"/>
    </xf>
    <xf numFmtId="14" fontId="22" fillId="21" borderId="1" xfId="1" applyNumberFormat="1" applyFont="1" applyFill="1" applyBorder="1" applyAlignment="1">
      <alignment horizontal="center" vertical="center"/>
    </xf>
    <xf numFmtId="9" fontId="0" fillId="20" borderId="0" xfId="0" applyNumberFormat="1" applyFill="1"/>
    <xf numFmtId="1" fontId="0" fillId="20" borderId="0" xfId="0" applyNumberFormat="1" applyFill="1"/>
    <xf numFmtId="165" fontId="22" fillId="20" borderId="1" xfId="1" applyNumberFormat="1" applyFont="1" applyFill="1" applyBorder="1" applyAlignment="1">
      <alignment horizontal="center" vertical="center"/>
    </xf>
    <xf numFmtId="165" fontId="22" fillId="20" borderId="1" xfId="1" applyNumberFormat="1" applyFont="1" applyFill="1" applyBorder="1" applyAlignment="1">
      <alignment vertical="center"/>
    </xf>
    <xf numFmtId="171" fontId="22" fillId="20" borderId="1" xfId="1" applyNumberFormat="1" applyFont="1" applyFill="1" applyBorder="1" applyAlignment="1">
      <alignment horizontal="center" vertical="center"/>
    </xf>
    <xf numFmtId="167" fontId="22" fillId="20" borderId="1" xfId="3" applyNumberFormat="1" applyFont="1" applyFill="1" applyBorder="1" applyAlignment="1">
      <alignment horizontal="center" vertical="center"/>
    </xf>
    <xf numFmtId="168" fontId="22" fillId="20" borderId="1" xfId="3" applyNumberFormat="1" applyFont="1" applyFill="1" applyBorder="1" applyAlignment="1">
      <alignment horizontal="center" vertical="center"/>
    </xf>
    <xf numFmtId="9" fontId="16" fillId="20" borderId="1" xfId="2" applyFont="1" applyFill="1" applyBorder="1" applyAlignment="1">
      <alignment horizontal="center" vertical="center"/>
    </xf>
    <xf numFmtId="165" fontId="22" fillId="20" borderId="3" xfId="1" applyNumberFormat="1" applyFont="1" applyFill="1" applyBorder="1" applyAlignment="1">
      <alignment horizontal="center" vertical="center"/>
    </xf>
    <xf numFmtId="165" fontId="22" fillId="20" borderId="3" xfId="1" applyNumberFormat="1" applyFont="1" applyFill="1" applyBorder="1" applyAlignment="1">
      <alignment vertical="center"/>
    </xf>
    <xf numFmtId="171" fontId="22" fillId="20" borderId="3" xfId="1" applyNumberFormat="1" applyFont="1" applyFill="1" applyBorder="1" applyAlignment="1">
      <alignment horizontal="center" vertical="center"/>
    </xf>
    <xf numFmtId="168" fontId="22" fillId="20" borderId="3" xfId="3" applyNumberFormat="1" applyFont="1" applyFill="1" applyBorder="1" applyAlignment="1">
      <alignment horizontal="center" vertical="center"/>
    </xf>
    <xf numFmtId="9" fontId="16" fillId="20" borderId="3" xfId="2" applyFont="1" applyFill="1" applyBorder="1" applyAlignment="1">
      <alignment horizontal="center" vertical="center"/>
    </xf>
    <xf numFmtId="165" fontId="22" fillId="20" borderId="11" xfId="1" applyNumberFormat="1" applyFont="1" applyFill="1" applyBorder="1" applyAlignment="1">
      <alignment horizontal="center" vertical="center"/>
    </xf>
    <xf numFmtId="165" fontId="22" fillId="20" borderId="11" xfId="1" applyNumberFormat="1" applyFont="1" applyFill="1" applyBorder="1" applyAlignment="1">
      <alignment vertical="center"/>
    </xf>
    <xf numFmtId="171" fontId="22" fillId="20" borderId="11" xfId="1" applyNumberFormat="1" applyFont="1" applyFill="1" applyBorder="1" applyAlignment="1">
      <alignment horizontal="center" vertical="center"/>
    </xf>
    <xf numFmtId="167" fontId="22" fillId="20" borderId="11" xfId="3" applyNumberFormat="1" applyFont="1" applyFill="1" applyBorder="1" applyAlignment="1">
      <alignment horizontal="center" vertical="center"/>
    </xf>
    <xf numFmtId="168" fontId="22" fillId="20" borderId="11" xfId="3" applyNumberFormat="1" applyFont="1" applyFill="1" applyBorder="1" applyAlignment="1">
      <alignment horizontal="center" vertical="center"/>
    </xf>
    <xf numFmtId="9" fontId="16" fillId="20" borderId="11" xfId="2" applyFont="1" applyFill="1" applyBorder="1" applyAlignment="1">
      <alignment horizontal="center" vertical="center"/>
    </xf>
    <xf numFmtId="175" fontId="0" fillId="20" borderId="0" xfId="0" applyNumberFormat="1" applyFill="1"/>
    <xf numFmtId="1" fontId="5" fillId="0" borderId="1" xfId="1" applyNumberFormat="1" applyFont="1" applyFill="1" applyBorder="1" applyAlignment="1">
      <alignment horizontal="center" vertical="center"/>
    </xf>
    <xf numFmtId="1" fontId="5" fillId="0" borderId="0" xfId="1" applyNumberFormat="1" applyFont="1" applyFill="1" applyBorder="1" applyAlignment="1">
      <alignment horizontal="center" vertical="center"/>
    </xf>
    <xf numFmtId="49" fontId="22" fillId="21" borderId="38" xfId="1" applyNumberFormat="1" applyFont="1" applyFill="1" applyBorder="1" applyAlignment="1">
      <alignment horizontal="center" vertical="center"/>
    </xf>
    <xf numFmtId="3" fontId="22" fillId="21" borderId="38" xfId="1" applyNumberFormat="1" applyFont="1" applyFill="1" applyBorder="1" applyAlignment="1">
      <alignment horizontal="center" vertical="center"/>
    </xf>
    <xf numFmtId="165" fontId="30" fillId="21" borderId="38" xfId="1" applyNumberFormat="1" applyFont="1" applyFill="1" applyBorder="1" applyAlignment="1">
      <alignment horizontal="center" vertical="center"/>
    </xf>
    <xf numFmtId="10" fontId="22" fillId="21" borderId="38" xfId="2" applyNumberFormat="1" applyFont="1" applyFill="1" applyBorder="1" applyAlignment="1">
      <alignment horizontal="center" vertical="center"/>
    </xf>
    <xf numFmtId="9" fontId="22" fillId="21" borderId="38" xfId="2" applyFont="1" applyFill="1" applyBorder="1" applyAlignment="1">
      <alignment horizontal="center" vertical="center"/>
    </xf>
    <xf numFmtId="165" fontId="30" fillId="21" borderId="38" xfId="1" applyNumberFormat="1" applyFont="1" applyFill="1" applyBorder="1" applyAlignment="1">
      <alignment vertical="center"/>
    </xf>
    <xf numFmtId="167" fontId="30" fillId="21" borderId="38" xfId="3" applyNumberFormat="1" applyFont="1" applyFill="1" applyBorder="1" applyAlignment="1">
      <alignment horizontal="center" vertical="center"/>
    </xf>
    <xf numFmtId="168" fontId="30" fillId="21" borderId="38" xfId="3" applyNumberFormat="1" applyFont="1" applyFill="1" applyBorder="1" applyAlignment="1">
      <alignment horizontal="center" vertical="center"/>
    </xf>
    <xf numFmtId="9" fontId="31" fillId="21" borderId="38" xfId="2" applyFont="1" applyFill="1" applyBorder="1" applyAlignment="1">
      <alignment horizontal="center" vertical="center"/>
    </xf>
    <xf numFmtId="14" fontId="22" fillId="21" borderId="38" xfId="1" applyNumberFormat="1" applyFont="1" applyFill="1" applyBorder="1" applyAlignment="1">
      <alignment horizontal="center" vertical="center"/>
    </xf>
    <xf numFmtId="14" fontId="22" fillId="21" borderId="39" xfId="1" applyNumberFormat="1" applyFont="1" applyFill="1" applyBorder="1" applyAlignment="1">
      <alignment horizontal="center" vertical="center"/>
    </xf>
    <xf numFmtId="49" fontId="30" fillId="21" borderId="1" xfId="1" applyNumberFormat="1" applyFont="1" applyFill="1" applyBorder="1" applyAlignment="1">
      <alignment horizontal="center" vertical="center"/>
    </xf>
    <xf numFmtId="49" fontId="30" fillId="21" borderId="34" xfId="1" applyNumberFormat="1" applyFont="1" applyFill="1" applyBorder="1" applyAlignment="1">
      <alignment horizontal="center" vertical="center"/>
    </xf>
    <xf numFmtId="49" fontId="30" fillId="21" borderId="4" xfId="1" applyNumberFormat="1" applyFont="1" applyFill="1" applyBorder="1" applyAlignment="1">
      <alignment horizontal="center" vertical="center"/>
    </xf>
    <xf numFmtId="49" fontId="30" fillId="13" borderId="35" xfId="1" applyNumberFormat="1" applyFont="1" applyFill="1" applyBorder="1" applyAlignment="1">
      <alignment horizontal="center" vertical="center"/>
    </xf>
    <xf numFmtId="49" fontId="30" fillId="13" borderId="4" xfId="1" applyNumberFormat="1" applyFont="1" applyFill="1" applyBorder="1" applyAlignment="1">
      <alignment horizontal="center" vertical="center"/>
    </xf>
    <xf numFmtId="171" fontId="30" fillId="21" borderId="34" xfId="1" applyNumberFormat="1" applyFont="1" applyFill="1" applyBorder="1" applyAlignment="1">
      <alignment horizontal="center" vertical="center"/>
    </xf>
    <xf numFmtId="171" fontId="30" fillId="21" borderId="38" xfId="1" applyNumberFormat="1" applyFont="1" applyFill="1" applyBorder="1" applyAlignment="1">
      <alignment horizontal="center" vertical="center"/>
    </xf>
    <xf numFmtId="171" fontId="30" fillId="13" borderId="36" xfId="1" applyNumberFormat="1" applyFont="1" applyFill="1" applyBorder="1" applyAlignment="1">
      <alignment horizontal="center" vertical="center"/>
    </xf>
    <xf numFmtId="171" fontId="30" fillId="13" borderId="34" xfId="1" applyNumberFormat="1" applyFont="1" applyFill="1" applyBorder="1" applyAlignment="1">
      <alignment horizontal="center" vertical="center"/>
    </xf>
    <xf numFmtId="14" fontId="22" fillId="0" borderId="0" xfId="1" applyNumberFormat="1" applyFont="1" applyFill="1" applyBorder="1" applyAlignment="1">
      <alignment horizontal="center" vertical="center"/>
    </xf>
    <xf numFmtId="165" fontId="4" fillId="0" borderId="0" xfId="1" applyNumberFormat="1" applyFont="1" applyFill="1" applyBorder="1" applyAlignment="1">
      <alignment horizontal="center" vertical="center"/>
    </xf>
    <xf numFmtId="0" fontId="0" fillId="4" borderId="40" xfId="0" applyFill="1" applyBorder="1"/>
    <xf numFmtId="2" fontId="22" fillId="0" borderId="36" xfId="1" applyNumberFormat="1" applyFont="1" applyFill="1" applyBorder="1" applyAlignment="1">
      <alignment horizontal="center" vertical="center"/>
    </xf>
    <xf numFmtId="171" fontId="31" fillId="4" borderId="38" xfId="0" applyNumberFormat="1" applyFont="1" applyFill="1" applyBorder="1" applyAlignment="1">
      <alignment horizontal="center"/>
    </xf>
    <xf numFmtId="14" fontId="22" fillId="21" borderId="40" xfId="1" applyNumberFormat="1" applyFont="1" applyFill="1" applyBorder="1" applyAlignment="1">
      <alignment horizontal="center" vertical="center"/>
    </xf>
    <xf numFmtId="0" fontId="0" fillId="4" borderId="11" xfId="0" applyFill="1" applyBorder="1" applyAlignment="1">
      <alignment horizontal="center"/>
    </xf>
    <xf numFmtId="49" fontId="30" fillId="21" borderId="11" xfId="1" applyNumberFormat="1" applyFont="1" applyFill="1" applyBorder="1" applyAlignment="1">
      <alignment horizontal="center" vertical="center"/>
    </xf>
    <xf numFmtId="49" fontId="30" fillId="21" borderId="3" xfId="1" applyNumberFormat="1" applyFont="1" applyFill="1" applyBorder="1" applyAlignment="1">
      <alignment horizontal="center" vertical="center"/>
    </xf>
    <xf numFmtId="49" fontId="22" fillId="21" borderId="0" xfId="1" applyNumberFormat="1" applyFont="1" applyFill="1" applyBorder="1" applyAlignment="1">
      <alignment horizontal="center" vertical="center"/>
    </xf>
    <xf numFmtId="3" fontId="22" fillId="21" borderId="0" xfId="1" applyNumberFormat="1" applyFont="1" applyFill="1" applyBorder="1" applyAlignment="1">
      <alignment horizontal="center" vertical="center"/>
    </xf>
    <xf numFmtId="165" fontId="30" fillId="21" borderId="0" xfId="1" applyNumberFormat="1" applyFont="1" applyFill="1" applyBorder="1" applyAlignment="1">
      <alignment horizontal="center" vertical="center"/>
    </xf>
    <xf numFmtId="10" fontId="22" fillId="21" borderId="0" xfId="2" applyNumberFormat="1" applyFont="1" applyFill="1" applyBorder="1" applyAlignment="1">
      <alignment horizontal="center" vertical="center"/>
    </xf>
    <xf numFmtId="9" fontId="22" fillId="21" borderId="0" xfId="2" applyFont="1" applyFill="1" applyBorder="1" applyAlignment="1">
      <alignment horizontal="center" vertical="center"/>
    </xf>
    <xf numFmtId="165" fontId="30" fillId="21" borderId="0" xfId="1" applyNumberFormat="1" applyFont="1" applyFill="1" applyBorder="1" applyAlignment="1">
      <alignment vertical="center"/>
    </xf>
    <xf numFmtId="171" fontId="30" fillId="21" borderId="0" xfId="1" applyNumberFormat="1" applyFont="1" applyFill="1" applyBorder="1" applyAlignment="1">
      <alignment horizontal="center" vertical="center"/>
    </xf>
    <xf numFmtId="167" fontId="30" fillId="21" borderId="0" xfId="3" applyNumberFormat="1" applyFont="1" applyFill="1" applyBorder="1" applyAlignment="1">
      <alignment horizontal="center" vertical="center"/>
    </xf>
    <xf numFmtId="168" fontId="30" fillId="21" borderId="0" xfId="3" applyNumberFormat="1" applyFont="1" applyFill="1" applyBorder="1" applyAlignment="1">
      <alignment horizontal="center" vertical="center"/>
    </xf>
    <xf numFmtId="9" fontId="31" fillId="21" borderId="0" xfId="2" applyFont="1" applyFill="1" applyBorder="1" applyAlignment="1">
      <alignment horizontal="center" vertical="center"/>
    </xf>
    <xf numFmtId="14" fontId="22" fillId="21" borderId="0" xfId="1" applyNumberFormat="1" applyFont="1" applyFill="1" applyBorder="1" applyAlignment="1">
      <alignment horizontal="center" vertical="center"/>
    </xf>
    <xf numFmtId="3" fontId="30" fillId="0" borderId="1" xfId="1" applyNumberFormat="1" applyFont="1" applyFill="1" applyBorder="1" applyAlignment="1">
      <alignment horizontal="center" vertical="center"/>
    </xf>
    <xf numFmtId="168" fontId="0" fillId="20" borderId="0" xfId="0" applyNumberFormat="1" applyFill="1"/>
    <xf numFmtId="1" fontId="0" fillId="0" borderId="0" xfId="1" applyNumberFormat="1" applyFont="1"/>
    <xf numFmtId="1" fontId="13" fillId="14" borderId="0" xfId="0" applyNumberFormat="1" applyFont="1" applyFill="1" applyAlignment="1">
      <alignment horizontal="right"/>
    </xf>
    <xf numFmtId="165" fontId="5" fillId="22" borderId="1" xfId="1" applyNumberFormat="1" applyFont="1" applyFill="1" applyBorder="1" applyAlignment="1">
      <alignment horizontal="center" vertical="center"/>
    </xf>
    <xf numFmtId="43" fontId="0" fillId="0" borderId="0" xfId="1" applyFont="1" applyBorder="1" applyAlignment="1">
      <alignment horizontal="center"/>
    </xf>
    <xf numFmtId="49" fontId="5" fillId="14" borderId="1" xfId="1" applyNumberFormat="1" applyFont="1" applyFill="1" applyBorder="1" applyAlignment="1">
      <alignment horizontal="center" vertical="center"/>
    </xf>
    <xf numFmtId="3" fontId="5" fillId="14" borderId="1" xfId="1" applyNumberFormat="1" applyFont="1" applyFill="1" applyBorder="1" applyAlignment="1">
      <alignment horizontal="center" vertical="center"/>
    </xf>
    <xf numFmtId="165" fontId="5" fillId="14" borderId="1" xfId="1" applyNumberFormat="1" applyFont="1" applyFill="1" applyBorder="1" applyAlignment="1">
      <alignment horizontal="center" vertical="center"/>
    </xf>
    <xf numFmtId="166" fontId="5" fillId="14" borderId="1" xfId="2" applyNumberFormat="1" applyFont="1" applyFill="1" applyBorder="1" applyAlignment="1">
      <alignment horizontal="center" vertical="center"/>
    </xf>
    <xf numFmtId="167" fontId="5" fillId="14" borderId="1" xfId="3" applyNumberFormat="1" applyFont="1" applyFill="1" applyBorder="1" applyAlignment="1">
      <alignment horizontal="center" vertical="center"/>
    </xf>
    <xf numFmtId="168" fontId="5" fillId="14" borderId="1" xfId="3" applyNumberFormat="1" applyFont="1" applyFill="1" applyBorder="1" applyAlignment="1">
      <alignment horizontal="center" vertical="center"/>
    </xf>
    <xf numFmtId="9" fontId="0" fillId="14" borderId="1" xfId="2" applyFont="1" applyFill="1" applyBorder="1" applyAlignment="1">
      <alignment horizontal="center" vertical="center"/>
    </xf>
    <xf numFmtId="14" fontId="5" fillId="14" borderId="1" xfId="1" applyNumberFormat="1" applyFont="1" applyFill="1" applyBorder="1" applyAlignment="1">
      <alignment horizontal="center" vertical="center"/>
    </xf>
    <xf numFmtId="49" fontId="32" fillId="14" borderId="1" xfId="5" applyNumberFormat="1" applyFont="1" applyFill="1" applyBorder="1" applyAlignment="1">
      <alignment horizontal="center" vertical="center"/>
    </xf>
    <xf numFmtId="165" fontId="13" fillId="8" borderId="41" xfId="1" applyNumberFormat="1" applyFont="1" applyFill="1" applyBorder="1" applyAlignment="1">
      <alignment horizontal="right"/>
    </xf>
    <xf numFmtId="9" fontId="13" fillId="8" borderId="42" xfId="2" applyFont="1" applyFill="1" applyBorder="1" applyAlignment="1">
      <alignment horizontal="right"/>
    </xf>
    <xf numFmtId="3" fontId="14" fillId="0" borderId="3" xfId="0" applyNumberFormat="1" applyFont="1" applyBorder="1" applyAlignment="1">
      <alignment horizontal="right"/>
    </xf>
    <xf numFmtId="169" fontId="14" fillId="0" borderId="3" xfId="0" applyNumberFormat="1" applyFont="1" applyBorder="1" applyAlignment="1">
      <alignment horizontal="right"/>
    </xf>
    <xf numFmtId="165" fontId="13" fillId="8" borderId="43" xfId="1" applyNumberFormat="1" applyFont="1" applyFill="1" applyBorder="1" applyAlignment="1">
      <alignment horizontal="right"/>
    </xf>
    <xf numFmtId="169" fontId="13" fillId="14" borderId="43" xfId="1" applyNumberFormat="1" applyFont="1" applyFill="1" applyBorder="1" applyAlignment="1">
      <alignment horizontal="right"/>
    </xf>
    <xf numFmtId="1" fontId="5" fillId="14" borderId="1" xfId="1" applyNumberFormat="1" applyFont="1" applyFill="1" applyBorder="1" applyAlignment="1">
      <alignment horizontal="center" vertical="center"/>
    </xf>
    <xf numFmtId="165" fontId="22" fillId="0" borderId="1" xfId="1" applyNumberFormat="1" applyFont="1" applyFill="1" applyBorder="1" applyAlignment="1">
      <alignment vertical="center"/>
    </xf>
    <xf numFmtId="9" fontId="16" fillId="0" borderId="1" xfId="2" applyFont="1" applyFill="1" applyBorder="1" applyAlignment="1">
      <alignment horizontal="center" vertical="center"/>
    </xf>
    <xf numFmtId="14" fontId="30" fillId="0" borderId="1" xfId="1" applyNumberFormat="1" applyFont="1" applyFill="1" applyBorder="1" applyAlignment="1">
      <alignment horizontal="center" vertical="center"/>
    </xf>
    <xf numFmtId="14" fontId="22" fillId="0" borderId="1" xfId="1" applyNumberFormat="1" applyFont="1" applyFill="1" applyBorder="1" applyAlignment="1">
      <alignment horizontal="center" vertical="center"/>
    </xf>
    <xf numFmtId="49" fontId="30" fillId="0" borderId="1" xfId="1" applyNumberFormat="1" applyFont="1" applyFill="1" applyBorder="1" applyAlignment="1">
      <alignment horizontal="center" vertical="center"/>
    </xf>
    <xf numFmtId="167" fontId="30" fillId="0" borderId="1" xfId="3" applyNumberFormat="1" applyFont="1" applyFill="1" applyBorder="1" applyAlignment="1">
      <alignment horizontal="center" vertical="center"/>
    </xf>
    <xf numFmtId="165" fontId="30" fillId="0" borderId="1" xfId="1" applyNumberFormat="1" applyFont="1" applyFill="1" applyBorder="1" applyAlignment="1">
      <alignment horizontal="center" vertical="center"/>
    </xf>
    <xf numFmtId="165" fontId="30" fillId="0" borderId="1" xfId="1" applyNumberFormat="1" applyFont="1" applyFill="1" applyBorder="1" applyAlignment="1">
      <alignment vertical="center"/>
    </xf>
    <xf numFmtId="171" fontId="30" fillId="0" borderId="1" xfId="1" applyNumberFormat="1" applyFont="1" applyFill="1" applyBorder="1" applyAlignment="1">
      <alignment horizontal="center" vertical="center"/>
    </xf>
    <xf numFmtId="168" fontId="30" fillId="0" borderId="1" xfId="3" applyNumberFormat="1" applyFont="1" applyFill="1" applyBorder="1" applyAlignment="1">
      <alignment horizontal="center" vertical="center"/>
    </xf>
    <xf numFmtId="9" fontId="31" fillId="0" borderId="1" xfId="2" applyFont="1" applyFill="1" applyBorder="1" applyAlignment="1">
      <alignment horizontal="center" vertical="center"/>
    </xf>
    <xf numFmtId="9" fontId="5" fillId="14" borderId="1" xfId="2" applyFont="1" applyFill="1" applyBorder="1" applyAlignment="1">
      <alignment horizontal="center" vertical="center"/>
    </xf>
    <xf numFmtId="0" fontId="0" fillId="14" borderId="1" xfId="0" applyFill="1" applyBorder="1"/>
    <xf numFmtId="165" fontId="6" fillId="14" borderId="1" xfId="1" applyNumberFormat="1" applyFont="1" applyFill="1" applyBorder="1"/>
    <xf numFmtId="165" fontId="6" fillId="14" borderId="3" xfId="1" applyNumberFormat="1" applyFont="1" applyFill="1" applyBorder="1"/>
    <xf numFmtId="165" fontId="6" fillId="14" borderId="4" xfId="1" applyNumberFormat="1" applyFont="1" applyFill="1" applyBorder="1"/>
    <xf numFmtId="165" fontId="6" fillId="14" borderId="43" xfId="1" applyNumberFormat="1" applyFont="1" applyFill="1" applyBorder="1"/>
    <xf numFmtId="165" fontId="6" fillId="14" borderId="5" xfId="1" applyNumberFormat="1" applyFont="1" applyFill="1" applyBorder="1"/>
    <xf numFmtId="49" fontId="30" fillId="21" borderId="2" xfId="1" applyNumberFormat="1" applyFont="1" applyFill="1" applyBorder="1" applyAlignment="1">
      <alignment horizontal="center" vertical="center"/>
    </xf>
    <xf numFmtId="0" fontId="0" fillId="23" borderId="1" xfId="0" applyFill="1" applyBorder="1"/>
    <xf numFmtId="49" fontId="22" fillId="14" borderId="1" xfId="1" applyNumberFormat="1" applyFont="1" applyFill="1" applyBorder="1" applyAlignment="1">
      <alignment horizontal="center" vertical="center"/>
    </xf>
    <xf numFmtId="49" fontId="22" fillId="14" borderId="3" xfId="1" applyNumberFormat="1" applyFont="1" applyFill="1" applyBorder="1" applyAlignment="1">
      <alignment horizontal="center" vertical="center"/>
    </xf>
    <xf numFmtId="3" fontId="30" fillId="14" borderId="1" xfId="1" applyNumberFormat="1" applyFont="1" applyFill="1" applyBorder="1" applyAlignment="1">
      <alignment horizontal="center" vertical="center"/>
    </xf>
    <xf numFmtId="165" fontId="22" fillId="14" borderId="1" xfId="1" applyNumberFormat="1" applyFont="1" applyFill="1" applyBorder="1" applyAlignment="1">
      <alignment horizontal="center" vertical="center"/>
    </xf>
    <xf numFmtId="10" fontId="22" fillId="14" borderId="1" xfId="2" applyNumberFormat="1" applyFont="1" applyFill="1" applyBorder="1" applyAlignment="1">
      <alignment horizontal="center" vertical="center"/>
    </xf>
    <xf numFmtId="9" fontId="22" fillId="14" borderId="1" xfId="2" applyFont="1" applyFill="1" applyBorder="1" applyAlignment="1">
      <alignment horizontal="center" vertical="center"/>
    </xf>
    <xf numFmtId="171" fontId="22" fillId="14" borderId="1" xfId="1" applyNumberFormat="1" applyFont="1" applyFill="1" applyBorder="1" applyAlignment="1">
      <alignment horizontal="center" vertical="center"/>
    </xf>
    <xf numFmtId="167" fontId="22" fillId="14" borderId="1" xfId="3" applyNumberFormat="1" applyFont="1" applyFill="1" applyBorder="1" applyAlignment="1">
      <alignment horizontal="center" vertical="center"/>
    </xf>
    <xf numFmtId="168" fontId="22" fillId="14" borderId="1" xfId="3" applyNumberFormat="1" applyFont="1" applyFill="1" applyBorder="1" applyAlignment="1">
      <alignment horizontal="center" vertical="center"/>
    </xf>
    <xf numFmtId="9" fontId="16" fillId="14" borderId="1" xfId="2" applyFont="1" applyFill="1" applyBorder="1" applyAlignment="1">
      <alignment horizontal="center" vertical="center"/>
    </xf>
    <xf numFmtId="165" fontId="22" fillId="14" borderId="1" xfId="1" applyNumberFormat="1" applyFont="1" applyFill="1" applyBorder="1" applyAlignment="1">
      <alignment vertical="center"/>
    </xf>
    <xf numFmtId="167" fontId="22" fillId="14" borderId="11" xfId="3" applyNumberFormat="1" applyFont="1" applyFill="1" applyBorder="1" applyAlignment="1">
      <alignment horizontal="center" vertical="center"/>
    </xf>
    <xf numFmtId="165" fontId="22" fillId="14" borderId="11" xfId="1" applyNumberFormat="1" applyFont="1" applyFill="1" applyBorder="1" applyAlignment="1">
      <alignment horizontal="center" vertical="center"/>
    </xf>
    <xf numFmtId="3" fontId="22" fillId="14" borderId="1" xfId="1" applyNumberFormat="1" applyFont="1" applyFill="1" applyBorder="1" applyAlignment="1">
      <alignment horizontal="center" vertical="center"/>
    </xf>
    <xf numFmtId="165" fontId="30" fillId="14" borderId="1" xfId="1" applyNumberFormat="1" applyFont="1" applyFill="1" applyBorder="1" applyAlignment="1">
      <alignment horizontal="center" vertical="center"/>
    </xf>
    <xf numFmtId="165" fontId="30" fillId="14" borderId="1" xfId="1" applyNumberFormat="1" applyFont="1" applyFill="1" applyBorder="1" applyAlignment="1">
      <alignment vertical="center"/>
    </xf>
    <xf numFmtId="171" fontId="30" fillId="14" borderId="1" xfId="1" applyNumberFormat="1" applyFont="1" applyFill="1" applyBorder="1" applyAlignment="1">
      <alignment horizontal="center" vertical="center"/>
    </xf>
    <xf numFmtId="167" fontId="30" fillId="14" borderId="1" xfId="3" applyNumberFormat="1" applyFont="1" applyFill="1" applyBorder="1" applyAlignment="1">
      <alignment horizontal="center" vertical="center"/>
    </xf>
    <xf numFmtId="168" fontId="30" fillId="14" borderId="1" xfId="3" applyNumberFormat="1" applyFont="1" applyFill="1" applyBorder="1" applyAlignment="1">
      <alignment horizontal="center" vertical="center"/>
    </xf>
    <xf numFmtId="9" fontId="31" fillId="14" borderId="1" xfId="2" applyFont="1" applyFill="1" applyBorder="1" applyAlignment="1">
      <alignment horizontal="center" vertical="center"/>
    </xf>
    <xf numFmtId="49" fontId="22" fillId="14" borderId="43" xfId="1" applyNumberFormat="1" applyFont="1" applyFill="1" applyBorder="1" applyAlignment="1">
      <alignment horizontal="center" vertical="center"/>
    </xf>
    <xf numFmtId="3" fontId="22" fillId="14" borderId="43" xfId="1" applyNumberFormat="1" applyFont="1" applyFill="1" applyBorder="1" applyAlignment="1">
      <alignment horizontal="center" vertical="center"/>
    </xf>
    <xf numFmtId="165" fontId="30" fillId="14" borderId="43" xfId="1" applyNumberFormat="1" applyFont="1" applyFill="1" applyBorder="1" applyAlignment="1">
      <alignment horizontal="center" vertical="center"/>
    </xf>
    <xf numFmtId="10" fontId="22" fillId="14" borderId="43" xfId="2" applyNumberFormat="1" applyFont="1" applyFill="1" applyBorder="1" applyAlignment="1">
      <alignment horizontal="center" vertical="center"/>
    </xf>
    <xf numFmtId="9" fontId="22" fillId="14" borderId="43" xfId="2" applyFont="1" applyFill="1" applyBorder="1" applyAlignment="1">
      <alignment horizontal="center" vertical="center"/>
    </xf>
    <xf numFmtId="165" fontId="30" fillId="14" borderId="43" xfId="1" applyNumberFormat="1" applyFont="1" applyFill="1" applyBorder="1" applyAlignment="1">
      <alignment vertical="center"/>
    </xf>
    <xf numFmtId="171" fontId="30" fillId="14" borderId="43" xfId="1" applyNumberFormat="1" applyFont="1" applyFill="1" applyBorder="1" applyAlignment="1">
      <alignment horizontal="center" vertical="center"/>
    </xf>
    <xf numFmtId="167" fontId="30" fillId="14" borderId="43" xfId="3" applyNumberFormat="1" applyFont="1" applyFill="1" applyBorder="1" applyAlignment="1">
      <alignment horizontal="center" vertical="center"/>
    </xf>
    <xf numFmtId="168" fontId="30" fillId="14" borderId="43" xfId="3" applyNumberFormat="1" applyFont="1" applyFill="1" applyBorder="1" applyAlignment="1">
      <alignment horizontal="center" vertical="center"/>
    </xf>
    <xf numFmtId="9" fontId="31" fillId="14" borderId="43" xfId="2" applyFont="1" applyFill="1" applyBorder="1" applyAlignment="1">
      <alignment horizontal="center" vertical="center"/>
    </xf>
    <xf numFmtId="175" fontId="3" fillId="5" borderId="0" xfId="0" applyNumberFormat="1" applyFont="1" applyFill="1"/>
    <xf numFmtId="0" fontId="3" fillId="5" borderId="0" xfId="0" applyFont="1" applyFill="1"/>
    <xf numFmtId="176" fontId="0" fillId="0" borderId="0" xfId="0" applyNumberFormat="1"/>
    <xf numFmtId="49" fontId="30" fillId="14" borderId="43" xfId="1" applyNumberFormat="1" applyFont="1" applyFill="1" applyBorder="1" applyAlignment="1">
      <alignment horizontal="center" vertical="center"/>
    </xf>
    <xf numFmtId="14" fontId="22" fillId="14" borderId="5" xfId="1" applyNumberFormat="1" applyFont="1" applyFill="1" applyBorder="1" applyAlignment="1">
      <alignment horizontal="center" vertical="center"/>
    </xf>
    <xf numFmtId="14" fontId="22" fillId="14" borderId="1" xfId="1" applyNumberFormat="1" applyFont="1" applyFill="1" applyBorder="1" applyAlignment="1">
      <alignment horizontal="center" vertical="center"/>
    </xf>
    <xf numFmtId="49" fontId="22" fillId="14" borderId="39" xfId="1" applyNumberFormat="1" applyFont="1" applyFill="1" applyBorder="1" applyAlignment="1">
      <alignment horizontal="center" vertical="center"/>
    </xf>
    <xf numFmtId="49" fontId="22" fillId="14" borderId="5" xfId="1" applyNumberFormat="1" applyFont="1" applyFill="1" applyBorder="1" applyAlignment="1">
      <alignment horizontal="center" vertical="center"/>
    </xf>
    <xf numFmtId="49" fontId="30" fillId="14" borderId="1" xfId="1" applyNumberFormat="1" applyFont="1" applyFill="1" applyBorder="1" applyAlignment="1">
      <alignment horizontal="center" vertical="center"/>
    </xf>
    <xf numFmtId="0" fontId="14" fillId="14" borderId="1" xfId="0" applyFont="1" applyFill="1" applyBorder="1" applyAlignment="1">
      <alignment horizontal="left" wrapText="1"/>
    </xf>
    <xf numFmtId="3" fontId="14" fillId="14" borderId="1" xfId="0" applyNumberFormat="1" applyFont="1" applyFill="1" applyBorder="1" applyAlignment="1">
      <alignment horizontal="right" vertical="center"/>
    </xf>
    <xf numFmtId="169" fontId="14" fillId="14" borderId="1" xfId="0" applyNumberFormat="1" applyFont="1" applyFill="1" applyBorder="1" applyAlignment="1">
      <alignment horizontal="right" vertical="center"/>
    </xf>
    <xf numFmtId="9" fontId="14" fillId="14" borderId="1" xfId="2" applyFont="1" applyFill="1" applyBorder="1" applyAlignment="1">
      <alignment horizontal="right" vertical="center"/>
    </xf>
    <xf numFmtId="169" fontId="14" fillId="14" borderId="1" xfId="0" quotePrefix="1" applyNumberFormat="1" applyFont="1" applyFill="1" applyBorder="1" applyAlignment="1">
      <alignment horizontal="center" vertical="center"/>
    </xf>
    <xf numFmtId="168" fontId="29" fillId="0" borderId="0" xfId="0" applyNumberFormat="1" applyFont="1"/>
    <xf numFmtId="164" fontId="29" fillId="0" borderId="0" xfId="0" applyNumberFormat="1" applyFont="1"/>
    <xf numFmtId="0" fontId="7" fillId="2" borderId="13" xfId="0" applyFont="1" applyFill="1" applyBorder="1" applyAlignment="1">
      <alignment horizont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wrapText="1"/>
    </xf>
    <xf numFmtId="0" fontId="0" fillId="0" borderId="11" xfId="0" applyBorder="1" applyAlignment="1">
      <alignment horizontal="center" vertical="center" wrapText="1"/>
    </xf>
    <xf numFmtId="169" fontId="25" fillId="0" borderId="2" xfId="1" applyNumberFormat="1" applyFont="1" applyFill="1" applyBorder="1" applyAlignment="1">
      <alignment horizontal="center" vertical="center" wrapText="1"/>
    </xf>
    <xf numFmtId="169" fontId="25" fillId="0" borderId="11" xfId="1" applyNumberFormat="1"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10" borderId="11" xfId="0" applyFont="1" applyFill="1" applyBorder="1" applyAlignment="1">
      <alignment horizontal="center" vertical="center" wrapText="1"/>
    </xf>
    <xf numFmtId="3" fontId="9" fillId="10" borderId="3" xfId="0" applyNumberFormat="1" applyFont="1" applyFill="1" applyBorder="1" applyAlignment="1">
      <alignment horizontal="center" vertical="center" wrapText="1"/>
    </xf>
    <xf numFmtId="3" fontId="9" fillId="10" borderId="2" xfId="0" applyNumberFormat="1" applyFont="1" applyFill="1" applyBorder="1" applyAlignment="1">
      <alignment horizontal="center" vertical="center" wrapText="1"/>
    </xf>
    <xf numFmtId="3" fontId="9" fillId="10" borderId="11" xfId="0" applyNumberFormat="1" applyFont="1" applyFill="1" applyBorder="1" applyAlignment="1">
      <alignment horizontal="center" vertical="center" wrapText="1"/>
    </xf>
    <xf numFmtId="0" fontId="17" fillId="2" borderId="1" xfId="0" applyFont="1" applyFill="1" applyBorder="1" applyAlignment="1">
      <alignment horizontal="center"/>
    </xf>
    <xf numFmtId="0" fontId="17" fillId="2" borderId="0" xfId="0" applyFont="1" applyFill="1" applyAlignment="1">
      <alignment horizontal="center"/>
    </xf>
    <xf numFmtId="0" fontId="27" fillId="17" borderId="3" xfId="0" applyFont="1" applyFill="1" applyBorder="1" applyAlignment="1">
      <alignment horizontal="center" vertical="center" wrapText="1"/>
    </xf>
    <xf numFmtId="0" fontId="27" fillId="17" borderId="11" xfId="0" applyFont="1" applyFill="1" applyBorder="1" applyAlignment="1">
      <alignment horizontal="center" vertical="center" wrapText="1"/>
    </xf>
    <xf numFmtId="0" fontId="27" fillId="2" borderId="1" xfId="0" applyFont="1" applyFill="1" applyBorder="1" applyAlignment="1">
      <alignment horizontal="center" wrapText="1"/>
    </xf>
    <xf numFmtId="0" fontId="16" fillId="18" borderId="19" xfId="0" applyFont="1" applyFill="1" applyBorder="1" applyAlignment="1">
      <alignment horizontal="center" vertical="center" wrapText="1"/>
    </xf>
    <xf numFmtId="0" fontId="16" fillId="18" borderId="20" xfId="0" applyFont="1" applyFill="1" applyBorder="1" applyAlignment="1">
      <alignment horizontal="center" vertical="center" wrapText="1"/>
    </xf>
    <xf numFmtId="0" fontId="0" fillId="0" borderId="1" xfId="0" applyBorder="1" applyAlignment="1">
      <alignment horizontal="center" vertical="center"/>
    </xf>
  </cellXfs>
  <cellStyles count="13">
    <cellStyle name="Comma" xfId="1" builtinId="3"/>
    <cellStyle name="Comma 2" xfId="6" xr:uid="{4D9CAA08-12DD-4A9F-91E5-D1F8671E51F0}"/>
    <cellStyle name="Comma 2 2" xfId="11" xr:uid="{E27EECB9-E460-411D-B425-CC951C245528}"/>
    <cellStyle name="Comma 3" xfId="9" xr:uid="{62C0B2AD-5E7D-486F-BE06-CEC568977304}"/>
    <cellStyle name="Currency" xfId="12" builtinId="4"/>
    <cellStyle name="Currency 2" xfId="3" xr:uid="{4A6912DA-FF90-49BC-B4CB-F32299E68492}"/>
    <cellStyle name="Currency 2 2" xfId="10" xr:uid="{EE9F6414-20FC-4D82-BF49-EE6E2DE94B6B}"/>
    <cellStyle name="Hyperlink" xfId="5" builtinId="8"/>
    <cellStyle name="Normal" xfId="0" builtinId="0"/>
    <cellStyle name="Normal 2" xfId="4" xr:uid="{5F37577F-FE6D-48A1-BA1A-DB8C3DEFE4FF}"/>
    <cellStyle name="Normal 2 2" xfId="7" xr:uid="{2CAB228A-C4FA-4A2D-B62F-AE1CE89E75A2}"/>
    <cellStyle name="Normal 3" xfId="8" xr:uid="{A7FAD628-F1EC-446B-B716-B5BE3F412DC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121921</xdr:colOff>
      <xdr:row>2</xdr:row>
      <xdr:rowOff>1226820</xdr:rowOff>
    </xdr:from>
    <xdr:to>
      <xdr:col>12</xdr:col>
      <xdr:colOff>363883</xdr:colOff>
      <xdr:row>5</xdr:row>
      <xdr:rowOff>160020</xdr:rowOff>
    </xdr:to>
    <xdr:pic>
      <xdr:nvPicPr>
        <xdr:cNvPr id="2" name="Picture 1">
          <a:extLst>
            <a:ext uri="{FF2B5EF4-FFF2-40B4-BE49-F238E27FC236}">
              <a16:creationId xmlns:a16="http://schemas.microsoft.com/office/drawing/2014/main" id="{D39CF613-3586-E433-9D32-3A459F81A18D}"/>
            </a:ext>
          </a:extLst>
        </xdr:cNvPr>
        <xdr:cNvPicPr>
          <a:picLocks noChangeAspect="1"/>
        </xdr:cNvPicPr>
      </xdr:nvPicPr>
      <xdr:blipFill>
        <a:blip xmlns:r="http://schemas.openxmlformats.org/officeDocument/2006/relationships" r:embed="rId1"/>
        <a:stretch>
          <a:fillRect/>
        </a:stretch>
      </xdr:blipFill>
      <xdr:spPr>
        <a:xfrm>
          <a:off x="13365481" y="1592580"/>
          <a:ext cx="2070762" cy="2225040"/>
        </a:xfrm>
        <a:prstGeom prst="rect">
          <a:avLst/>
        </a:prstGeom>
      </xdr:spPr>
    </xdr:pic>
    <xdr:clientData/>
  </xdr:twoCellAnchor>
  <xdr:twoCellAnchor editAs="oneCell">
    <xdr:from>
      <xdr:col>12</xdr:col>
      <xdr:colOff>411480</xdr:colOff>
      <xdr:row>3</xdr:row>
      <xdr:rowOff>0</xdr:rowOff>
    </xdr:from>
    <xdr:to>
      <xdr:col>16</xdr:col>
      <xdr:colOff>484603</xdr:colOff>
      <xdr:row>5</xdr:row>
      <xdr:rowOff>160021</xdr:rowOff>
    </xdr:to>
    <xdr:pic>
      <xdr:nvPicPr>
        <xdr:cNvPr id="3" name="Picture 2">
          <a:extLst>
            <a:ext uri="{FF2B5EF4-FFF2-40B4-BE49-F238E27FC236}">
              <a16:creationId xmlns:a16="http://schemas.microsoft.com/office/drawing/2014/main" id="{C9273404-8EC5-51DA-FEF5-C8F92C719B71}"/>
            </a:ext>
          </a:extLst>
        </xdr:cNvPr>
        <xdr:cNvPicPr>
          <a:picLocks noChangeAspect="1"/>
        </xdr:cNvPicPr>
      </xdr:nvPicPr>
      <xdr:blipFill>
        <a:blip xmlns:r="http://schemas.openxmlformats.org/officeDocument/2006/relationships" r:embed="rId2"/>
        <a:stretch>
          <a:fillRect/>
        </a:stretch>
      </xdr:blipFill>
      <xdr:spPr>
        <a:xfrm>
          <a:off x="15483840" y="1828800"/>
          <a:ext cx="2511523" cy="1988821"/>
        </a:xfrm>
        <a:prstGeom prst="rect">
          <a:avLst/>
        </a:prstGeom>
      </xdr:spPr>
    </xdr:pic>
    <xdr:clientData/>
  </xdr:twoCellAnchor>
  <xdr:twoCellAnchor editAs="oneCell">
    <xdr:from>
      <xdr:col>16</xdr:col>
      <xdr:colOff>510540</xdr:colOff>
      <xdr:row>2</xdr:row>
      <xdr:rowOff>1455903</xdr:rowOff>
    </xdr:from>
    <xdr:to>
      <xdr:col>21</xdr:col>
      <xdr:colOff>38100</xdr:colOff>
      <xdr:row>5</xdr:row>
      <xdr:rowOff>172616</xdr:rowOff>
    </xdr:to>
    <xdr:pic>
      <xdr:nvPicPr>
        <xdr:cNvPr id="4" name="Picture 3">
          <a:extLst>
            <a:ext uri="{FF2B5EF4-FFF2-40B4-BE49-F238E27FC236}">
              <a16:creationId xmlns:a16="http://schemas.microsoft.com/office/drawing/2014/main" id="{469663EC-5A7A-692C-9054-7066575C140E}"/>
            </a:ext>
          </a:extLst>
        </xdr:cNvPr>
        <xdr:cNvPicPr>
          <a:picLocks noChangeAspect="1"/>
        </xdr:cNvPicPr>
      </xdr:nvPicPr>
      <xdr:blipFill>
        <a:blip xmlns:r="http://schemas.openxmlformats.org/officeDocument/2006/relationships" r:embed="rId3"/>
        <a:stretch>
          <a:fillRect/>
        </a:stretch>
      </xdr:blipFill>
      <xdr:spPr>
        <a:xfrm>
          <a:off x="18021300" y="1821663"/>
          <a:ext cx="2575560" cy="200855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8130-8AB0-4060-BDE3-784BF12ADE7F}">
  <sheetPr codeName="Sheet1"/>
  <dimension ref="B2:AF34"/>
  <sheetViews>
    <sheetView showGridLines="0" zoomScaleNormal="100" workbookViewId="0">
      <selection activeCell="E25" sqref="E25"/>
    </sheetView>
  </sheetViews>
  <sheetFormatPr defaultRowHeight="14.4" x14ac:dyDescent="0.3"/>
  <cols>
    <col min="1" max="1" width="3.33203125" customWidth="1"/>
    <col min="2" max="2" width="34.77734375" customWidth="1"/>
    <col min="3" max="3" width="13.6640625" bestFit="1" customWidth="1"/>
    <col min="4" max="4" width="14.44140625" bestFit="1" customWidth="1"/>
    <col min="5" max="5" width="13.77734375" bestFit="1" customWidth="1"/>
    <col min="6" max="6" width="15.88671875" bestFit="1" customWidth="1"/>
    <col min="7" max="7" width="14.77734375" bestFit="1" customWidth="1"/>
    <col min="8" max="8" width="12.77734375" bestFit="1" customWidth="1"/>
    <col min="9" max="9" width="11.33203125" bestFit="1" customWidth="1"/>
    <col min="10" max="10" width="12.5546875" bestFit="1" customWidth="1"/>
    <col min="11" max="19" width="3.6640625" hidden="1" customWidth="1"/>
    <col min="20" max="20" width="4.6640625" hidden="1" customWidth="1"/>
    <col min="21" max="21" width="12.6640625" hidden="1" customWidth="1"/>
    <col min="22" max="22" width="15.44140625" hidden="1" customWidth="1"/>
    <col min="23" max="23" width="12.77734375" hidden="1" customWidth="1"/>
    <col min="24" max="25" width="0" hidden="1" customWidth="1"/>
    <col min="26" max="26" width="11.88671875" hidden="1" customWidth="1"/>
    <col min="27" max="27" width="13.77734375" hidden="1" customWidth="1"/>
    <col min="28" max="28" width="12.21875" hidden="1" customWidth="1"/>
    <col min="29" max="29" width="6.77734375" hidden="1" customWidth="1"/>
    <col min="30" max="30" width="0" hidden="1" customWidth="1"/>
    <col min="31" max="31" width="11.88671875" bestFit="1" customWidth="1"/>
    <col min="32" max="32" width="14.77734375" bestFit="1" customWidth="1"/>
    <col min="33" max="33" width="21.88671875" bestFit="1" customWidth="1"/>
  </cols>
  <sheetData>
    <row r="2" spans="2:30" x14ac:dyDescent="0.3">
      <c r="B2" s="169" t="s">
        <v>0</v>
      </c>
      <c r="C2" s="169" t="s">
        <v>1</v>
      </c>
      <c r="D2" s="169" t="s">
        <v>2</v>
      </c>
      <c r="E2" s="169" t="s">
        <v>3</v>
      </c>
      <c r="F2" s="170" t="s">
        <v>4</v>
      </c>
      <c r="G2" s="74" t="s">
        <v>5</v>
      </c>
      <c r="H2" s="74" t="s">
        <v>6</v>
      </c>
      <c r="I2" s="74" t="s">
        <v>7</v>
      </c>
      <c r="J2" s="74" t="s">
        <v>8</v>
      </c>
      <c r="K2" s="75" t="s">
        <v>9</v>
      </c>
      <c r="L2" s="75" t="s">
        <v>10</v>
      </c>
      <c r="M2" s="75" t="s">
        <v>11</v>
      </c>
      <c r="N2" s="75" t="s">
        <v>12</v>
      </c>
      <c r="O2" s="75" t="s">
        <v>13</v>
      </c>
      <c r="P2" s="75" t="s">
        <v>14</v>
      </c>
      <c r="Q2" s="75" t="s">
        <v>15</v>
      </c>
      <c r="R2" s="75" t="s">
        <v>16</v>
      </c>
      <c r="S2" s="75" t="s">
        <v>309</v>
      </c>
      <c r="T2" s="75" t="s">
        <v>310</v>
      </c>
      <c r="Z2" s="61" t="s">
        <v>394</v>
      </c>
      <c r="AA2" s="61" t="s">
        <v>17</v>
      </c>
      <c r="AB2" s="61" t="s">
        <v>18</v>
      </c>
      <c r="AC2" s="61" t="s">
        <v>397</v>
      </c>
    </row>
    <row r="3" spans="2:30" x14ac:dyDescent="0.3">
      <c r="B3" s="174" t="s">
        <v>17</v>
      </c>
      <c r="C3" s="175">
        <f>Core!P155</f>
        <v>1372736524.0115919</v>
      </c>
      <c r="D3" s="175">
        <f>Core!T155</f>
        <v>5091503.7994512152</v>
      </c>
      <c r="E3" s="175">
        <f>Core!S155</f>
        <v>1041635806.9631624</v>
      </c>
      <c r="F3" s="176">
        <f>Core!X155</f>
        <v>151442224.82497865</v>
      </c>
      <c r="G3" s="175">
        <f>Core!U155</f>
        <v>33122282.8634471</v>
      </c>
      <c r="H3" s="177">
        <f>Core!AA155</f>
        <v>0.45372990223900139</v>
      </c>
      <c r="I3" s="175">
        <f>Core!AB155</f>
        <v>73000000</v>
      </c>
      <c r="J3" s="178" t="s">
        <v>19</v>
      </c>
      <c r="K3" s="166"/>
      <c r="L3" s="143"/>
      <c r="M3" s="76"/>
      <c r="N3" s="76"/>
      <c r="O3" s="76"/>
      <c r="P3" s="76"/>
      <c r="Q3" s="76"/>
      <c r="R3" s="76"/>
      <c r="S3" s="76"/>
      <c r="T3" s="76"/>
      <c r="V3" s="121"/>
      <c r="Z3" s="35" t="s">
        <v>391</v>
      </c>
      <c r="AA3" s="176">
        <f>SUM(Core!X6,Core!X25,Core!X44,Core!X63,Core!X82,Core!X101,Core!X121,Core!X140)</f>
        <v>36612084.778978631</v>
      </c>
      <c r="AB3" s="176">
        <f>SUM(Impact!AA3:AA6,Impact!AA9:AA10)</f>
        <v>28659857</v>
      </c>
      <c r="AC3" s="179" t="e">
        <f>SUM(AA3:AB3)/SUM(AA$3:AB$6)</f>
        <v>#REF!</v>
      </c>
    </row>
    <row r="4" spans="2:30" x14ac:dyDescent="0.3">
      <c r="B4" s="174" t="s">
        <v>18</v>
      </c>
      <c r="C4" s="175">
        <f>Impact!S21</f>
        <v>350852185.89235198</v>
      </c>
      <c r="D4" s="175">
        <f>Impact!W21</f>
        <v>585463.10986757092</v>
      </c>
      <c r="E4" s="175">
        <f>Impact!V21</f>
        <v>57736841.036638096</v>
      </c>
      <c r="F4" s="176">
        <f>Impact!AA21</f>
        <v>80172255.489999995</v>
      </c>
      <c r="G4" s="175">
        <f>Impact!X21</f>
        <v>42651335.111401863</v>
      </c>
      <c r="H4" s="177">
        <f>Impact!AD21</f>
        <v>0.11283421987143349</v>
      </c>
      <c r="I4" s="175">
        <f>Impact!S21</f>
        <v>350852185.89235198</v>
      </c>
      <c r="J4" s="178" t="s">
        <v>19</v>
      </c>
      <c r="K4" s="167"/>
      <c r="L4" s="144"/>
      <c r="M4" s="113"/>
      <c r="N4" s="113"/>
      <c r="O4" s="113"/>
      <c r="P4" s="113"/>
      <c r="Q4" s="113"/>
      <c r="R4" s="113"/>
      <c r="S4" s="113"/>
      <c r="T4" s="113"/>
      <c r="V4" s="127"/>
      <c r="Z4" s="35" t="s">
        <v>392</v>
      </c>
      <c r="AA4" s="176">
        <f>SUM(Core!X7:X16,Core!X26:X35,Core!X45:X54,Core!X64:X73,Core!X83:X92,Core!X102:X111,Core!X122:X131,Core!X141:X150)</f>
        <v>85125687.982200012</v>
      </c>
      <c r="AB4" s="189">
        <f>Impact!AA7</f>
        <v>13333333</v>
      </c>
      <c r="AC4" s="179" t="e">
        <f t="shared" ref="AC4:AC6" si="0">SUM(AA4:AB4)/SUM(AA$3:AB$6)</f>
        <v>#REF!</v>
      </c>
      <c r="AD4" t="s">
        <v>28</v>
      </c>
    </row>
    <row r="5" spans="2:30" ht="41.4" x14ac:dyDescent="0.3">
      <c r="B5" s="531" t="s">
        <v>2352</v>
      </c>
      <c r="C5" s="532">
        <f>Booster!Q109</f>
        <v>151283320.8973909</v>
      </c>
      <c r="D5" s="532">
        <f>Booster!U109</f>
        <v>839572.90954701765</v>
      </c>
      <c r="E5" s="532">
        <f>Booster!T109</f>
        <v>128369823.30001736</v>
      </c>
      <c r="F5" s="533">
        <f>Booster!Y109</f>
        <v>21127520.671747357</v>
      </c>
      <c r="G5" s="532">
        <f>Booster!V109</f>
        <v>32401130.254827466</v>
      </c>
      <c r="H5" s="534">
        <f>Booster!AB109</f>
        <v>0.44385109938119816</v>
      </c>
      <c r="I5" s="532">
        <f>Booster!AC109</f>
        <v>73000000</v>
      </c>
      <c r="J5" s="535" t="s">
        <v>19</v>
      </c>
      <c r="K5" s="168"/>
      <c r="L5" s="81"/>
      <c r="M5" s="81"/>
      <c r="N5" s="81"/>
      <c r="O5" s="81"/>
      <c r="P5" s="81"/>
      <c r="Q5" s="81"/>
      <c r="R5" s="348"/>
      <c r="S5" s="348"/>
      <c r="T5" s="348"/>
      <c r="V5" s="129"/>
      <c r="Z5" s="35" t="s">
        <v>393</v>
      </c>
      <c r="AA5" s="176">
        <f>SUM(Core!X17:X18,Core!X36:X37,Core!X55:X56,Core!X74:X75,Core!X93:X94,Core!X112:X113,Core!X132:X133,Core!X151:X152)</f>
        <v>29704452.063800003</v>
      </c>
      <c r="AB5" s="176"/>
      <c r="AC5" s="179" t="e">
        <f t="shared" si="0"/>
        <v>#REF!</v>
      </c>
    </row>
    <row r="6" spans="2:30" x14ac:dyDescent="0.3">
      <c r="B6" s="174" t="s">
        <v>22</v>
      </c>
      <c r="C6" s="175">
        <f>'Differential + New Inputs'!Q11</f>
        <v>55434697.38252347</v>
      </c>
      <c r="D6" s="175">
        <f>'Differential + New Inputs'!U11</f>
        <v>1157658.6046151263</v>
      </c>
      <c r="E6" s="175" t="str">
        <f>'Differential + New Inputs'!T11</f>
        <v>-</v>
      </c>
      <c r="F6" s="176">
        <f>'Differential + New Inputs'!Y11</f>
        <v>10060000</v>
      </c>
      <c r="G6" s="175">
        <f>'Differential + New Inputs'!V11</f>
        <v>10401386.862256426</v>
      </c>
      <c r="H6" s="179">
        <f>'Differential + New Inputs'!AB11</f>
        <v>0.14248475153775927</v>
      </c>
      <c r="I6" s="175">
        <f>'Differential + New Inputs'!Q11</f>
        <v>55434697.38252347</v>
      </c>
      <c r="J6" s="178" t="s">
        <v>20</v>
      </c>
      <c r="K6" s="168"/>
      <c r="L6" s="81"/>
      <c r="M6" s="81"/>
      <c r="N6" s="81"/>
      <c r="O6" s="81"/>
      <c r="P6" s="82"/>
      <c r="Q6" s="82"/>
      <c r="R6" s="82"/>
      <c r="S6" s="82"/>
      <c r="T6" s="82"/>
      <c r="Z6" s="35" t="s">
        <v>396</v>
      </c>
      <c r="AA6" s="176" t="e">
        <f>'Differential + New Inputs'!#REF!</f>
        <v>#REF!</v>
      </c>
      <c r="AB6" s="176"/>
      <c r="AC6" s="179" t="e">
        <f t="shared" si="0"/>
        <v>#REF!</v>
      </c>
    </row>
    <row r="7" spans="2:30" x14ac:dyDescent="0.3">
      <c r="B7" s="174" t="s">
        <v>2297</v>
      </c>
      <c r="C7" s="175">
        <f>'Differential + New Inputs'!Q19</f>
        <v>4875816.9934640527</v>
      </c>
      <c r="D7" s="175">
        <f>'Differential + New Inputs'!U19</f>
        <v>19967.320261437908</v>
      </c>
      <c r="E7" s="175">
        <f>'Differential + New Inputs'!T19</f>
        <v>3656862.745098039</v>
      </c>
      <c r="F7" s="176">
        <f>'Differential + New Inputs'!Y19</f>
        <v>800000</v>
      </c>
      <c r="G7" s="175">
        <f>'Differential + New Inputs'!V19</f>
        <v>1439542.4836601308</v>
      </c>
      <c r="H7" s="177">
        <f>'Differential + New Inputs'!AB19</f>
        <v>6.834500858023855E-2</v>
      </c>
      <c r="I7" s="175">
        <f>'Differential + New Inputs'!AC19</f>
        <v>21062876.624999996</v>
      </c>
      <c r="J7" s="178"/>
      <c r="K7" s="168"/>
      <c r="L7" s="81"/>
      <c r="M7" s="81"/>
      <c r="N7" s="81"/>
      <c r="O7" s="81"/>
      <c r="P7" s="82"/>
      <c r="Q7" s="82"/>
      <c r="R7" s="82"/>
      <c r="S7" s="82"/>
      <c r="T7" s="82"/>
      <c r="AA7" s="202"/>
      <c r="AB7" s="202"/>
      <c r="AC7" s="203"/>
    </row>
    <row r="8" spans="2:30" x14ac:dyDescent="0.3">
      <c r="B8" s="174" t="s">
        <v>148</v>
      </c>
      <c r="C8" s="175">
        <f>'MMT Integration'!J9</f>
        <v>41666667</v>
      </c>
      <c r="D8" s="175">
        <v>200000</v>
      </c>
      <c r="E8" s="467" t="s">
        <v>21</v>
      </c>
      <c r="F8" s="468">
        <f>'MMT Integration'!L9</f>
        <v>8500000</v>
      </c>
      <c r="G8" s="467">
        <f>'MMT Integration'!I9</f>
        <v>12500000</v>
      </c>
      <c r="H8" s="179"/>
      <c r="I8" s="175"/>
      <c r="J8" s="178" t="s">
        <v>21</v>
      </c>
      <c r="K8" s="168"/>
      <c r="L8" s="82"/>
      <c r="M8" s="82"/>
      <c r="N8" s="82"/>
      <c r="O8" s="82"/>
      <c r="P8" s="82"/>
      <c r="Q8" s="82"/>
      <c r="R8" s="82"/>
      <c r="S8" s="82"/>
      <c r="T8" s="82"/>
      <c r="U8" t="s">
        <v>2304</v>
      </c>
      <c r="AA8" s="127" t="e">
        <f>SUM(AA3:AA6)</f>
        <v>#REF!</v>
      </c>
      <c r="AB8" s="127">
        <f>SUM(AB3:AB6)</f>
        <v>41993190</v>
      </c>
    </row>
    <row r="9" spans="2:30" x14ac:dyDescent="0.3">
      <c r="B9" s="171" t="s">
        <v>23</v>
      </c>
      <c r="C9" s="172">
        <f>SUM(C3:C8)</f>
        <v>1976849212.1773224</v>
      </c>
      <c r="D9" s="465">
        <f>SUM(D3:D8)</f>
        <v>7894165.7437423673</v>
      </c>
      <c r="E9" s="469">
        <f>SUM(E3:E8)</f>
        <v>1231399334.0449159</v>
      </c>
      <c r="F9" s="470">
        <f>SUM(F3:F8)</f>
        <v>272102000.98672605</v>
      </c>
      <c r="G9" s="469">
        <v>67373004.409617305</v>
      </c>
      <c r="H9" s="466">
        <f>G9/I9</f>
        <v>0.92291786862489456</v>
      </c>
      <c r="I9" s="172">
        <f>I3</f>
        <v>73000000</v>
      </c>
      <c r="J9" s="173"/>
      <c r="K9" s="85"/>
      <c r="L9" s="85"/>
      <c r="M9" s="85"/>
      <c r="N9" s="85"/>
      <c r="O9" s="85"/>
      <c r="P9" s="85"/>
    </row>
    <row r="10" spans="2:30" x14ac:dyDescent="0.3">
      <c r="B10" s="86" t="s">
        <v>24</v>
      </c>
      <c r="C10" s="87"/>
      <c r="D10" s="87"/>
      <c r="E10" s="87"/>
      <c r="F10" s="453">
        <v>3789828.1480264198</v>
      </c>
      <c r="G10" s="88"/>
      <c r="H10" s="88"/>
      <c r="I10" s="88"/>
      <c r="J10" s="88"/>
      <c r="K10" s="85"/>
      <c r="L10" s="85"/>
      <c r="M10" s="85"/>
      <c r="N10" s="85"/>
      <c r="O10" s="85"/>
      <c r="P10" s="85"/>
      <c r="S10" s="26"/>
      <c r="Z10" s="61" t="s">
        <v>395</v>
      </c>
      <c r="AA10" s="61" t="s">
        <v>17</v>
      </c>
      <c r="AB10" s="61" t="s">
        <v>18</v>
      </c>
      <c r="AC10" s="61" t="s">
        <v>398</v>
      </c>
    </row>
    <row r="11" spans="2:30" x14ac:dyDescent="0.3">
      <c r="B11" s="86" t="s">
        <v>25</v>
      </c>
      <c r="C11" s="87"/>
      <c r="D11" s="87"/>
      <c r="E11" s="87"/>
      <c r="F11" s="453">
        <v>2821731.3373065372</v>
      </c>
      <c r="G11" s="88"/>
      <c r="H11" s="88"/>
      <c r="I11" s="88"/>
      <c r="J11" s="88"/>
      <c r="K11" s="85"/>
      <c r="L11" s="85"/>
      <c r="M11" s="85"/>
      <c r="N11" s="85"/>
      <c r="O11" s="85"/>
      <c r="P11" s="85"/>
      <c r="S11" s="26"/>
      <c r="U11" s="26"/>
      <c r="Z11" s="35" t="s">
        <v>391</v>
      </c>
      <c r="AA11" s="187">
        <f>SUM(Core!P6,Core!P25,Core!P44,Core!P63,Core!P82,Core!P101,Core!P121,Core!P140)</f>
        <v>211542158.05477428</v>
      </c>
      <c r="AB11" s="187">
        <f>SUM(Impact!S3:S6,Impact!S9:S10)</f>
        <v>234904833.60358196</v>
      </c>
      <c r="AC11" s="179">
        <f>SUM(AA11:AB11)/SUM(AA$11:AB$14)</f>
        <v>0.27493913915618429</v>
      </c>
    </row>
    <row r="12" spans="2:30" x14ac:dyDescent="0.3">
      <c r="B12" s="86" t="s">
        <v>26</v>
      </c>
      <c r="C12" s="87"/>
      <c r="D12" s="87"/>
      <c r="E12" s="87"/>
      <c r="F12" s="88">
        <f>SUM(F9:F11)</f>
        <v>278713560.47205901</v>
      </c>
      <c r="G12" s="88"/>
      <c r="H12" s="88"/>
      <c r="I12" s="88"/>
      <c r="J12" s="88"/>
      <c r="K12" s="85"/>
      <c r="L12" s="85"/>
      <c r="M12" s="85"/>
      <c r="N12" s="85"/>
      <c r="O12" s="85"/>
      <c r="P12" s="85"/>
      <c r="Z12" s="35" t="s">
        <v>392</v>
      </c>
      <c r="AA12" s="187">
        <f>SUM(Core!P7:P16,Core!P26:P35,Core!P45:P54,Core!P64:P73,Core!P83:P92,Core!P102:P111,Core!P122:P131,Core!P141:P150)</f>
        <v>666120164.89348423</v>
      </c>
      <c r="AB12" s="188">
        <f>Impact!S7</f>
        <v>16161615.757575758</v>
      </c>
      <c r="AC12" s="179">
        <f t="shared" ref="AC12:AC13" si="1">SUM(AA12:AB12)/SUM(AA$11:AB$14)</f>
        <v>0.42017522559027842</v>
      </c>
      <c r="AD12" t="s">
        <v>28</v>
      </c>
    </row>
    <row r="13" spans="2:30" x14ac:dyDescent="0.3">
      <c r="B13" s="120" t="s">
        <v>27</v>
      </c>
      <c r="F13" s="25"/>
      <c r="I13" s="121"/>
      <c r="N13" s="85"/>
      <c r="O13" s="85"/>
      <c r="P13" s="85"/>
      <c r="Z13" s="35" t="s">
        <v>393</v>
      </c>
      <c r="AA13" s="187">
        <f>SUM(Core!P17:P18,Core!P36:P37,Core!P55:P56,Core!P74:P75,Core!P93:P94,Core!P112:P113,Core!P132:P133,Core!P151:P152)</f>
        <v>495074201.06333339</v>
      </c>
      <c r="AB13" s="187"/>
      <c r="AC13" s="179">
        <f t="shared" si="1"/>
        <v>0.30488563525353723</v>
      </c>
    </row>
    <row r="14" spans="2:30" x14ac:dyDescent="0.3">
      <c r="B14" s="120"/>
      <c r="C14" s="26"/>
      <c r="D14" s="26"/>
      <c r="F14" s="455"/>
      <c r="Z14" s="35"/>
      <c r="AA14" s="187"/>
      <c r="AB14" s="187"/>
      <c r="AC14" s="179"/>
    </row>
    <row r="15" spans="2:30" s="85" customFormat="1" hidden="1" x14ac:dyDescent="0.3">
      <c r="F15" s="25"/>
      <c r="AA15" s="25"/>
      <c r="AB15" s="25"/>
    </row>
    <row r="16" spans="2:30" s="85" customFormat="1" hidden="1" x14ac:dyDescent="0.3">
      <c r="B16" s="72"/>
      <c r="C16" s="538"/>
      <c r="D16" s="538"/>
      <c r="F16" s="25"/>
      <c r="G16" s="538"/>
      <c r="H16" s="538"/>
    </row>
    <row r="17" spans="2:32" hidden="1" x14ac:dyDescent="0.3">
      <c r="B17" s="72" t="s">
        <v>0</v>
      </c>
      <c r="C17" s="72"/>
      <c r="D17" s="73"/>
      <c r="F17" s="25"/>
      <c r="G17" s="72"/>
      <c r="H17" s="170"/>
    </row>
    <row r="18" spans="2:32" hidden="1" x14ac:dyDescent="0.3">
      <c r="B18" s="77" t="str">
        <f t="shared" ref="B18:B21" si="2">B3</f>
        <v>Core</v>
      </c>
      <c r="C18" s="78"/>
      <c r="D18" s="79"/>
      <c r="E18" s="121"/>
      <c r="F18" s="25"/>
      <c r="G18" s="183"/>
      <c r="H18" s="176"/>
      <c r="I18" s="121"/>
      <c r="K18" s="27"/>
    </row>
    <row r="19" spans="2:32" hidden="1" x14ac:dyDescent="0.3">
      <c r="B19" s="77" t="str">
        <f t="shared" si="2"/>
        <v>Impact</v>
      </c>
      <c r="C19" s="78"/>
      <c r="D19" s="79"/>
      <c r="E19" s="121"/>
      <c r="F19" s="25"/>
      <c r="G19" s="183"/>
      <c r="H19" s="176"/>
      <c r="I19" s="121"/>
      <c r="K19" s="27"/>
    </row>
    <row r="20" spans="2:32" hidden="1" x14ac:dyDescent="0.3">
      <c r="B20" s="77" t="str">
        <f t="shared" si="2"/>
        <v>Booster (Bang,Hyd,Chn,Kol,Pune,T17,T57,Vizag, Coimbatore,Nagpur,Lucknow)</v>
      </c>
      <c r="C20" s="78"/>
      <c r="D20" s="79"/>
      <c r="E20" s="121"/>
      <c r="F20" s="25"/>
      <c r="G20" s="184"/>
      <c r="H20" s="176"/>
      <c r="I20" s="121"/>
      <c r="K20" s="27"/>
    </row>
    <row r="21" spans="2:32" hidden="1" x14ac:dyDescent="0.3">
      <c r="B21" s="77" t="str">
        <f t="shared" si="2"/>
        <v>Cross Sale</v>
      </c>
      <c r="C21" s="78"/>
      <c r="D21" s="79"/>
      <c r="E21" s="121"/>
      <c r="F21" s="25"/>
      <c r="G21" s="184"/>
      <c r="H21" s="176"/>
      <c r="I21" s="121"/>
      <c r="K21" s="27"/>
    </row>
    <row r="22" spans="2:32" hidden="1" x14ac:dyDescent="0.3">
      <c r="B22" s="80" t="s">
        <v>148</v>
      </c>
      <c r="C22" s="78"/>
      <c r="D22" s="79"/>
      <c r="E22" s="121"/>
      <c r="F22" s="25"/>
      <c r="G22" s="184"/>
      <c r="H22" s="176"/>
      <c r="I22" s="121"/>
      <c r="K22" s="27"/>
    </row>
    <row r="23" spans="2:32" hidden="1" x14ac:dyDescent="0.3">
      <c r="B23" s="83" t="s">
        <v>23</v>
      </c>
      <c r="C23" s="84"/>
      <c r="D23" s="118"/>
      <c r="E23" s="121"/>
      <c r="F23" s="25"/>
      <c r="G23" s="185"/>
      <c r="H23" s="186"/>
      <c r="I23" s="121"/>
      <c r="K23" s="27"/>
    </row>
    <row r="24" spans="2:32" hidden="1" x14ac:dyDescent="0.3">
      <c r="F24" s="25"/>
      <c r="G24" s="27"/>
      <c r="H24" s="27"/>
    </row>
    <row r="25" spans="2:32" x14ac:dyDescent="0.3">
      <c r="F25" s="25"/>
      <c r="G25" s="24"/>
      <c r="I25" s="24"/>
    </row>
    <row r="26" spans="2:32" x14ac:dyDescent="0.3">
      <c r="F26" s="24"/>
      <c r="G26" s="24"/>
      <c r="H26" s="25"/>
      <c r="J26" s="127"/>
    </row>
    <row r="27" spans="2:32" x14ac:dyDescent="0.3">
      <c r="D27" s="24"/>
      <c r="F27" s="24"/>
      <c r="G27" s="24"/>
      <c r="H27" s="24"/>
      <c r="J27" s="89"/>
    </row>
    <row r="28" spans="2:32" x14ac:dyDescent="0.3">
      <c r="F28" s="89"/>
      <c r="G28" s="89"/>
      <c r="H28" s="127"/>
      <c r="J28" s="127"/>
    </row>
    <row r="29" spans="2:32" x14ac:dyDescent="0.3">
      <c r="F29" s="89"/>
      <c r="G29" s="89"/>
      <c r="H29" s="89"/>
      <c r="I29" s="36"/>
      <c r="J29" s="89"/>
      <c r="AF29" s="25"/>
    </row>
    <row r="30" spans="2:32" x14ac:dyDescent="0.3">
      <c r="G30" s="89"/>
      <c r="H30" s="89"/>
      <c r="I30" s="36"/>
      <c r="J30" s="89"/>
      <c r="AF30" s="25"/>
    </row>
    <row r="31" spans="2:32" x14ac:dyDescent="0.3">
      <c r="E31" s="127"/>
      <c r="F31" s="25"/>
      <c r="G31" s="25"/>
      <c r="I31" s="263"/>
    </row>
    <row r="32" spans="2:32" x14ac:dyDescent="0.3">
      <c r="E32" s="36"/>
      <c r="F32" s="25"/>
      <c r="G32" s="25"/>
      <c r="I32" s="263"/>
      <c r="J32" s="263"/>
    </row>
    <row r="33" spans="5:7" x14ac:dyDescent="0.3">
      <c r="E33" s="263"/>
      <c r="G33" s="25"/>
    </row>
    <row r="34" spans="5:7" x14ac:dyDescent="0.3">
      <c r="G34" s="25"/>
    </row>
  </sheetData>
  <mergeCells count="2">
    <mergeCell ref="C16:D16"/>
    <mergeCell ref="G16:H16"/>
  </mergeCells>
  <phoneticPr fontId="1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50A3-4B3D-44BE-AF9A-22EA8C491039}">
  <sheetPr codeName="Sheet9"/>
  <dimension ref="B1:M19"/>
  <sheetViews>
    <sheetView showGridLines="0" zoomScale="110" zoomScaleNormal="110" workbookViewId="0">
      <selection activeCell="C12" sqref="C12"/>
    </sheetView>
  </sheetViews>
  <sheetFormatPr defaultRowHeight="14.4" x14ac:dyDescent="0.3"/>
  <cols>
    <col min="1" max="1" width="2.6640625" customWidth="1"/>
    <col min="2" max="2" width="23.6640625" bestFit="1" customWidth="1"/>
    <col min="3" max="3" width="11.6640625" customWidth="1"/>
    <col min="4" max="4" width="13.88671875" bestFit="1" customWidth="1"/>
    <col min="5" max="5" width="12.77734375" bestFit="1" customWidth="1"/>
    <col min="6" max="6" width="11.5546875" bestFit="1" customWidth="1"/>
    <col min="7" max="7" width="13.33203125" bestFit="1" customWidth="1"/>
    <col min="8" max="8" width="14.88671875" bestFit="1" customWidth="1"/>
    <col min="9" max="9" width="20.109375" bestFit="1" customWidth="1"/>
    <col min="11" max="13" width="21.6640625" hidden="1" customWidth="1"/>
  </cols>
  <sheetData>
    <row r="1" spans="2:13" x14ac:dyDescent="0.3">
      <c r="B1" t="s">
        <v>348</v>
      </c>
    </row>
    <row r="2" spans="2:13" x14ac:dyDescent="0.3">
      <c r="B2" s="28" t="s">
        <v>216</v>
      </c>
      <c r="C2" s="28" t="s">
        <v>52</v>
      </c>
      <c r="D2" s="28" t="s">
        <v>217</v>
      </c>
      <c r="E2" s="28" t="s">
        <v>218</v>
      </c>
      <c r="F2" s="28" t="s">
        <v>219</v>
      </c>
      <c r="G2" s="28" t="s">
        <v>220</v>
      </c>
      <c r="H2" s="28" t="s">
        <v>221</v>
      </c>
      <c r="I2" s="28" t="s">
        <v>222</v>
      </c>
      <c r="K2" s="28" t="s">
        <v>223</v>
      </c>
      <c r="L2" s="28" t="s">
        <v>224</v>
      </c>
      <c r="M2" s="28" t="s">
        <v>225</v>
      </c>
    </row>
    <row r="3" spans="2:13" x14ac:dyDescent="0.3">
      <c r="B3" s="32" t="s">
        <v>55</v>
      </c>
      <c r="C3" s="32">
        <v>9780000</v>
      </c>
      <c r="D3" s="29">
        <v>7700000</v>
      </c>
      <c r="E3" s="29">
        <v>9702001</v>
      </c>
      <c r="F3" s="29">
        <v>2650458</v>
      </c>
      <c r="G3" s="29">
        <v>8365012</v>
      </c>
      <c r="H3" s="29">
        <v>743015</v>
      </c>
      <c r="I3" s="29">
        <f>E3*80%</f>
        <v>7761600.8000000007</v>
      </c>
      <c r="K3" s="119">
        <f>C3*25%</f>
        <v>2445000</v>
      </c>
      <c r="L3" s="119">
        <f>E3*25%</f>
        <v>2425500.25</v>
      </c>
      <c r="M3" s="119">
        <f>F3*25%</f>
        <v>662614.5</v>
      </c>
    </row>
    <row r="4" spans="2:13" x14ac:dyDescent="0.3">
      <c r="B4" s="32" t="s">
        <v>83</v>
      </c>
      <c r="C4" s="32">
        <v>7540000</v>
      </c>
      <c r="D4" s="29">
        <v>4100000</v>
      </c>
      <c r="E4" s="29">
        <v>7481094</v>
      </c>
      <c r="F4" s="29">
        <v>1728634</v>
      </c>
      <c r="G4" s="29">
        <v>10316135</v>
      </c>
      <c r="H4" s="29">
        <v>688485</v>
      </c>
      <c r="I4" s="29">
        <f t="shared" ref="I4:I8" si="0">E4*80%</f>
        <v>5984875.2000000002</v>
      </c>
      <c r="K4" s="119">
        <f t="shared" ref="K4:K12" si="1">C4*25%</f>
        <v>1885000</v>
      </c>
      <c r="L4" s="119">
        <f t="shared" ref="L4:M12" si="2">E4*25%</f>
        <v>1870273.5</v>
      </c>
      <c r="M4" s="119">
        <f t="shared" si="2"/>
        <v>432158.5</v>
      </c>
    </row>
    <row r="5" spans="2:13" x14ac:dyDescent="0.3">
      <c r="B5" s="32" t="s">
        <v>87</v>
      </c>
      <c r="C5" s="32">
        <v>5515000</v>
      </c>
      <c r="D5" s="29">
        <v>2800000</v>
      </c>
      <c r="E5" s="29">
        <v>5470795</v>
      </c>
      <c r="F5" s="29">
        <v>1391022</v>
      </c>
      <c r="G5" s="29">
        <v>3119982</v>
      </c>
      <c r="H5" s="29">
        <v>418285</v>
      </c>
      <c r="I5" s="29">
        <f t="shared" si="0"/>
        <v>4376636</v>
      </c>
      <c r="K5" s="119">
        <f t="shared" si="1"/>
        <v>1378750</v>
      </c>
      <c r="L5" s="119">
        <f t="shared" si="2"/>
        <v>1367698.75</v>
      </c>
      <c r="M5" s="119">
        <f t="shared" si="2"/>
        <v>347755.5</v>
      </c>
    </row>
    <row r="6" spans="2:13" x14ac:dyDescent="0.3">
      <c r="B6" s="32" t="s">
        <v>91</v>
      </c>
      <c r="C6" s="32">
        <v>4473000</v>
      </c>
      <c r="D6" s="29">
        <v>2300000</v>
      </c>
      <c r="E6" s="29">
        <v>4433775</v>
      </c>
      <c r="F6" s="29">
        <v>1435314</v>
      </c>
      <c r="G6" s="29">
        <v>4148074</v>
      </c>
      <c r="H6" s="29">
        <v>507079.99999999994</v>
      </c>
      <c r="I6" s="29">
        <f t="shared" si="0"/>
        <v>3547020</v>
      </c>
      <c r="K6" s="119">
        <f t="shared" si="1"/>
        <v>1118250</v>
      </c>
      <c r="L6" s="119">
        <f t="shared" si="2"/>
        <v>1108443.75</v>
      </c>
      <c r="M6" s="119">
        <f t="shared" si="2"/>
        <v>358828.5</v>
      </c>
    </row>
    <row r="7" spans="2:13" x14ac:dyDescent="0.3">
      <c r="B7" s="32" t="s">
        <v>95</v>
      </c>
      <c r="C7" s="32">
        <v>1985000</v>
      </c>
      <c r="D7" s="29">
        <v>3200000</v>
      </c>
      <c r="E7" s="29">
        <v>1968851</v>
      </c>
      <c r="F7" s="29">
        <v>772820</v>
      </c>
      <c r="G7" s="29">
        <v>4457002</v>
      </c>
      <c r="H7" s="29">
        <v>569905</v>
      </c>
      <c r="I7" s="29">
        <f t="shared" si="0"/>
        <v>1575080.8</v>
      </c>
      <c r="K7" s="119">
        <f t="shared" si="1"/>
        <v>496250</v>
      </c>
      <c r="L7" s="119">
        <f t="shared" si="2"/>
        <v>492212.75</v>
      </c>
      <c r="M7" s="119">
        <f t="shared" si="2"/>
        <v>193205</v>
      </c>
    </row>
    <row r="8" spans="2:13" x14ac:dyDescent="0.3">
      <c r="B8" s="32" t="s">
        <v>99</v>
      </c>
      <c r="C8" s="32">
        <v>1707000</v>
      </c>
      <c r="D8" s="29">
        <v>3100000</v>
      </c>
      <c r="E8" s="29">
        <v>1693501</v>
      </c>
      <c r="F8" s="29">
        <v>557667</v>
      </c>
      <c r="G8" s="29">
        <v>3575889</v>
      </c>
      <c r="H8" s="29">
        <v>209580</v>
      </c>
      <c r="I8" s="29">
        <f t="shared" si="0"/>
        <v>1354800.8</v>
      </c>
      <c r="K8" s="119">
        <f t="shared" si="1"/>
        <v>426750</v>
      </c>
      <c r="L8" s="119">
        <f t="shared" si="2"/>
        <v>423375.25</v>
      </c>
      <c r="M8" s="119">
        <f t="shared" si="2"/>
        <v>139416.75</v>
      </c>
    </row>
    <row r="9" spans="2:13" x14ac:dyDescent="0.3">
      <c r="B9" s="30" t="s">
        <v>226</v>
      </c>
      <c r="C9" s="30">
        <v>31000000</v>
      </c>
      <c r="D9" s="33">
        <f t="shared" ref="D9:I9" si="3">SUM(D3:D8)</f>
        <v>23200000</v>
      </c>
      <c r="E9" s="33">
        <f t="shared" si="3"/>
        <v>30750017</v>
      </c>
      <c r="F9" s="33">
        <f t="shared" si="3"/>
        <v>8535915</v>
      </c>
      <c r="G9" s="33">
        <f t="shared" si="3"/>
        <v>33982094</v>
      </c>
      <c r="H9" s="33">
        <f t="shared" si="3"/>
        <v>3136350</v>
      </c>
      <c r="I9" s="33">
        <f t="shared" si="3"/>
        <v>24600013.600000001</v>
      </c>
      <c r="K9" s="119">
        <f t="shared" si="1"/>
        <v>7750000</v>
      </c>
      <c r="L9" s="119">
        <f t="shared" si="2"/>
        <v>7687504.25</v>
      </c>
      <c r="M9" s="119">
        <f t="shared" si="2"/>
        <v>2133978.75</v>
      </c>
    </row>
    <row r="10" spans="2:13" x14ac:dyDescent="0.3">
      <c r="B10" s="30" t="s">
        <v>104</v>
      </c>
      <c r="C10" s="30">
        <v>13000000</v>
      </c>
      <c r="D10" s="33">
        <v>14340700</v>
      </c>
      <c r="E10" s="33">
        <v>25889924</v>
      </c>
      <c r="F10" s="33">
        <f>E10*23%</f>
        <v>5954682.5200000005</v>
      </c>
      <c r="G10" s="33">
        <v>15154952</v>
      </c>
      <c r="H10" s="33">
        <v>1502620</v>
      </c>
      <c r="I10" s="33">
        <f>E10*80%</f>
        <v>20711939.200000003</v>
      </c>
      <c r="K10" s="119">
        <f t="shared" si="1"/>
        <v>3250000</v>
      </c>
      <c r="L10" s="119">
        <f t="shared" si="2"/>
        <v>6472481</v>
      </c>
      <c r="M10" s="119">
        <f t="shared" si="2"/>
        <v>1488670.6300000001</v>
      </c>
    </row>
    <row r="11" spans="2:13" x14ac:dyDescent="0.3">
      <c r="B11" s="30" t="s">
        <v>108</v>
      </c>
      <c r="C11" s="30">
        <v>29000000</v>
      </c>
      <c r="D11" s="33">
        <v>24495900</v>
      </c>
      <c r="E11" s="33">
        <v>46988133</v>
      </c>
      <c r="F11" s="33">
        <f>E11*23%</f>
        <v>10807270.59</v>
      </c>
      <c r="G11" s="33">
        <v>12744213</v>
      </c>
      <c r="H11" s="33">
        <v>3920437</v>
      </c>
      <c r="I11" s="33">
        <f>E11*80%</f>
        <v>37590506.399999999</v>
      </c>
      <c r="K11" s="119">
        <f t="shared" si="1"/>
        <v>7250000</v>
      </c>
      <c r="L11" s="119">
        <f t="shared" si="2"/>
        <v>11747033.25</v>
      </c>
      <c r="M11" s="119">
        <f t="shared" si="2"/>
        <v>2701817.6475</v>
      </c>
    </row>
    <row r="12" spans="2:13" x14ac:dyDescent="0.3">
      <c r="B12" s="31" t="s">
        <v>23</v>
      </c>
      <c r="C12" s="31">
        <v>73000000</v>
      </c>
      <c r="D12" s="31">
        <f t="shared" ref="D12:I12" si="4">SUM(D9:D11)</f>
        <v>62036600</v>
      </c>
      <c r="E12" s="31">
        <f t="shared" si="4"/>
        <v>103628074</v>
      </c>
      <c r="F12" s="31">
        <f t="shared" si="4"/>
        <v>25297868.109999999</v>
      </c>
      <c r="G12" s="31">
        <f t="shared" si="4"/>
        <v>61881259</v>
      </c>
      <c r="H12" s="31">
        <f t="shared" si="4"/>
        <v>8559407</v>
      </c>
      <c r="I12" s="31">
        <f t="shared" si="4"/>
        <v>82902459.200000003</v>
      </c>
      <c r="K12" s="119">
        <f t="shared" si="1"/>
        <v>18250000</v>
      </c>
      <c r="L12" s="119">
        <f t="shared" si="2"/>
        <v>25907018.5</v>
      </c>
      <c r="M12" s="119">
        <f t="shared" si="2"/>
        <v>6324467.0274999999</v>
      </c>
    </row>
    <row r="13" spans="2:13" x14ac:dyDescent="0.3">
      <c r="B13" s="32" t="s">
        <v>179</v>
      </c>
      <c r="C13" s="32">
        <f>C4*30%</f>
        <v>2262000</v>
      </c>
      <c r="D13" s="32">
        <f t="shared" ref="D13:I13" si="5">D4*30%</f>
        <v>1230000</v>
      </c>
      <c r="E13" s="32">
        <f t="shared" si="5"/>
        <v>2244328.1999999997</v>
      </c>
      <c r="F13" s="32">
        <f t="shared" si="5"/>
        <v>518590.19999999995</v>
      </c>
      <c r="G13" s="32">
        <f t="shared" si="5"/>
        <v>3094840.5</v>
      </c>
      <c r="H13" s="32">
        <f>H4*30%</f>
        <v>206545.5</v>
      </c>
      <c r="I13" s="32">
        <f t="shared" si="5"/>
        <v>1795462.56</v>
      </c>
      <c r="K13" s="36"/>
      <c r="L13" s="36"/>
      <c r="M13" s="36"/>
    </row>
    <row r="14" spans="2:13" x14ac:dyDescent="0.3">
      <c r="B14" s="485" t="s">
        <v>242</v>
      </c>
      <c r="C14" s="485">
        <f>C10*7%</f>
        <v>910000.00000000012</v>
      </c>
      <c r="D14" s="485">
        <f t="shared" ref="D14:I14" si="6">D10*7%</f>
        <v>1003849.0000000001</v>
      </c>
      <c r="E14" s="485">
        <f t="shared" si="6"/>
        <v>1812294.6800000002</v>
      </c>
      <c r="F14" s="485">
        <f t="shared" si="6"/>
        <v>416827.77640000009</v>
      </c>
      <c r="G14" s="485">
        <f t="shared" si="6"/>
        <v>1060846.6400000001</v>
      </c>
      <c r="H14" s="485">
        <f t="shared" si="6"/>
        <v>105183.40000000001</v>
      </c>
      <c r="I14" s="485">
        <f t="shared" si="6"/>
        <v>1449835.7440000004</v>
      </c>
    </row>
    <row r="15" spans="2:13" x14ac:dyDescent="0.3">
      <c r="B15" s="485" t="s">
        <v>248</v>
      </c>
      <c r="C15" s="485">
        <f>C10*4%</f>
        <v>520000</v>
      </c>
      <c r="D15" s="485">
        <f t="shared" ref="D15:I15" si="7">D10*4%</f>
        <v>573628</v>
      </c>
      <c r="E15" s="486">
        <f t="shared" si="7"/>
        <v>1035596.9600000001</v>
      </c>
      <c r="F15" s="485">
        <f t="shared" si="7"/>
        <v>238187.30080000003</v>
      </c>
      <c r="G15" s="485">
        <f t="shared" si="7"/>
        <v>606198.07999999996</v>
      </c>
      <c r="H15" s="485">
        <f t="shared" si="7"/>
        <v>60104.800000000003</v>
      </c>
      <c r="I15" s="485">
        <f t="shared" si="7"/>
        <v>828477.56800000009</v>
      </c>
    </row>
    <row r="16" spans="2:13" x14ac:dyDescent="0.3">
      <c r="B16" s="485" t="s">
        <v>250</v>
      </c>
      <c r="C16" s="485">
        <f>C11*6%</f>
        <v>1740000</v>
      </c>
      <c r="D16" s="487">
        <f t="shared" ref="D16:I16" si="8">D11*6%</f>
        <v>1469754</v>
      </c>
      <c r="E16" s="488">
        <f t="shared" si="8"/>
        <v>2819287.98</v>
      </c>
      <c r="F16" s="489">
        <f t="shared" si="8"/>
        <v>648436.23540000001</v>
      </c>
      <c r="G16" s="485">
        <f t="shared" si="8"/>
        <v>764652.78</v>
      </c>
      <c r="H16" s="485">
        <f t="shared" si="8"/>
        <v>235226.22</v>
      </c>
      <c r="I16" s="485">
        <f t="shared" si="8"/>
        <v>2255430.3839999996</v>
      </c>
    </row>
    <row r="17" spans="2:9" x14ac:dyDescent="0.3">
      <c r="B17" s="485" t="s">
        <v>185</v>
      </c>
      <c r="C17" s="485">
        <f>C10*'Cities List'!$G$12</f>
        <v>1276142.857142857</v>
      </c>
      <c r="D17" s="485">
        <f>D10*'Cities List'!$G$12</f>
        <v>1407752.4516483517</v>
      </c>
      <c r="E17" s="485">
        <f>E10*'Cities List'!$G$12</f>
        <v>2541480.12189011</v>
      </c>
      <c r="F17" s="485">
        <f>F10*'Cities List'!$G$12</f>
        <v>584540.42803472537</v>
      </c>
      <c r="G17" s="485">
        <f>G10*'Cities List'!$G$12</f>
        <v>1487683.3650109891</v>
      </c>
      <c r="H17" s="485">
        <f>H10*'Cities List'!$G$12</f>
        <v>147504.44461538462</v>
      </c>
      <c r="I17" s="485">
        <f>I10*'Cities List'!$G$12</f>
        <v>2033184.0975120883</v>
      </c>
    </row>
    <row r="18" spans="2:9" x14ac:dyDescent="0.3">
      <c r="C18" s="347"/>
      <c r="D18" s="25"/>
    </row>
    <row r="19" spans="2:9" x14ac:dyDescent="0.3">
      <c r="C19" s="347"/>
      <c r="D19" s="25"/>
    </row>
  </sheetData>
  <pageMargins left="0.7" right="0.7" top="0.75" bottom="0.75" header="0.3" footer="0.3"/>
  <ignoredErrors>
    <ignoredError sqref="I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123F-8C06-4E93-97FE-D875F25DF266}">
  <sheetPr codeName="Sheet10"/>
  <dimension ref="B1:G59"/>
  <sheetViews>
    <sheetView topLeftCell="A6" workbookViewId="0">
      <selection activeCell="G13" sqref="G13"/>
    </sheetView>
  </sheetViews>
  <sheetFormatPr defaultRowHeight="14.4" x14ac:dyDescent="0.3"/>
  <cols>
    <col min="1" max="1" width="2.6640625" customWidth="1"/>
    <col min="2" max="4" width="22.5546875" customWidth="1"/>
    <col min="7" max="7" width="9.77734375" bestFit="1" customWidth="1"/>
    <col min="8" max="8" width="9" bestFit="1" customWidth="1"/>
    <col min="9" max="9" width="15.44140625" bestFit="1" customWidth="1"/>
    <col min="10" max="10" width="11.6640625" bestFit="1" customWidth="1"/>
  </cols>
  <sheetData>
    <row r="1" spans="2:7" x14ac:dyDescent="0.3">
      <c r="B1" t="s">
        <v>227</v>
      </c>
    </row>
    <row r="2" spans="2:7" x14ac:dyDescent="0.3">
      <c r="B2" s="37" t="s">
        <v>228</v>
      </c>
      <c r="C2" s="38" t="s">
        <v>229</v>
      </c>
      <c r="D2" s="38" t="s">
        <v>230</v>
      </c>
    </row>
    <row r="3" spans="2:7" x14ac:dyDescent="0.3">
      <c r="B3" s="558" t="s">
        <v>119</v>
      </c>
      <c r="C3" s="35" t="s">
        <v>169</v>
      </c>
      <c r="D3" s="39" t="s">
        <v>55</v>
      </c>
    </row>
    <row r="4" spans="2:7" x14ac:dyDescent="0.3">
      <c r="B4" s="558"/>
      <c r="C4" s="35" t="s">
        <v>231</v>
      </c>
      <c r="D4" s="39" t="s">
        <v>83</v>
      </c>
    </row>
    <row r="5" spans="2:7" x14ac:dyDescent="0.3">
      <c r="B5" s="558"/>
      <c r="C5" s="35" t="s">
        <v>232</v>
      </c>
      <c r="D5" s="39" t="s">
        <v>87</v>
      </c>
    </row>
    <row r="6" spans="2:7" x14ac:dyDescent="0.3">
      <c r="B6" s="558"/>
      <c r="C6" s="35" t="s">
        <v>233</v>
      </c>
      <c r="D6" s="39" t="s">
        <v>91</v>
      </c>
    </row>
    <row r="7" spans="2:7" x14ac:dyDescent="0.3">
      <c r="B7" s="558"/>
      <c r="C7" s="35" t="s">
        <v>234</v>
      </c>
      <c r="D7" s="39" t="s">
        <v>95</v>
      </c>
    </row>
    <row r="8" spans="2:7" x14ac:dyDescent="0.3">
      <c r="B8" s="558"/>
      <c r="C8" s="35" t="s">
        <v>235</v>
      </c>
      <c r="D8" s="39" t="s">
        <v>99</v>
      </c>
    </row>
    <row r="9" spans="2:7" x14ac:dyDescent="0.3">
      <c r="B9" s="558" t="s">
        <v>104</v>
      </c>
      <c r="C9" s="35" t="s">
        <v>231</v>
      </c>
      <c r="D9" s="39" t="s">
        <v>179</v>
      </c>
      <c r="E9" s="347">
        <v>1800000</v>
      </c>
      <c r="G9" s="347">
        <v>9100000</v>
      </c>
    </row>
    <row r="10" spans="2:7" x14ac:dyDescent="0.3">
      <c r="B10" s="558"/>
      <c r="C10" s="35" t="s">
        <v>236</v>
      </c>
      <c r="D10" s="39" t="s">
        <v>237</v>
      </c>
      <c r="E10" s="347">
        <v>949700</v>
      </c>
    </row>
    <row r="11" spans="2:7" x14ac:dyDescent="0.3">
      <c r="B11" s="558"/>
      <c r="C11" s="35" t="s">
        <v>238</v>
      </c>
      <c r="D11" s="39" t="s">
        <v>181</v>
      </c>
      <c r="E11" s="347">
        <v>1700000</v>
      </c>
    </row>
    <row r="12" spans="2:7" x14ac:dyDescent="0.3">
      <c r="B12" s="558"/>
      <c r="C12" s="35" t="s">
        <v>239</v>
      </c>
      <c r="D12" s="491" t="s">
        <v>185</v>
      </c>
      <c r="E12" s="347">
        <v>893300</v>
      </c>
      <c r="G12" s="27">
        <f>E12/G9</f>
        <v>9.8164835164835165E-2</v>
      </c>
    </row>
    <row r="13" spans="2:7" x14ac:dyDescent="0.3">
      <c r="B13" s="558"/>
      <c r="C13" s="35" t="s">
        <v>240</v>
      </c>
      <c r="D13" s="35" t="s">
        <v>241</v>
      </c>
      <c r="E13" s="347">
        <v>698000</v>
      </c>
    </row>
    <row r="14" spans="2:7" x14ac:dyDescent="0.3">
      <c r="B14" s="558"/>
      <c r="C14" s="35" t="s">
        <v>234</v>
      </c>
      <c r="D14" s="484" t="s">
        <v>242</v>
      </c>
      <c r="E14" s="347">
        <v>639800</v>
      </c>
      <c r="G14" s="27">
        <f>E14/G9</f>
        <v>7.0307692307692307E-2</v>
      </c>
    </row>
    <row r="15" spans="2:7" x14ac:dyDescent="0.3">
      <c r="B15" s="558"/>
      <c r="C15" s="35" t="s">
        <v>243</v>
      </c>
      <c r="D15" s="35" t="s">
        <v>244</v>
      </c>
      <c r="E15" s="347">
        <v>600100</v>
      </c>
    </row>
    <row r="16" spans="2:7" x14ac:dyDescent="0.3">
      <c r="B16" s="558"/>
      <c r="C16" s="35" t="s">
        <v>238</v>
      </c>
      <c r="D16" s="35" t="s">
        <v>245</v>
      </c>
      <c r="E16" s="347">
        <v>1100000</v>
      </c>
    </row>
    <row r="17" spans="2:7" x14ac:dyDescent="0.3">
      <c r="B17" s="558"/>
      <c r="C17" s="35" t="s">
        <v>246</v>
      </c>
      <c r="D17" s="35" t="s">
        <v>247</v>
      </c>
      <c r="E17" s="347">
        <v>424000</v>
      </c>
    </row>
    <row r="18" spans="2:7" x14ac:dyDescent="0.3">
      <c r="B18" s="558"/>
      <c r="C18" s="35" t="s">
        <v>246</v>
      </c>
      <c r="D18" s="484" t="s">
        <v>248</v>
      </c>
      <c r="E18" s="347">
        <v>331200</v>
      </c>
      <c r="G18" s="27">
        <f>E18/G9</f>
        <v>3.6395604395604395E-2</v>
      </c>
    </row>
    <row r="19" spans="2:7" x14ac:dyDescent="0.3">
      <c r="B19" s="558"/>
      <c r="C19" s="35" t="s">
        <v>246</v>
      </c>
      <c r="D19" s="35" t="s">
        <v>249</v>
      </c>
      <c r="E19" s="347">
        <v>408500</v>
      </c>
    </row>
    <row r="20" spans="2:7" x14ac:dyDescent="0.3">
      <c r="B20" s="558" t="s">
        <v>108</v>
      </c>
      <c r="C20" s="35" t="s">
        <v>231</v>
      </c>
      <c r="D20" s="484" t="s">
        <v>250</v>
      </c>
      <c r="E20" s="347">
        <v>848200</v>
      </c>
      <c r="G20" s="347">
        <v>15000000</v>
      </c>
    </row>
    <row r="21" spans="2:7" x14ac:dyDescent="0.3">
      <c r="B21" s="558"/>
      <c r="C21" s="35" t="s">
        <v>234</v>
      </c>
      <c r="D21" s="35" t="s">
        <v>251</v>
      </c>
      <c r="G21" s="27">
        <f>E20/G20</f>
        <v>5.6546666666666669E-2</v>
      </c>
    </row>
    <row r="22" spans="2:7" x14ac:dyDescent="0.3">
      <c r="B22" s="558"/>
      <c r="C22" s="35" t="s">
        <v>243</v>
      </c>
      <c r="D22" s="35" t="s">
        <v>252</v>
      </c>
    </row>
    <row r="23" spans="2:7" x14ac:dyDescent="0.3">
      <c r="B23" s="558"/>
      <c r="C23" s="35" t="s">
        <v>231</v>
      </c>
      <c r="D23" s="35" t="s">
        <v>253</v>
      </c>
    </row>
    <row r="24" spans="2:7" x14ac:dyDescent="0.3">
      <c r="B24" s="558"/>
      <c r="C24" s="35" t="s">
        <v>254</v>
      </c>
      <c r="D24" s="35" t="s">
        <v>255</v>
      </c>
    </row>
    <row r="25" spans="2:7" x14ac:dyDescent="0.3">
      <c r="B25" s="558"/>
      <c r="C25" s="35" t="s">
        <v>256</v>
      </c>
      <c r="D25" s="35" t="s">
        <v>257</v>
      </c>
    </row>
    <row r="26" spans="2:7" x14ac:dyDescent="0.3">
      <c r="B26" s="558"/>
      <c r="C26" s="35" t="s">
        <v>238</v>
      </c>
      <c r="D26" s="35" t="s">
        <v>258</v>
      </c>
    </row>
    <row r="27" spans="2:7" x14ac:dyDescent="0.3">
      <c r="B27" s="558"/>
      <c r="C27" s="35" t="s">
        <v>259</v>
      </c>
      <c r="D27" s="35" t="s">
        <v>260</v>
      </c>
    </row>
    <row r="28" spans="2:7" x14ac:dyDescent="0.3">
      <c r="B28" s="558"/>
      <c r="C28" s="35" t="s">
        <v>261</v>
      </c>
      <c r="D28" s="35" t="s">
        <v>262</v>
      </c>
    </row>
    <row r="29" spans="2:7" x14ac:dyDescent="0.3">
      <c r="B29" s="558"/>
      <c r="C29" s="35" t="s">
        <v>183</v>
      </c>
      <c r="D29" s="35" t="s">
        <v>183</v>
      </c>
    </row>
    <row r="30" spans="2:7" x14ac:dyDescent="0.3">
      <c r="B30" s="558"/>
      <c r="C30" s="35" t="s">
        <v>263</v>
      </c>
      <c r="D30" s="35" t="s">
        <v>264</v>
      </c>
    </row>
    <row r="31" spans="2:7" x14ac:dyDescent="0.3">
      <c r="B31" s="558"/>
      <c r="C31" s="35" t="s">
        <v>239</v>
      </c>
      <c r="D31" s="35" t="s">
        <v>265</v>
      </c>
    </row>
    <row r="32" spans="2:7" x14ac:dyDescent="0.3">
      <c r="B32" s="558"/>
      <c r="C32" s="35" t="s">
        <v>246</v>
      </c>
      <c r="D32" s="35" t="s">
        <v>266</v>
      </c>
    </row>
    <row r="33" spans="2:4" x14ac:dyDescent="0.3">
      <c r="B33" s="558"/>
      <c r="C33" s="35" t="s">
        <v>231</v>
      </c>
      <c r="D33" s="35" t="s">
        <v>267</v>
      </c>
    </row>
    <row r="34" spans="2:4" x14ac:dyDescent="0.3">
      <c r="B34" s="558"/>
      <c r="C34" s="35" t="s">
        <v>259</v>
      </c>
      <c r="D34" s="35" t="s">
        <v>268</v>
      </c>
    </row>
    <row r="35" spans="2:4" x14ac:dyDescent="0.3">
      <c r="B35" s="558"/>
      <c r="C35" s="35" t="s">
        <v>243</v>
      </c>
      <c r="D35" s="35" t="s">
        <v>269</v>
      </c>
    </row>
    <row r="36" spans="2:4" x14ac:dyDescent="0.3">
      <c r="B36" s="558"/>
      <c r="C36" s="35" t="s">
        <v>270</v>
      </c>
      <c r="D36" s="35" t="s">
        <v>271</v>
      </c>
    </row>
    <row r="37" spans="2:4" x14ac:dyDescent="0.3">
      <c r="B37" s="558"/>
      <c r="C37" s="35" t="s">
        <v>272</v>
      </c>
      <c r="D37" s="35" t="s">
        <v>273</v>
      </c>
    </row>
    <row r="38" spans="2:4" x14ac:dyDescent="0.3">
      <c r="B38" s="558"/>
      <c r="C38" s="35" t="s">
        <v>235</v>
      </c>
      <c r="D38" s="35" t="s">
        <v>274</v>
      </c>
    </row>
    <row r="39" spans="2:4" x14ac:dyDescent="0.3">
      <c r="B39" s="558"/>
      <c r="C39" s="35" t="s">
        <v>246</v>
      </c>
      <c r="D39" s="35" t="s">
        <v>275</v>
      </c>
    </row>
    <row r="40" spans="2:4" x14ac:dyDescent="0.3">
      <c r="B40" s="558"/>
      <c r="C40" s="35" t="s">
        <v>239</v>
      </c>
      <c r="D40" s="35" t="s">
        <v>276</v>
      </c>
    </row>
    <row r="41" spans="2:4" x14ac:dyDescent="0.3">
      <c r="B41" s="558"/>
      <c r="C41" s="35" t="s">
        <v>261</v>
      </c>
      <c r="D41" s="35" t="s">
        <v>277</v>
      </c>
    </row>
    <row r="42" spans="2:4" x14ac:dyDescent="0.3">
      <c r="B42" s="558"/>
      <c r="C42" s="35" t="s">
        <v>239</v>
      </c>
      <c r="D42" s="35" t="s">
        <v>278</v>
      </c>
    </row>
    <row r="43" spans="2:4" x14ac:dyDescent="0.3">
      <c r="B43" s="558"/>
      <c r="C43" s="35" t="s">
        <v>246</v>
      </c>
      <c r="D43" s="35" t="s">
        <v>279</v>
      </c>
    </row>
    <row r="44" spans="2:4" x14ac:dyDescent="0.3">
      <c r="B44" s="558"/>
      <c r="C44" s="35" t="s">
        <v>232</v>
      </c>
      <c r="D44" s="35" t="s">
        <v>280</v>
      </c>
    </row>
    <row r="45" spans="2:4" x14ac:dyDescent="0.3">
      <c r="B45" s="558"/>
      <c r="C45" s="35" t="s">
        <v>246</v>
      </c>
      <c r="D45" s="35" t="s">
        <v>281</v>
      </c>
    </row>
    <row r="46" spans="2:4" x14ac:dyDescent="0.3">
      <c r="B46" s="558"/>
      <c r="C46" s="35" t="s">
        <v>232</v>
      </c>
      <c r="D46" s="35" t="s">
        <v>282</v>
      </c>
    </row>
    <row r="47" spans="2:4" x14ac:dyDescent="0.3">
      <c r="B47" s="558"/>
      <c r="C47" s="35" t="s">
        <v>243</v>
      </c>
      <c r="D47" s="35" t="s">
        <v>283</v>
      </c>
    </row>
    <row r="48" spans="2:4" x14ac:dyDescent="0.3">
      <c r="B48" s="558"/>
      <c r="C48" s="35" t="s">
        <v>238</v>
      </c>
      <c r="D48" s="35" t="s">
        <v>284</v>
      </c>
    </row>
    <row r="49" spans="2:4" x14ac:dyDescent="0.3">
      <c r="B49" s="558"/>
      <c r="C49" s="35" t="s">
        <v>236</v>
      </c>
      <c r="D49" s="35" t="s">
        <v>285</v>
      </c>
    </row>
    <row r="50" spans="2:4" x14ac:dyDescent="0.3">
      <c r="B50" s="558"/>
      <c r="C50" s="35" t="s">
        <v>233</v>
      </c>
      <c r="D50" s="35" t="s">
        <v>286</v>
      </c>
    </row>
    <row r="51" spans="2:4" x14ac:dyDescent="0.3">
      <c r="B51" s="558"/>
      <c r="C51" s="35" t="s">
        <v>261</v>
      </c>
      <c r="D51" s="35" t="s">
        <v>287</v>
      </c>
    </row>
    <row r="52" spans="2:4" x14ac:dyDescent="0.3">
      <c r="B52" s="558"/>
      <c r="C52" s="35" t="s">
        <v>233</v>
      </c>
      <c r="D52" s="35" t="s">
        <v>288</v>
      </c>
    </row>
    <row r="53" spans="2:4" x14ac:dyDescent="0.3">
      <c r="B53" s="558"/>
      <c r="C53" s="35" t="s">
        <v>261</v>
      </c>
      <c r="D53" s="35" t="s">
        <v>289</v>
      </c>
    </row>
    <row r="54" spans="2:4" x14ac:dyDescent="0.3">
      <c r="B54" s="558"/>
      <c r="C54" s="35" t="s">
        <v>239</v>
      </c>
      <c r="D54" s="35" t="s">
        <v>290</v>
      </c>
    </row>
    <row r="55" spans="2:4" x14ac:dyDescent="0.3">
      <c r="B55" s="558"/>
      <c r="C55" s="35" t="s">
        <v>261</v>
      </c>
      <c r="D55" s="35" t="s">
        <v>291</v>
      </c>
    </row>
    <row r="56" spans="2:4" x14ac:dyDescent="0.3">
      <c r="B56" s="558"/>
      <c r="C56" s="35" t="s">
        <v>235</v>
      </c>
      <c r="D56" s="35" t="s">
        <v>292</v>
      </c>
    </row>
    <row r="57" spans="2:4" x14ac:dyDescent="0.3">
      <c r="B57" s="558"/>
      <c r="C57" s="35" t="s">
        <v>239</v>
      </c>
      <c r="D57" s="35" t="s">
        <v>293</v>
      </c>
    </row>
    <row r="58" spans="2:4" x14ac:dyDescent="0.3">
      <c r="B58" s="558"/>
      <c r="C58" s="35" t="s">
        <v>239</v>
      </c>
      <c r="D58" s="35" t="s">
        <v>294</v>
      </c>
    </row>
    <row r="59" spans="2:4" x14ac:dyDescent="0.3">
      <c r="B59" s="558"/>
      <c r="C59" s="35" t="s">
        <v>234</v>
      </c>
      <c r="D59" s="35" t="s">
        <v>295</v>
      </c>
    </row>
  </sheetData>
  <mergeCells count="3">
    <mergeCell ref="B3:B8"/>
    <mergeCell ref="B9:B19"/>
    <mergeCell ref="B20:B5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27FD7-5227-4350-AD7E-793B62248D78}">
  <sheetPr codeName="Sheet11"/>
  <dimension ref="A1:H21"/>
  <sheetViews>
    <sheetView zoomScale="130" zoomScaleNormal="130" workbookViewId="0">
      <selection activeCell="A7" sqref="A7"/>
    </sheetView>
  </sheetViews>
  <sheetFormatPr defaultColWidth="8" defaultRowHeight="12" x14ac:dyDescent="0.25"/>
  <cols>
    <col min="1" max="1" width="19.6640625" style="131" bestFit="1" customWidth="1"/>
    <col min="2" max="2" width="19.109375" style="131" bestFit="1" customWidth="1"/>
    <col min="3" max="3" width="16.21875" style="131" bestFit="1" customWidth="1"/>
    <col min="4" max="4" width="18.77734375" style="131" bestFit="1" customWidth="1"/>
    <col min="5" max="5" width="6.44140625" style="131" bestFit="1" customWidth="1"/>
    <col min="6" max="7" width="7.5546875" style="131" bestFit="1" customWidth="1"/>
    <col min="8" max="8" width="5.5546875" style="131" bestFit="1" customWidth="1"/>
    <col min="9" max="16384" width="8" style="131"/>
  </cols>
  <sheetData>
    <row r="1" spans="1:8" x14ac:dyDescent="0.25">
      <c r="A1" s="130" t="s">
        <v>320</v>
      </c>
      <c r="E1" s="132">
        <v>0.4</v>
      </c>
      <c r="F1" s="132">
        <v>0.4</v>
      </c>
      <c r="G1" s="132">
        <v>0.2</v>
      </c>
      <c r="H1" s="133"/>
    </row>
    <row r="2" spans="1:8" x14ac:dyDescent="0.25">
      <c r="A2" s="134" t="s">
        <v>321</v>
      </c>
      <c r="B2" s="134" t="s">
        <v>322</v>
      </c>
      <c r="C2" s="134" t="s">
        <v>323</v>
      </c>
      <c r="D2" s="134" t="s">
        <v>324</v>
      </c>
      <c r="E2" s="135" t="s">
        <v>325</v>
      </c>
      <c r="F2" s="136" t="s">
        <v>326</v>
      </c>
      <c r="G2" s="136" t="s">
        <v>327</v>
      </c>
      <c r="H2" s="136" t="s">
        <v>328</v>
      </c>
    </row>
    <row r="3" spans="1:8" x14ac:dyDescent="0.25">
      <c r="A3" s="137" t="s">
        <v>56</v>
      </c>
      <c r="B3" s="180">
        <v>3816.6480000000001</v>
      </c>
      <c r="C3" s="181">
        <v>217.86199999999999</v>
      </c>
      <c r="D3" s="182">
        <v>6.1639999999999997</v>
      </c>
      <c r="E3" s="141">
        <f t="shared" ref="E3:E21" si="0">B3/MAX(B$3:B$21)*100</f>
        <v>78.365961109486761</v>
      </c>
      <c r="F3" s="141">
        <f t="shared" ref="F3:F21" si="1">C3/MAX(C$3:C$21)*100</f>
        <v>35.943233112477891</v>
      </c>
      <c r="G3" s="141">
        <f t="shared" ref="G3:G21" si="2">D3/MAX(D$3:D$21)*100</f>
        <v>100</v>
      </c>
      <c r="H3" s="141">
        <f t="shared" ref="H3:H21" si="3">SUMPRODUCT(E$1:G$1,E3:G3)</f>
        <v>65.72367768878587</v>
      </c>
    </row>
    <row r="4" spans="1:8" x14ac:dyDescent="0.25">
      <c r="A4" s="137" t="s">
        <v>329</v>
      </c>
      <c r="B4" s="180">
        <v>4870.2879999999996</v>
      </c>
      <c r="C4" s="181">
        <v>154.673</v>
      </c>
      <c r="D4" s="182">
        <v>3.718</v>
      </c>
      <c r="E4" s="141">
        <f t="shared" si="0"/>
        <v>100</v>
      </c>
      <c r="F4" s="141">
        <f t="shared" si="1"/>
        <v>25.518207375339863</v>
      </c>
      <c r="G4" s="141">
        <f t="shared" si="2"/>
        <v>60.317975340687866</v>
      </c>
      <c r="H4" s="141">
        <f t="shared" si="3"/>
        <v>62.270878018273521</v>
      </c>
    </row>
    <row r="5" spans="1:8" x14ac:dyDescent="0.25">
      <c r="A5" s="137" t="s">
        <v>296</v>
      </c>
      <c r="B5" s="180">
        <v>2458.212</v>
      </c>
      <c r="C5" s="181">
        <v>264.34899999999999</v>
      </c>
      <c r="D5" s="182">
        <v>5.1239999999999997</v>
      </c>
      <c r="E5" s="141">
        <f t="shared" si="0"/>
        <v>50.473647554313018</v>
      </c>
      <c r="F5" s="141">
        <f t="shared" si="1"/>
        <v>43.612735263838658</v>
      </c>
      <c r="G5" s="141">
        <f t="shared" si="2"/>
        <v>83.127839065541849</v>
      </c>
      <c r="H5" s="141">
        <f t="shared" si="3"/>
        <v>54.260120940369049</v>
      </c>
    </row>
    <row r="6" spans="1:8" x14ac:dyDescent="0.25">
      <c r="A6" s="137" t="s">
        <v>330</v>
      </c>
      <c r="B6" s="180">
        <v>3099.5720000000001</v>
      </c>
      <c r="C6" s="181">
        <v>214.22200000000001</v>
      </c>
      <c r="D6" s="182">
        <v>3.9689999999999999</v>
      </c>
      <c r="E6" s="141">
        <f t="shared" si="0"/>
        <v>63.642478637813625</v>
      </c>
      <c r="F6" s="141">
        <f t="shared" si="1"/>
        <v>35.342699891772035</v>
      </c>
      <c r="G6" s="141">
        <f t="shared" si="2"/>
        <v>64.390006489292674</v>
      </c>
      <c r="H6" s="141">
        <f t="shared" si="3"/>
        <v>52.472072709692796</v>
      </c>
    </row>
    <row r="7" spans="1:8" x14ac:dyDescent="0.25">
      <c r="A7" s="142" t="s">
        <v>331</v>
      </c>
      <c r="B7" s="180">
        <v>632.05399999999997</v>
      </c>
      <c r="C7" s="181">
        <v>606.12800000000004</v>
      </c>
      <c r="D7" s="182">
        <v>1.2509999999999999</v>
      </c>
      <c r="E7" s="141">
        <f t="shared" si="0"/>
        <v>12.977754087643278</v>
      </c>
      <c r="F7" s="141">
        <f t="shared" si="1"/>
        <v>100</v>
      </c>
      <c r="G7" s="141">
        <f t="shared" si="2"/>
        <v>20.295262816353016</v>
      </c>
      <c r="H7" s="141">
        <f t="shared" si="3"/>
        <v>49.250154198327913</v>
      </c>
    </row>
    <row r="8" spans="1:8" x14ac:dyDescent="0.25">
      <c r="A8" s="142" t="s">
        <v>332</v>
      </c>
      <c r="B8" s="180">
        <v>936.85299999999995</v>
      </c>
      <c r="C8" s="181">
        <v>388.09</v>
      </c>
      <c r="D8" s="182">
        <v>5.0019999999999998</v>
      </c>
      <c r="E8" s="141">
        <f t="shared" si="0"/>
        <v>19.236090350303719</v>
      </c>
      <c r="F8" s="141">
        <f t="shared" si="1"/>
        <v>64.027730116411036</v>
      </c>
      <c r="G8" s="141">
        <f t="shared" si="2"/>
        <v>81.148604802076576</v>
      </c>
      <c r="H8" s="141">
        <f t="shared" si="3"/>
        <v>49.535249147101226</v>
      </c>
    </row>
    <row r="9" spans="1:8" x14ac:dyDescent="0.25">
      <c r="A9" s="142" t="s">
        <v>333</v>
      </c>
      <c r="B9" s="180">
        <v>3593.9920000000002</v>
      </c>
      <c r="C9" s="181">
        <v>152.26599999999999</v>
      </c>
      <c r="D9" s="182">
        <v>2.2829999999999999</v>
      </c>
      <c r="E9" s="141">
        <f t="shared" si="0"/>
        <v>73.794239683566971</v>
      </c>
      <c r="F9" s="141">
        <f t="shared" si="1"/>
        <v>25.121096534065408</v>
      </c>
      <c r="G9" s="141">
        <f t="shared" si="2"/>
        <v>37.037637897469175</v>
      </c>
      <c r="H9" s="141">
        <f t="shared" si="3"/>
        <v>46.973662066546787</v>
      </c>
    </row>
    <row r="10" spans="1:8" x14ac:dyDescent="0.25">
      <c r="A10" s="142" t="s">
        <v>297</v>
      </c>
      <c r="B10" s="180">
        <v>1170.8699999999999</v>
      </c>
      <c r="C10" s="181">
        <v>285.86200000000002</v>
      </c>
      <c r="D10" s="182">
        <v>5.93</v>
      </c>
      <c r="E10" s="141">
        <f t="shared" si="0"/>
        <v>24.041083402049324</v>
      </c>
      <c r="F10" s="141">
        <f t="shared" si="1"/>
        <v>47.161985587202707</v>
      </c>
      <c r="G10" s="141">
        <f t="shared" si="2"/>
        <v>96.203763789746915</v>
      </c>
      <c r="H10" s="141">
        <f t="shared" si="3"/>
        <v>47.721980353650196</v>
      </c>
    </row>
    <row r="11" spans="1:8" x14ac:dyDescent="0.25">
      <c r="A11" s="142" t="s">
        <v>334</v>
      </c>
      <c r="B11" s="180">
        <v>1149.1379999999999</v>
      </c>
      <c r="C11" s="181">
        <v>385.87</v>
      </c>
      <c r="D11" s="182">
        <v>3.2719999999999998</v>
      </c>
      <c r="E11" s="141">
        <f t="shared" si="0"/>
        <v>23.594867490382498</v>
      </c>
      <c r="F11" s="141">
        <f t="shared" si="1"/>
        <v>63.661470844442093</v>
      </c>
      <c r="G11" s="141">
        <f t="shared" si="2"/>
        <v>53.082414016872157</v>
      </c>
      <c r="H11" s="141">
        <f t="shared" si="3"/>
        <v>45.519018137304272</v>
      </c>
    </row>
    <row r="12" spans="1:8" x14ac:dyDescent="0.25">
      <c r="A12" s="142" t="s">
        <v>335</v>
      </c>
      <c r="B12" s="180">
        <v>1162.521</v>
      </c>
      <c r="C12" s="181">
        <v>465.25700000000001</v>
      </c>
      <c r="D12" s="182">
        <v>0.84299999999999997</v>
      </c>
      <c r="E12" s="141">
        <f t="shared" si="0"/>
        <v>23.869656168177325</v>
      </c>
      <c r="F12" s="141">
        <f t="shared" si="1"/>
        <v>76.758869413721186</v>
      </c>
      <c r="G12" s="141">
        <f t="shared" si="2"/>
        <v>13.676184295911744</v>
      </c>
      <c r="H12" s="141">
        <f t="shared" si="3"/>
        <v>42.986647091941755</v>
      </c>
    </row>
    <row r="13" spans="1:8" x14ac:dyDescent="0.25">
      <c r="A13" s="142" t="s">
        <v>336</v>
      </c>
      <c r="B13" s="180">
        <v>1145.896</v>
      </c>
      <c r="C13" s="181">
        <v>418.81700000000001</v>
      </c>
      <c r="D13" s="182">
        <v>1.474</v>
      </c>
      <c r="E13" s="141">
        <f t="shared" si="0"/>
        <v>23.528300585098872</v>
      </c>
      <c r="F13" s="141">
        <f t="shared" si="1"/>
        <v>69.097121400100306</v>
      </c>
      <c r="G13" s="141">
        <f t="shared" si="2"/>
        <v>23.913043478260871</v>
      </c>
      <c r="H13" s="141">
        <f t="shared" si="3"/>
        <v>41.832777489731846</v>
      </c>
    </row>
    <row r="14" spans="1:8" x14ac:dyDescent="0.25">
      <c r="A14" s="142" t="s">
        <v>337</v>
      </c>
      <c r="B14" s="180">
        <v>1220.963</v>
      </c>
      <c r="C14" s="181">
        <v>396.93599999999998</v>
      </c>
      <c r="D14" s="182">
        <v>1.329</v>
      </c>
      <c r="E14" s="141">
        <f t="shared" si="0"/>
        <v>25.069626272614681</v>
      </c>
      <c r="F14" s="141">
        <f t="shared" si="1"/>
        <v>65.487157828049519</v>
      </c>
      <c r="G14" s="141">
        <f t="shared" si="2"/>
        <v>21.560674886437379</v>
      </c>
      <c r="H14" s="141">
        <f t="shared" si="3"/>
        <v>40.534848617553159</v>
      </c>
    </row>
    <row r="15" spans="1:8" x14ac:dyDescent="0.25">
      <c r="A15" s="142" t="s">
        <v>338</v>
      </c>
      <c r="B15" s="180">
        <v>1369.4459999999999</v>
      </c>
      <c r="C15" s="181">
        <v>259.31299999999999</v>
      </c>
      <c r="D15" s="182">
        <v>3.8969999999999998</v>
      </c>
      <c r="E15" s="141">
        <f t="shared" si="0"/>
        <v>28.118378215004945</v>
      </c>
      <c r="F15" s="141">
        <f t="shared" si="1"/>
        <v>42.781887654092863</v>
      </c>
      <c r="G15" s="141">
        <f t="shared" si="2"/>
        <v>63.221933809214789</v>
      </c>
      <c r="H15" s="141">
        <f t="shared" si="3"/>
        <v>41.004493109482084</v>
      </c>
    </row>
    <row r="16" spans="1:8" x14ac:dyDescent="0.25">
      <c r="A16" s="142" t="s">
        <v>339</v>
      </c>
      <c r="B16" s="180">
        <v>893.89800000000002</v>
      </c>
      <c r="C16" s="181">
        <v>421.48</v>
      </c>
      <c r="D16" s="182">
        <v>1.2589999999999999</v>
      </c>
      <c r="E16" s="141">
        <f t="shared" si="0"/>
        <v>18.354109654295598</v>
      </c>
      <c r="F16" s="141">
        <f t="shared" si="1"/>
        <v>69.536467544809014</v>
      </c>
      <c r="G16" s="141">
        <f t="shared" si="2"/>
        <v>20.425048669695002</v>
      </c>
      <c r="H16" s="141">
        <f t="shared" si="3"/>
        <v>39.24124061358085</v>
      </c>
    </row>
    <row r="17" spans="1:8" x14ac:dyDescent="0.25">
      <c r="A17" s="142" t="s">
        <v>340</v>
      </c>
      <c r="B17" s="180">
        <v>1937.114</v>
      </c>
      <c r="C17" s="181">
        <v>225.494</v>
      </c>
      <c r="D17" s="182">
        <v>2.4500000000000002</v>
      </c>
      <c r="E17" s="141">
        <f t="shared" si="0"/>
        <v>39.77411602763533</v>
      </c>
      <c r="F17" s="141">
        <f t="shared" si="1"/>
        <v>37.202373096111707</v>
      </c>
      <c r="G17" s="141">
        <f t="shared" si="2"/>
        <v>39.746917585983134</v>
      </c>
      <c r="H17" s="141">
        <f t="shared" si="3"/>
        <v>38.739979166695448</v>
      </c>
    </row>
    <row r="18" spans="1:8" x14ac:dyDescent="0.25">
      <c r="A18" s="142" t="s">
        <v>298</v>
      </c>
      <c r="B18" s="180">
        <v>1348.0920000000001</v>
      </c>
      <c r="C18" s="181">
        <v>138.501</v>
      </c>
      <c r="D18" s="182">
        <v>6.0540000000000003</v>
      </c>
      <c r="E18" s="141">
        <f t="shared" si="0"/>
        <v>27.679923651332327</v>
      </c>
      <c r="F18" s="141">
        <f t="shared" si="1"/>
        <v>22.850124066203836</v>
      </c>
      <c r="G18" s="141">
        <f t="shared" si="2"/>
        <v>98.215444516547706</v>
      </c>
      <c r="H18" s="141">
        <f t="shared" si="3"/>
        <v>39.855107990324015</v>
      </c>
    </row>
    <row r="19" spans="1:8" x14ac:dyDescent="0.25">
      <c r="A19" s="142" t="s">
        <v>341</v>
      </c>
      <c r="B19" s="180">
        <v>1417.2059999999999</v>
      </c>
      <c r="C19" s="181">
        <v>253.38200000000001</v>
      </c>
      <c r="D19" s="182">
        <v>2.5070000000000001</v>
      </c>
      <c r="E19" s="141">
        <f t="shared" si="0"/>
        <v>29.099018374272735</v>
      </c>
      <c r="F19" s="141">
        <f t="shared" si="1"/>
        <v>41.803381463981204</v>
      </c>
      <c r="G19" s="141">
        <f t="shared" si="2"/>
        <v>40.671641791044784</v>
      </c>
      <c r="H19" s="141">
        <f t="shared" si="3"/>
        <v>36.495288293510534</v>
      </c>
    </row>
    <row r="20" spans="1:8" x14ac:dyDescent="0.25">
      <c r="A20" s="142" t="s">
        <v>342</v>
      </c>
      <c r="B20" s="180">
        <v>1810.9659999999999</v>
      </c>
      <c r="C20" s="181">
        <v>263.33199999999999</v>
      </c>
      <c r="D20" s="182">
        <v>0.83399999999999996</v>
      </c>
      <c r="E20" s="141">
        <f t="shared" si="0"/>
        <v>37.183961194902643</v>
      </c>
      <c r="F20" s="141">
        <f t="shared" si="1"/>
        <v>43.444948921679902</v>
      </c>
      <c r="G20" s="141">
        <f t="shared" si="2"/>
        <v>13.530175210902012</v>
      </c>
      <c r="H20" s="141">
        <f t="shared" si="3"/>
        <v>34.957599088813424</v>
      </c>
    </row>
    <row r="21" spans="1:8" x14ac:dyDescent="0.25">
      <c r="A21" s="142" t="s">
        <v>343</v>
      </c>
      <c r="B21" s="180">
        <v>646.56600000000003</v>
      </c>
      <c r="C21" s="181">
        <v>328.64400000000001</v>
      </c>
      <c r="D21" s="182">
        <v>1.4750000000000001</v>
      </c>
      <c r="E21" s="141">
        <f t="shared" si="0"/>
        <v>13.275724146087461</v>
      </c>
      <c r="F21" s="141">
        <f t="shared" si="1"/>
        <v>54.220230710345007</v>
      </c>
      <c r="G21" s="141">
        <f t="shared" si="2"/>
        <v>23.929266709928619</v>
      </c>
      <c r="H21" s="141">
        <f t="shared" si="3"/>
        <v>31.784235284558715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CE0B-9C5C-4F22-99A6-234A9BB1AEE2}">
  <sheetPr codeName="Sheet12"/>
  <dimension ref="B1:I39"/>
  <sheetViews>
    <sheetView zoomScale="150" zoomScaleNormal="150" workbookViewId="0">
      <selection activeCell="B31" sqref="B31"/>
    </sheetView>
  </sheetViews>
  <sheetFormatPr defaultColWidth="8.88671875" defaultRowHeight="12" x14ac:dyDescent="0.25"/>
  <cols>
    <col min="1" max="1" width="8.88671875" style="131"/>
    <col min="2" max="2" width="30.77734375" style="131" bestFit="1" customWidth="1"/>
    <col min="3" max="3" width="6.44140625" style="131" customWidth="1"/>
    <col min="4" max="4" width="16.33203125" style="131" customWidth="1"/>
    <col min="5" max="5" width="18.88671875" style="131" customWidth="1"/>
    <col min="6" max="6" width="6.44140625" style="131" bestFit="1" customWidth="1"/>
    <col min="7" max="8" width="7.5546875" style="131" bestFit="1" customWidth="1"/>
    <col min="9" max="9" width="5.5546875" style="131" bestFit="1" customWidth="1"/>
    <col min="10" max="16384" width="8.88671875" style="131"/>
  </cols>
  <sheetData>
    <row r="1" spans="2:9" x14ac:dyDescent="0.25">
      <c r="B1" s="130" t="s">
        <v>320</v>
      </c>
      <c r="F1" s="132">
        <v>0.5</v>
      </c>
      <c r="G1" s="132">
        <v>0.5</v>
      </c>
      <c r="H1" s="132">
        <v>0.2</v>
      </c>
      <c r="I1" s="133"/>
    </row>
    <row r="2" spans="2:9" x14ac:dyDescent="0.25">
      <c r="B2" s="134" t="s">
        <v>56</v>
      </c>
      <c r="C2" s="134" t="s">
        <v>349</v>
      </c>
      <c r="D2" s="134" t="s">
        <v>323</v>
      </c>
      <c r="E2" s="134" t="s">
        <v>324</v>
      </c>
      <c r="F2" s="135" t="s">
        <v>325</v>
      </c>
      <c r="G2" s="136" t="s">
        <v>326</v>
      </c>
      <c r="H2" s="136" t="s">
        <v>327</v>
      </c>
      <c r="I2" s="136" t="s">
        <v>328</v>
      </c>
    </row>
    <row r="3" spans="2:9" x14ac:dyDescent="0.25">
      <c r="B3" s="145" t="s">
        <v>350</v>
      </c>
      <c r="C3" s="146">
        <v>86.799000000000007</v>
      </c>
      <c r="D3" s="139">
        <v>99.641000000000005</v>
      </c>
      <c r="E3" s="138">
        <v>9.7110000000000003</v>
      </c>
      <c r="F3" s="141">
        <f t="shared" ref="F3:H8" si="0">C3/MAX(C$3:C$8)*100</f>
        <v>100</v>
      </c>
      <c r="G3" s="141">
        <f t="shared" si="0"/>
        <v>88.506839580742593</v>
      </c>
      <c r="H3" s="141">
        <f t="shared" si="0"/>
        <v>7.2945382980161799</v>
      </c>
      <c r="I3" s="141">
        <f t="shared" ref="I3:I8" si="1">SUMPRODUCT(F$1:H$1,F3:H3)</f>
        <v>95.712327449974538</v>
      </c>
    </row>
    <row r="4" spans="2:9" x14ac:dyDescent="0.25">
      <c r="B4" s="145" t="s">
        <v>351</v>
      </c>
      <c r="C4" s="146">
        <v>22.001999999999999</v>
      </c>
      <c r="D4" s="139">
        <v>100.96299999999999</v>
      </c>
      <c r="E4" s="138">
        <v>133.12700000000001</v>
      </c>
      <c r="F4" s="141">
        <f t="shared" si="0"/>
        <v>25.348218297445818</v>
      </c>
      <c r="G4" s="141">
        <f t="shared" si="0"/>
        <v>89.681115651092554</v>
      </c>
      <c r="H4" s="141">
        <f t="shared" si="0"/>
        <v>100</v>
      </c>
      <c r="I4" s="141">
        <f t="shared" si="1"/>
        <v>77.51466697426919</v>
      </c>
    </row>
    <row r="5" spans="2:9" x14ac:dyDescent="0.25">
      <c r="B5" s="145" t="s">
        <v>207</v>
      </c>
      <c r="C5" s="146">
        <v>12.297000000000001</v>
      </c>
      <c r="D5" s="139">
        <v>112.58</v>
      </c>
      <c r="E5" s="138">
        <v>7.4740000000000002</v>
      </c>
      <c r="F5" s="141">
        <f t="shared" si="0"/>
        <v>14.167213907994331</v>
      </c>
      <c r="G5" s="141">
        <f t="shared" si="0"/>
        <v>100</v>
      </c>
      <c r="H5" s="141">
        <f t="shared" si="0"/>
        <v>5.6141879558616958</v>
      </c>
      <c r="I5" s="141">
        <f t="shared" si="1"/>
        <v>58.206444545169504</v>
      </c>
    </row>
    <row r="6" spans="2:9" x14ac:dyDescent="0.25">
      <c r="B6" s="145" t="s">
        <v>352</v>
      </c>
      <c r="C6" s="146">
        <v>19.033000000000001</v>
      </c>
      <c r="D6" s="139">
        <v>99.039000000000001</v>
      </c>
      <c r="E6" s="138">
        <v>21.143999999999998</v>
      </c>
      <c r="F6" s="141">
        <f t="shared" si="0"/>
        <v>21.927671977787764</v>
      </c>
      <c r="G6" s="141">
        <f t="shared" si="0"/>
        <v>87.972108722686087</v>
      </c>
      <c r="H6" s="141">
        <f t="shared" si="0"/>
        <v>15.882578289903623</v>
      </c>
      <c r="I6" s="141">
        <f t="shared" si="1"/>
        <v>58.12640600821765</v>
      </c>
    </row>
    <row r="7" spans="2:9" x14ac:dyDescent="0.25">
      <c r="B7" s="145" t="s">
        <v>353</v>
      </c>
      <c r="C7" s="146">
        <v>5.5</v>
      </c>
      <c r="D7" s="139">
        <v>112</v>
      </c>
      <c r="E7" s="138">
        <v>7.7</v>
      </c>
      <c r="F7" s="141">
        <f t="shared" si="0"/>
        <v>6.33647853085865</v>
      </c>
      <c r="G7" s="141">
        <f t="shared" si="0"/>
        <v>99.484810801208027</v>
      </c>
      <c r="H7" s="141">
        <f t="shared" si="0"/>
        <v>5.7839506636520008</v>
      </c>
      <c r="I7" s="141">
        <f t="shared" si="1"/>
        <v>54.067434798763742</v>
      </c>
    </row>
    <row r="8" spans="2:9" x14ac:dyDescent="0.25">
      <c r="B8" s="145" t="s">
        <v>354</v>
      </c>
      <c r="C8" s="146">
        <v>17.010000000000002</v>
      </c>
      <c r="D8" s="139">
        <v>95.659000000000006</v>
      </c>
      <c r="E8" s="138">
        <v>2.472</v>
      </c>
      <c r="F8" s="141">
        <f t="shared" si="0"/>
        <v>19.596999965437391</v>
      </c>
      <c r="G8" s="141">
        <f t="shared" si="0"/>
        <v>84.969799253863926</v>
      </c>
      <c r="H8" s="141">
        <f t="shared" si="0"/>
        <v>1.8568735117594475</v>
      </c>
      <c r="I8" s="141">
        <f t="shared" si="1"/>
        <v>52.654774312002544</v>
      </c>
    </row>
    <row r="10" spans="2:9" x14ac:dyDescent="0.25">
      <c r="B10" s="136" t="s">
        <v>70</v>
      </c>
      <c r="C10" s="136" t="s">
        <v>349</v>
      </c>
      <c r="D10" s="136" t="s">
        <v>323</v>
      </c>
      <c r="E10" s="136" t="s">
        <v>324</v>
      </c>
      <c r="F10" s="135" t="s">
        <v>325</v>
      </c>
      <c r="G10" s="136" t="s">
        <v>326</v>
      </c>
      <c r="H10" s="136" t="s">
        <v>327</v>
      </c>
      <c r="I10" s="136" t="s">
        <v>328</v>
      </c>
    </row>
    <row r="11" spans="2:9" x14ac:dyDescent="0.25">
      <c r="B11" s="137" t="s">
        <v>355</v>
      </c>
      <c r="C11" s="146">
        <v>84.820999999999998</v>
      </c>
      <c r="D11" s="139">
        <v>103.401</v>
      </c>
      <c r="E11" s="138">
        <v>2.2290000000000001</v>
      </c>
      <c r="F11" s="141">
        <f t="shared" ref="F11:F21" si="2">C11/MAX(C$11:C$21)*100</f>
        <v>100</v>
      </c>
      <c r="G11" s="141">
        <f t="shared" ref="G11:G21" si="3">D11/MAX(D$11:D$21)*100</f>
        <v>97.312177080098238</v>
      </c>
      <c r="H11" s="141">
        <f t="shared" ref="H11:H21" si="4">E11/MAX(E$11:E$21)*100</f>
        <v>43.886591848789138</v>
      </c>
      <c r="I11" s="141">
        <f t="shared" ref="I11:I21" si="5">SUMPRODUCT(F$1:H$1,F11:H11)</f>
        <v>107.43340690980695</v>
      </c>
    </row>
    <row r="12" spans="2:9" x14ac:dyDescent="0.25">
      <c r="B12" s="145" t="s">
        <v>356</v>
      </c>
      <c r="C12" s="146">
        <v>68.135999999999996</v>
      </c>
      <c r="D12" s="139">
        <v>105.589</v>
      </c>
      <c r="E12" s="138">
        <v>4.3090000000000002</v>
      </c>
      <c r="F12" s="141">
        <f t="shared" si="2"/>
        <v>80.329163768406403</v>
      </c>
      <c r="G12" s="141">
        <f t="shared" si="3"/>
        <v>99.371335535541178</v>
      </c>
      <c r="H12" s="141">
        <f t="shared" si="4"/>
        <v>84.839535341602684</v>
      </c>
      <c r="I12" s="141">
        <f t="shared" si="5"/>
        <v>106.81815672029434</v>
      </c>
    </row>
    <row r="13" spans="2:9" x14ac:dyDescent="0.25">
      <c r="B13" s="145" t="s">
        <v>357</v>
      </c>
      <c r="C13" s="146">
        <v>60.106999999999999</v>
      </c>
      <c r="D13" s="139">
        <v>97.423000000000002</v>
      </c>
      <c r="E13" s="138">
        <v>5.0789999999999997</v>
      </c>
      <c r="F13" s="141">
        <f t="shared" si="2"/>
        <v>70.863347520071684</v>
      </c>
      <c r="G13" s="141">
        <f t="shared" si="3"/>
        <v>91.686194791872538</v>
      </c>
      <c r="H13" s="141">
        <f t="shared" si="4"/>
        <v>100</v>
      </c>
      <c r="I13" s="141">
        <f t="shared" si="5"/>
        <v>101.2747711559721</v>
      </c>
    </row>
    <row r="14" spans="2:9" x14ac:dyDescent="0.25">
      <c r="B14" s="137" t="s">
        <v>358</v>
      </c>
      <c r="C14" s="146">
        <v>25.387</v>
      </c>
      <c r="D14" s="139">
        <v>106.25700000000001</v>
      </c>
      <c r="E14" s="138">
        <v>4.1820000000000004</v>
      </c>
      <c r="F14" s="141">
        <f t="shared" si="2"/>
        <v>29.930088067813397</v>
      </c>
      <c r="G14" s="141">
        <f t="shared" si="3"/>
        <v>100</v>
      </c>
      <c r="H14" s="141">
        <f t="shared" si="4"/>
        <v>82.339043118724177</v>
      </c>
      <c r="I14" s="141">
        <f t="shared" si="5"/>
        <v>81.432852657651523</v>
      </c>
    </row>
    <row r="15" spans="2:9" x14ac:dyDescent="0.25">
      <c r="B15" s="137" t="s">
        <v>359</v>
      </c>
      <c r="C15" s="146">
        <v>20.530999999999999</v>
      </c>
      <c r="D15" s="139">
        <v>105.538</v>
      </c>
      <c r="E15" s="138">
        <v>2.9289999999999998</v>
      </c>
      <c r="F15" s="141">
        <f t="shared" si="2"/>
        <v>24.205090720458379</v>
      </c>
      <c r="G15" s="141">
        <f t="shared" si="3"/>
        <v>99.323338697685799</v>
      </c>
      <c r="H15" s="141">
        <f t="shared" si="4"/>
        <v>57.66883244733215</v>
      </c>
      <c r="I15" s="141">
        <f t="shared" si="5"/>
        <v>73.297981198538523</v>
      </c>
    </row>
    <row r="16" spans="2:9" x14ac:dyDescent="0.25">
      <c r="B16" s="137" t="s">
        <v>360</v>
      </c>
      <c r="C16" s="146">
        <v>16.414000000000001</v>
      </c>
      <c r="D16" s="139">
        <v>98.747</v>
      </c>
      <c r="E16" s="138">
        <v>2.68</v>
      </c>
      <c r="F16" s="141">
        <f t="shared" si="2"/>
        <v>19.351339880454134</v>
      </c>
      <c r="G16" s="141">
        <f t="shared" si="3"/>
        <v>92.932230347177125</v>
      </c>
      <c r="H16" s="141">
        <f t="shared" si="4"/>
        <v>52.766292577278996</v>
      </c>
      <c r="I16" s="141">
        <f t="shared" si="5"/>
        <v>66.695043629271424</v>
      </c>
    </row>
    <row r="17" spans="2:9" x14ac:dyDescent="0.25">
      <c r="B17" s="145" t="s">
        <v>361</v>
      </c>
      <c r="C17" s="146">
        <v>18.878</v>
      </c>
      <c r="D17" s="139">
        <v>82.504000000000005</v>
      </c>
      <c r="E17" s="138">
        <v>2.9740000000000002</v>
      </c>
      <c r="F17" s="141">
        <f t="shared" si="2"/>
        <v>22.256280873840208</v>
      </c>
      <c r="G17" s="141">
        <f t="shared" si="3"/>
        <v>77.645708047469824</v>
      </c>
      <c r="H17" s="141">
        <f t="shared" si="4"/>
        <v>58.554833628667069</v>
      </c>
      <c r="I17" s="141">
        <f t="shared" si="5"/>
        <v>61.661961186388432</v>
      </c>
    </row>
    <row r="18" spans="2:9" x14ac:dyDescent="0.25">
      <c r="B18" s="137" t="s">
        <v>362</v>
      </c>
      <c r="C18" s="146">
        <v>9.6989999999999998</v>
      </c>
      <c r="D18" s="139">
        <v>96.370999999999995</v>
      </c>
      <c r="E18" s="138"/>
      <c r="F18" s="141">
        <f t="shared" si="2"/>
        <v>11.434668301481944</v>
      </c>
      <c r="G18" s="141">
        <f t="shared" si="3"/>
        <v>90.696142371796668</v>
      </c>
      <c r="H18" s="141">
        <f t="shared" si="4"/>
        <v>0</v>
      </c>
      <c r="I18" s="141">
        <f t="shared" si="5"/>
        <v>51.065405336639309</v>
      </c>
    </row>
    <row r="19" spans="2:9" x14ac:dyDescent="0.25">
      <c r="B19" s="137" t="s">
        <v>363</v>
      </c>
      <c r="C19" s="146">
        <v>8.7910000000000004</v>
      </c>
      <c r="D19" s="139">
        <v>91.846000000000004</v>
      </c>
      <c r="E19" s="138">
        <v>2.645</v>
      </c>
      <c r="F19" s="141">
        <f t="shared" si="2"/>
        <v>10.364178682165974</v>
      </c>
      <c r="G19" s="141">
        <f t="shared" si="3"/>
        <v>86.437599405215664</v>
      </c>
      <c r="H19" s="141">
        <f t="shared" si="4"/>
        <v>52.077180547351844</v>
      </c>
      <c r="I19" s="141">
        <f t="shared" si="5"/>
        <v>58.816325153161188</v>
      </c>
    </row>
    <row r="20" spans="2:9" x14ac:dyDescent="0.25">
      <c r="B20" s="145" t="s">
        <v>364</v>
      </c>
      <c r="C20" s="146">
        <v>2.9279999999999999</v>
      </c>
      <c r="D20" s="139">
        <v>97.353999999999999</v>
      </c>
      <c r="E20" s="138"/>
      <c r="F20" s="141">
        <f t="shared" si="2"/>
        <v>3.451975336296436</v>
      </c>
      <c r="G20" s="141">
        <f t="shared" si="3"/>
        <v>91.621257893597601</v>
      </c>
      <c r="H20" s="141">
        <f t="shared" si="4"/>
        <v>0</v>
      </c>
      <c r="I20" s="141">
        <f t="shared" si="5"/>
        <v>47.536616614947022</v>
      </c>
    </row>
    <row r="21" spans="2:9" x14ac:dyDescent="0.25">
      <c r="B21" s="137" t="s">
        <v>365</v>
      </c>
      <c r="C21" s="146">
        <v>4.8650000000000002</v>
      </c>
      <c r="D21" s="139">
        <v>86.527000000000001</v>
      </c>
      <c r="E21" s="138">
        <v>3.2490000000000001</v>
      </c>
      <c r="F21" s="141">
        <f t="shared" si="2"/>
        <v>5.7356079272821594</v>
      </c>
      <c r="G21" s="141">
        <f t="shared" si="3"/>
        <v>81.43181155123898</v>
      </c>
      <c r="H21" s="141">
        <f t="shared" si="4"/>
        <v>63.969285292380398</v>
      </c>
      <c r="I21" s="141">
        <f t="shared" si="5"/>
        <v>56.377566797736648</v>
      </c>
    </row>
    <row r="22" spans="2:9" x14ac:dyDescent="0.25">
      <c r="C22" s="147"/>
      <c r="D22" s="148"/>
      <c r="E22" s="149"/>
    </row>
    <row r="23" spans="2:9" x14ac:dyDescent="0.25">
      <c r="B23" s="150" t="s">
        <v>127</v>
      </c>
      <c r="C23" s="150" t="s">
        <v>349</v>
      </c>
      <c r="D23" s="150" t="s">
        <v>323</v>
      </c>
      <c r="E23" s="150" t="s">
        <v>324</v>
      </c>
      <c r="F23" s="150" t="s">
        <v>325</v>
      </c>
      <c r="G23" s="134" t="s">
        <v>326</v>
      </c>
      <c r="H23" s="134" t="s">
        <v>327</v>
      </c>
      <c r="I23" s="134" t="s">
        <v>328</v>
      </c>
    </row>
    <row r="24" spans="2:9" x14ac:dyDescent="0.25">
      <c r="B24" s="145" t="s">
        <v>366</v>
      </c>
      <c r="C24" s="146">
        <v>45.14</v>
      </c>
      <c r="D24" s="139">
        <v>107.032</v>
      </c>
      <c r="E24" s="140">
        <v>2.86</v>
      </c>
      <c r="F24" s="141">
        <f t="shared" ref="F24:F37" si="6">C24/MAX(C$11:C$21)*100</f>
        <v>53.217953101236724</v>
      </c>
      <c r="G24" s="141">
        <f t="shared" ref="G24:G37" si="7">D24/MAX(D$11:D$21)*100</f>
        <v>100.72936371250833</v>
      </c>
      <c r="H24" s="141">
        <f t="shared" ref="H24:H37" si="8">E24/MAX(E$11:E$21)*100</f>
        <v>56.310297302618629</v>
      </c>
      <c r="I24" s="141">
        <f t="shared" ref="I24:I37" si="9">SUMPRODUCT(F$1:H$1,F24:H24)</f>
        <v>88.235717867396261</v>
      </c>
    </row>
    <row r="25" spans="2:9" x14ac:dyDescent="0.25">
      <c r="B25" s="137" t="s">
        <v>367</v>
      </c>
      <c r="C25" s="146">
        <v>50.993000000000002</v>
      </c>
      <c r="D25" s="139">
        <v>107.048</v>
      </c>
      <c r="E25" s="140">
        <v>1.625</v>
      </c>
      <c r="F25" s="141">
        <f t="shared" si="6"/>
        <v>60.118366913853883</v>
      </c>
      <c r="G25" s="141">
        <f t="shared" si="7"/>
        <v>100.74442154399239</v>
      </c>
      <c r="H25" s="141">
        <f t="shared" si="8"/>
        <v>31.994487103760584</v>
      </c>
      <c r="I25" s="141">
        <f t="shared" si="9"/>
        <v>86.83029164967526</v>
      </c>
    </row>
    <row r="26" spans="2:9" x14ac:dyDescent="0.25">
      <c r="B26" s="145" t="s">
        <v>368</v>
      </c>
      <c r="C26" s="146">
        <v>35.869</v>
      </c>
      <c r="D26" s="139">
        <v>103.861</v>
      </c>
      <c r="E26" s="140">
        <v>1.1639999999999999</v>
      </c>
      <c r="F26" s="141">
        <f t="shared" si="6"/>
        <v>42.287876822956576</v>
      </c>
      <c r="G26" s="141">
        <f t="shared" si="7"/>
        <v>97.7450897352645</v>
      </c>
      <c r="H26" s="141">
        <f t="shared" si="8"/>
        <v>22.917897223862965</v>
      </c>
      <c r="I26" s="141">
        <f t="shared" si="9"/>
        <v>74.600062723883127</v>
      </c>
    </row>
    <row r="27" spans="2:9" x14ac:dyDescent="0.25">
      <c r="B27" s="137" t="s">
        <v>369</v>
      </c>
      <c r="C27" s="146">
        <v>15.391</v>
      </c>
      <c r="D27" s="139">
        <v>80.233000000000004</v>
      </c>
      <c r="E27" s="140">
        <v>7.03</v>
      </c>
      <c r="F27" s="141">
        <f t="shared" si="6"/>
        <v>18.145270628735808</v>
      </c>
      <c r="G27" s="141">
        <f t="shared" si="7"/>
        <v>75.508437091203405</v>
      </c>
      <c r="H27" s="141">
        <f t="shared" si="8"/>
        <v>138.41307343965349</v>
      </c>
      <c r="I27" s="141">
        <f t="shared" si="9"/>
        <v>74.509468547900298</v>
      </c>
    </row>
    <row r="28" spans="2:9" x14ac:dyDescent="0.25">
      <c r="B28" s="137" t="s">
        <v>370</v>
      </c>
      <c r="C28" s="146">
        <v>17.425999999999998</v>
      </c>
      <c r="D28" s="139">
        <v>101.288</v>
      </c>
      <c r="E28" s="140">
        <v>2.9569999999999999</v>
      </c>
      <c r="F28" s="141">
        <f t="shared" si="6"/>
        <v>20.54444064559484</v>
      </c>
      <c r="G28" s="141">
        <f t="shared" si="7"/>
        <v>95.323602209736762</v>
      </c>
      <c r="H28" s="141">
        <f t="shared" si="8"/>
        <v>58.22012207127387</v>
      </c>
      <c r="I28" s="141">
        <f t="shared" si="9"/>
        <v>69.57804584192057</v>
      </c>
    </row>
    <row r="29" spans="2:9" x14ac:dyDescent="0.25">
      <c r="B29" s="137" t="s">
        <v>371</v>
      </c>
      <c r="C29" s="146">
        <v>31.053000000000001</v>
      </c>
      <c r="D29" s="139">
        <v>108.169</v>
      </c>
      <c r="E29" s="140">
        <v>8.3000000000000004E-2</v>
      </c>
      <c r="F29" s="141">
        <f t="shared" si="6"/>
        <v>36.61003760861108</v>
      </c>
      <c r="G29" s="141">
        <f t="shared" si="7"/>
        <v>101.79941086234319</v>
      </c>
      <c r="H29" s="141">
        <f t="shared" si="8"/>
        <v>1.6341799566843869</v>
      </c>
      <c r="I29" s="141">
        <f t="shared" si="9"/>
        <v>69.531560226814008</v>
      </c>
    </row>
    <row r="30" spans="2:9" x14ac:dyDescent="0.25">
      <c r="B30" s="137" t="s">
        <v>372</v>
      </c>
      <c r="C30" s="146">
        <v>9.3559999999999999</v>
      </c>
      <c r="D30" s="139">
        <v>110.60299999999999</v>
      </c>
      <c r="E30" s="140">
        <v>3.0390000000000001</v>
      </c>
      <c r="F30" s="141">
        <f t="shared" si="6"/>
        <v>11.03028731092536</v>
      </c>
      <c r="G30" s="141">
        <f t="shared" si="7"/>
        <v>104.09008347685329</v>
      </c>
      <c r="H30" s="141">
        <f t="shared" si="8"/>
        <v>59.834613112817493</v>
      </c>
      <c r="I30" s="141">
        <f t="shared" si="9"/>
        <v>69.527108016452829</v>
      </c>
    </row>
    <row r="31" spans="2:9" x14ac:dyDescent="0.25">
      <c r="B31" s="145" t="s">
        <v>373</v>
      </c>
      <c r="C31" s="146">
        <v>6.0789999999999997</v>
      </c>
      <c r="D31" s="139">
        <v>111.46899999999999</v>
      </c>
      <c r="E31" s="140">
        <v>3.4159999999999999</v>
      </c>
      <c r="F31" s="141">
        <f t="shared" si="6"/>
        <v>7.166857264120913</v>
      </c>
      <c r="G31" s="141">
        <f t="shared" si="7"/>
        <v>104.90508860592713</v>
      </c>
      <c r="H31" s="141">
        <f t="shared" si="8"/>
        <v>67.257334120889951</v>
      </c>
      <c r="I31" s="141">
        <f t="shared" si="9"/>
        <v>69.487439759202005</v>
      </c>
    </row>
    <row r="32" spans="2:9" x14ac:dyDescent="0.25">
      <c r="B32" s="137" t="s">
        <v>374</v>
      </c>
      <c r="C32" s="146">
        <v>13.433999999999999</v>
      </c>
      <c r="D32" s="139">
        <v>105.968</v>
      </c>
      <c r="E32" s="140">
        <v>2.3919999999999999</v>
      </c>
      <c r="F32" s="141">
        <f t="shared" si="6"/>
        <v>15.838058971245328</v>
      </c>
      <c r="G32" s="141">
        <f t="shared" si="7"/>
        <v>99.728017918819461</v>
      </c>
      <c r="H32" s="141">
        <f t="shared" si="8"/>
        <v>47.095885016735579</v>
      </c>
      <c r="I32" s="141">
        <f t="shared" si="9"/>
        <v>67.202215448379519</v>
      </c>
    </row>
    <row r="33" spans="2:9" x14ac:dyDescent="0.25">
      <c r="B33" s="137" t="s">
        <v>375</v>
      </c>
      <c r="C33" s="146">
        <v>28.869</v>
      </c>
      <c r="D33" s="139">
        <v>104.062</v>
      </c>
      <c r="E33" s="151"/>
      <c r="F33" s="141">
        <f t="shared" si="6"/>
        <v>34.035203546291605</v>
      </c>
      <c r="G33" s="141">
        <f t="shared" si="7"/>
        <v>97.934253743282781</v>
      </c>
      <c r="H33" s="141">
        <f t="shared" si="8"/>
        <v>0</v>
      </c>
      <c r="I33" s="141">
        <f t="shared" si="9"/>
        <v>65.984728644787197</v>
      </c>
    </row>
    <row r="34" spans="2:9" x14ac:dyDescent="0.25">
      <c r="B34" s="137" t="s">
        <v>376</v>
      </c>
      <c r="C34" s="146">
        <v>3.141</v>
      </c>
      <c r="D34" s="139">
        <v>112.535</v>
      </c>
      <c r="E34" s="140">
        <v>2.4039999999999999</v>
      </c>
      <c r="F34" s="141">
        <f t="shared" si="6"/>
        <v>3.7030923945720988</v>
      </c>
      <c r="G34" s="141">
        <f t="shared" si="7"/>
        <v>105.90831662855152</v>
      </c>
      <c r="H34" s="141">
        <f t="shared" si="8"/>
        <v>47.332151998424891</v>
      </c>
      <c r="I34" s="141">
        <f t="shared" si="9"/>
        <v>64.272134911246781</v>
      </c>
    </row>
    <row r="35" spans="2:9" x14ac:dyDescent="0.25">
      <c r="B35" s="137" t="s">
        <v>377</v>
      </c>
      <c r="C35" s="146">
        <v>3.0259999999999998</v>
      </c>
      <c r="D35" s="139">
        <v>109.82599999999999</v>
      </c>
      <c r="E35" s="140">
        <v>2.6</v>
      </c>
      <c r="F35" s="141">
        <f t="shared" si="6"/>
        <v>3.5675127621697458</v>
      </c>
      <c r="G35" s="141">
        <f t="shared" si="7"/>
        <v>103.35883753540942</v>
      </c>
      <c r="H35" s="141">
        <f t="shared" si="8"/>
        <v>51.191179366016939</v>
      </c>
      <c r="I35" s="141">
        <f t="shared" si="9"/>
        <v>63.701411021992968</v>
      </c>
    </row>
    <row r="36" spans="2:9" x14ac:dyDescent="0.25">
      <c r="B36" s="137" t="s">
        <v>378</v>
      </c>
      <c r="C36" s="146">
        <v>6.8719999999999999</v>
      </c>
      <c r="D36" s="139">
        <v>114.131</v>
      </c>
      <c r="E36" s="140">
        <v>1.4570000000000001</v>
      </c>
      <c r="F36" s="141">
        <f t="shared" si="6"/>
        <v>8.1017672510345324</v>
      </c>
      <c r="G36" s="141">
        <f t="shared" si="7"/>
        <v>107.41033531908487</v>
      </c>
      <c r="H36" s="141">
        <f t="shared" si="8"/>
        <v>28.686749360110259</v>
      </c>
      <c r="I36" s="141">
        <f t="shared" si="9"/>
        <v>63.493401157081749</v>
      </c>
    </row>
    <row r="37" spans="2:9" x14ac:dyDescent="0.25">
      <c r="B37" s="137" t="s">
        <v>379</v>
      </c>
      <c r="C37" s="146">
        <v>6.8470000000000004</v>
      </c>
      <c r="D37" s="139">
        <v>101.803</v>
      </c>
      <c r="E37" s="140">
        <v>2.76</v>
      </c>
      <c r="F37" s="141">
        <f t="shared" si="6"/>
        <v>8.0722934179035875</v>
      </c>
      <c r="G37" s="141">
        <f t="shared" si="7"/>
        <v>95.808276160629418</v>
      </c>
      <c r="H37" s="141">
        <f t="shared" si="8"/>
        <v>54.341405788541053</v>
      </c>
      <c r="I37" s="141">
        <f t="shared" si="9"/>
        <v>62.80856594697471</v>
      </c>
    </row>
    <row r="39" spans="2:9" x14ac:dyDescent="0.25">
      <c r="C39" s="147"/>
      <c r="D39" s="148"/>
      <c r="E39" s="1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1925-E7FD-488E-B117-CA2B90B5F0C5}">
  <sheetPr codeName="Sheet13"/>
  <dimension ref="B2:E7"/>
  <sheetViews>
    <sheetView workbookViewId="0">
      <selection activeCell="N17" sqref="N17"/>
    </sheetView>
  </sheetViews>
  <sheetFormatPr defaultRowHeight="14.4" x14ac:dyDescent="0.3"/>
  <cols>
    <col min="3" max="3" width="12.33203125" bestFit="1" customWidth="1"/>
  </cols>
  <sheetData>
    <row r="2" spans="2:5" x14ac:dyDescent="0.3">
      <c r="B2" t="s">
        <v>300</v>
      </c>
    </row>
    <row r="3" spans="2:5" x14ac:dyDescent="0.3">
      <c r="B3" s="99"/>
      <c r="C3" s="112" t="s">
        <v>301</v>
      </c>
      <c r="D3" s="112" t="s">
        <v>141</v>
      </c>
      <c r="E3" s="112" t="s">
        <v>302</v>
      </c>
    </row>
    <row r="4" spans="2:5" x14ac:dyDescent="0.3">
      <c r="B4" s="35" t="s">
        <v>303</v>
      </c>
      <c r="C4" s="29">
        <v>1800000</v>
      </c>
      <c r="D4" s="35" t="s">
        <v>304</v>
      </c>
      <c r="E4" s="35">
        <v>230</v>
      </c>
    </row>
    <row r="5" spans="2:5" x14ac:dyDescent="0.3">
      <c r="B5" s="35" t="s">
        <v>303</v>
      </c>
      <c r="C5" s="29">
        <v>720000</v>
      </c>
      <c r="D5" s="35" t="s">
        <v>305</v>
      </c>
      <c r="E5" s="35">
        <v>240</v>
      </c>
    </row>
    <row r="6" spans="2:5" x14ac:dyDescent="0.3">
      <c r="B6" s="35" t="s">
        <v>119</v>
      </c>
      <c r="C6" s="29">
        <v>470000</v>
      </c>
      <c r="D6" s="35" t="s">
        <v>304</v>
      </c>
      <c r="E6" s="35">
        <v>250</v>
      </c>
    </row>
    <row r="7" spans="2:5" x14ac:dyDescent="0.3">
      <c r="B7" s="35" t="s">
        <v>119</v>
      </c>
      <c r="C7" s="29">
        <v>290000</v>
      </c>
      <c r="D7" s="35" t="s">
        <v>305</v>
      </c>
      <c r="E7" s="35">
        <v>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8C7E8-6CF6-46A8-B998-A45FB281BFCE}">
  <sheetPr codeName="Sheet2"/>
  <dimension ref="B2:L30"/>
  <sheetViews>
    <sheetView showGridLines="0" topLeftCell="B1" workbookViewId="0">
      <selection activeCell="D30" sqref="D30"/>
    </sheetView>
  </sheetViews>
  <sheetFormatPr defaultRowHeight="14.4" x14ac:dyDescent="0.3"/>
  <cols>
    <col min="1" max="1" width="3" customWidth="1"/>
    <col min="2" max="2" width="30.33203125" bestFit="1" customWidth="1"/>
    <col min="3" max="3" width="13.6640625" customWidth="1"/>
    <col min="4" max="4" width="5.6640625" customWidth="1"/>
    <col min="5" max="5" width="4.33203125" customWidth="1"/>
    <col min="6" max="6" width="13.77734375" customWidth="1"/>
    <col min="7" max="8" width="11.33203125" customWidth="1"/>
    <col min="9" max="9" width="7.88671875" customWidth="1"/>
    <col min="10" max="10" width="15.33203125" customWidth="1"/>
    <col min="11" max="11" width="7.5546875" bestFit="1" customWidth="1"/>
    <col min="12" max="12" width="11.33203125" customWidth="1"/>
    <col min="14" max="14" width="20.21875" customWidth="1"/>
  </cols>
  <sheetData>
    <row r="2" spans="2:12" x14ac:dyDescent="0.3">
      <c r="B2" s="1" t="str">
        <f>Core!A1</f>
        <v>Geo/Cluster</v>
      </c>
      <c r="C2" s="3" t="str">
        <f>Core!P1</f>
        <v>Est. Imp</v>
      </c>
      <c r="D2" s="4" t="str">
        <f>Core!Q1</f>
        <v>CTR%</v>
      </c>
      <c r="E2" s="5" t="str">
        <f>Core!R1</f>
        <v>VTR</v>
      </c>
      <c r="F2" s="3" t="str">
        <f>Core!S1</f>
        <v>Views</v>
      </c>
      <c r="G2" s="3" t="str">
        <f>Core!T1</f>
        <v>Est. Clicks</v>
      </c>
      <c r="H2" s="3" t="str">
        <f>Core!U1</f>
        <v>Reach</v>
      </c>
      <c r="I2" s="6" t="str">
        <f>Core!V1</f>
        <v>Avg Freq</v>
      </c>
      <c r="J2" s="8" t="str">
        <f>Core!X1</f>
        <v>Total Net Cost</v>
      </c>
      <c r="K2" s="4" t="str">
        <f>Core!AA1</f>
        <v>Reach %</v>
      </c>
      <c r="L2" s="23" t="str">
        <f>Core!AB1</f>
        <v>Universe</v>
      </c>
    </row>
    <row r="3" spans="2:12" hidden="1" x14ac:dyDescent="0.3">
      <c r="B3" s="42" t="str">
        <f>Core!A6</f>
        <v>Delhi+NCR Launch</v>
      </c>
      <c r="C3" s="18">
        <f>Core!P6</f>
        <v>31889156.049724329</v>
      </c>
      <c r="D3" s="19">
        <f>Core!Q6</f>
        <v>1.5805240046018944E-3</v>
      </c>
      <c r="E3" s="20">
        <f>Core!R6</f>
        <v>0.39483148079901287</v>
      </c>
      <c r="F3" s="18">
        <f>Core!S6</f>
        <v>12590842.704543456</v>
      </c>
      <c r="G3" s="18">
        <f>Core!T6</f>
        <v>50401.576623085028</v>
      </c>
      <c r="H3" s="18">
        <f>Core!U6</f>
        <v>4610693.6865125028</v>
      </c>
      <c r="I3" s="21">
        <f>Core!V6</f>
        <v>6.9163466970292422</v>
      </c>
      <c r="J3" s="44">
        <f>Core!X6</f>
        <v>5503328.4721082915</v>
      </c>
      <c r="K3" s="45">
        <f>Core!AA6</f>
        <v>0.47144107224054221</v>
      </c>
      <c r="L3" s="18">
        <f>Core!AB6</f>
        <v>9780000</v>
      </c>
    </row>
    <row r="4" spans="2:12" hidden="1" x14ac:dyDescent="0.3">
      <c r="B4" s="42" t="str">
        <f>Core!A19</f>
        <v>Delhi+NCR Sustenance</v>
      </c>
      <c r="C4" s="18">
        <f>Core!P19</f>
        <v>170507338.9724406</v>
      </c>
      <c r="D4" s="19">
        <f>Core!Q19</f>
        <v>4.3529371132143531E-3</v>
      </c>
      <c r="E4" s="20">
        <f>Core!R19</f>
        <v>0.8107655537111006</v>
      </c>
      <c r="F4" s="18">
        <f>Core!S19</f>
        <v>138241477.09379712</v>
      </c>
      <c r="G4" s="18">
        <f>Core!T19</f>
        <v>742207.72388855671</v>
      </c>
      <c r="H4" s="18">
        <f>Core!U19</f>
        <v>5883468.8182486948</v>
      </c>
      <c r="I4" s="21">
        <f>Core!V19</f>
        <v>28.980750003055977</v>
      </c>
      <c r="J4" s="44">
        <f>Core!X19</f>
        <v>17667524.034000002</v>
      </c>
      <c r="K4" s="45">
        <f>Core!AA19</f>
        <v>0.60158167875753521</v>
      </c>
      <c r="L4" s="18">
        <f>Core!AB19</f>
        <v>9780000</v>
      </c>
    </row>
    <row r="5" spans="2:12" x14ac:dyDescent="0.3">
      <c r="B5" s="100" t="str">
        <f>Core!A20</f>
        <v>Delhi+NCR Total</v>
      </c>
      <c r="C5" s="101">
        <f>Core!P20</f>
        <v>202396495.02216494</v>
      </c>
      <c r="D5" s="102">
        <f>Core!Q20</f>
        <v>3.9161216720914127E-3</v>
      </c>
      <c r="E5" s="103">
        <f>Core!R20</f>
        <v>0.74523187657880408</v>
      </c>
      <c r="F5" s="101">
        <f>Core!S20</f>
        <v>150832319.79834056</v>
      </c>
      <c r="G5" s="101">
        <f>Core!T20</f>
        <v>792609.30051164178</v>
      </c>
      <c r="H5" s="101">
        <f>Core!U20</f>
        <v>4904867.1274249377</v>
      </c>
      <c r="I5" s="104">
        <f>Core!V20</f>
        <v>41.264419557971472</v>
      </c>
      <c r="J5" s="105">
        <f>Core!X20</f>
        <v>23170852.506108291</v>
      </c>
      <c r="K5" s="107">
        <f>Core!AA20</f>
        <v>0.50152015617841894</v>
      </c>
      <c r="L5" s="101">
        <f>Core!AB20</f>
        <v>9780000</v>
      </c>
    </row>
    <row r="6" spans="2:12" hidden="1" x14ac:dyDescent="0.3">
      <c r="B6" s="42" t="str">
        <f>Core!A25</f>
        <v>Mumbai+Thane Launch</v>
      </c>
      <c r="C6" s="18">
        <f>Core!P25</f>
        <v>24585300.267374381</v>
      </c>
      <c r="D6" s="19">
        <f>Core!Q25</f>
        <v>1.5805240046018942E-3</v>
      </c>
      <c r="E6" s="20">
        <f>Core!R25</f>
        <v>0.39483148079901287</v>
      </c>
      <c r="F6" s="18">
        <f>Core!S25</f>
        <v>9707050.5104557946</v>
      </c>
      <c r="G6" s="18">
        <f>Core!T25</f>
        <v>38857.657232930578</v>
      </c>
      <c r="H6" s="18">
        <f>Core!U25</f>
        <v>3554665.6846936881</v>
      </c>
      <c r="I6" s="21">
        <f>Core!V25</f>
        <v>6.9163466970292431</v>
      </c>
      <c r="J6" s="44">
        <f>Core!X25</f>
        <v>4242852.4212368634</v>
      </c>
      <c r="K6" s="45">
        <f>Core!AA25</f>
        <v>0.47144107224054216</v>
      </c>
      <c r="L6" s="18">
        <f>Core!AB25</f>
        <v>7540000</v>
      </c>
    </row>
    <row r="7" spans="2:12" hidden="1" x14ac:dyDescent="0.3">
      <c r="B7" s="42" t="str">
        <f>Core!A38</f>
        <v>Mumbai+Thane Sustenance</v>
      </c>
      <c r="C7" s="18">
        <f>Core!P38</f>
        <v>136488229.21599999</v>
      </c>
      <c r="D7" s="19">
        <f>Core!Q38</f>
        <v>4.2119526505714393E-3</v>
      </c>
      <c r="E7" s="20">
        <f>Core!R38</f>
        <v>0.84115682279319581</v>
      </c>
      <c r="F7" s="18">
        <f>Core!S38</f>
        <v>114808005.236</v>
      </c>
      <c r="G7" s="18">
        <f>Core!T38</f>
        <v>574881.95881813334</v>
      </c>
      <c r="H7" s="18">
        <f>Core!U38</f>
        <v>4144818.4928533337</v>
      </c>
      <c r="I7" s="21">
        <f>Core!V38</f>
        <v>32.929844684716258</v>
      </c>
      <c r="J7" s="44">
        <f>Core!X38</f>
        <v>13575168.006399998</v>
      </c>
      <c r="K7" s="45">
        <f>Core!AA38</f>
        <v>0.54971067544473917</v>
      </c>
      <c r="L7" s="18">
        <f>Core!AB38</f>
        <v>7540000</v>
      </c>
    </row>
    <row r="8" spans="2:12" x14ac:dyDescent="0.3">
      <c r="B8" s="100" t="str">
        <f>Core!A39</f>
        <v>Mumbai+Thane Total</v>
      </c>
      <c r="C8" s="101">
        <f>Core!P39</f>
        <v>161073529.48337436</v>
      </c>
      <c r="D8" s="102">
        <f>Core!Q39</f>
        <v>3.8103071188640755E-3</v>
      </c>
      <c r="E8" s="103">
        <f>Core!R39</f>
        <v>0.77303239176433358</v>
      </c>
      <c r="F8" s="101">
        <f>Core!S39</f>
        <v>124515055.74645579</v>
      </c>
      <c r="G8" s="101">
        <f>Core!T39</f>
        <v>613739.61605106387</v>
      </c>
      <c r="H8" s="101">
        <f>Core!U39</f>
        <v>3761906.6093363548</v>
      </c>
      <c r="I8" s="104">
        <f>Core!V39</f>
        <v>42.81699313949467</v>
      </c>
      <c r="J8" s="105">
        <f>Core!X39</f>
        <v>17818020.427636862</v>
      </c>
      <c r="K8" s="107">
        <f>Core!AA39</f>
        <v>0.49892660601277916</v>
      </c>
      <c r="L8" s="101">
        <f>Core!AB39</f>
        <v>7540000</v>
      </c>
    </row>
    <row r="9" spans="2:12" hidden="1" x14ac:dyDescent="0.3">
      <c r="B9" s="42" t="str">
        <f>Core!A44</f>
        <v>Bangalore Launch</v>
      </c>
      <c r="C9" s="18">
        <f>Core!P44</f>
        <v>17982484.214133915</v>
      </c>
      <c r="D9" s="19">
        <f>Core!Q44</f>
        <v>1.5805240046018944E-3</v>
      </c>
      <c r="E9" s="20">
        <f>Core!R44</f>
        <v>0.39483148079901281</v>
      </c>
      <c r="F9" s="18">
        <f>Core!S44</f>
        <v>7100050.8707113657</v>
      </c>
      <c r="G9" s="18">
        <f>Core!T44</f>
        <v>28421.747962813286</v>
      </c>
      <c r="H9" s="18">
        <f>Core!U44</f>
        <v>2599997.5134065906</v>
      </c>
      <c r="I9" s="21">
        <f>Core!V44</f>
        <v>6.9163466970292422</v>
      </c>
      <c r="J9" s="44">
        <f>Core!X44</f>
        <v>3103359.5627481826</v>
      </c>
      <c r="K9" s="45">
        <f>Core!AA44</f>
        <v>0.47144107224054227</v>
      </c>
      <c r="L9" s="18">
        <f>Core!AB44</f>
        <v>5515000</v>
      </c>
    </row>
    <row r="10" spans="2:12" hidden="1" x14ac:dyDescent="0.3">
      <c r="B10" s="42" t="str">
        <f>Core!A57</f>
        <v>Bangalore Sustenance</v>
      </c>
      <c r="C10" s="18">
        <f>Core!P57</f>
        <v>99792836.82266669</v>
      </c>
      <c r="D10" s="19">
        <f>Core!Q57</f>
        <v>4.2089034746703516E-3</v>
      </c>
      <c r="E10" s="20">
        <f>Core!R57</f>
        <v>0.82097937149524058</v>
      </c>
      <c r="F10" s="18">
        <f>Core!S57</f>
        <v>81927860.454400003</v>
      </c>
      <c r="G10" s="18">
        <f>Core!T57</f>
        <v>420018.41765013325</v>
      </c>
      <c r="H10" s="18">
        <f>Core!U57</f>
        <v>3035680.9046533336</v>
      </c>
      <c r="I10" s="21">
        <f>Core!V57</f>
        <v>32.873295961277179</v>
      </c>
      <c r="J10" s="44">
        <f>Core!X57</f>
        <v>9929317.1824000012</v>
      </c>
      <c r="K10" s="45">
        <f>Core!AA57</f>
        <v>0.55044078053550927</v>
      </c>
      <c r="L10" s="18">
        <f>Core!AB57</f>
        <v>5515000</v>
      </c>
    </row>
    <row r="11" spans="2:12" x14ac:dyDescent="0.3">
      <c r="B11" s="100" t="str">
        <f>Core!A58</f>
        <v>Bangalore Total</v>
      </c>
      <c r="C11" s="101">
        <f>Core!P58</f>
        <v>117775321.03680061</v>
      </c>
      <c r="D11" s="102">
        <f>Core!Q58</f>
        <v>3.8075902630978599E-3</v>
      </c>
      <c r="E11" s="103">
        <f>Core!R58</f>
        <v>0.75591312799133281</v>
      </c>
      <c r="F11" s="101">
        <f>Core!S58</f>
        <v>89027911.325111374</v>
      </c>
      <c r="G11" s="101">
        <f>Core!T58</f>
        <v>448440.16561294656</v>
      </c>
      <c r="H11" s="101">
        <f>Core!U58</f>
        <v>2751781.5586392572</v>
      </c>
      <c r="I11" s="104">
        <f>Core!V58</f>
        <v>42.799662155974303</v>
      </c>
      <c r="J11" s="105">
        <f>Core!X58</f>
        <v>13032676.745148184</v>
      </c>
      <c r="K11" s="107">
        <f>Core!AA58</f>
        <v>0.49896311126731774</v>
      </c>
      <c r="L11" s="101">
        <f>Core!AB58</f>
        <v>5515000</v>
      </c>
    </row>
    <row r="12" spans="2:12" hidden="1" x14ac:dyDescent="0.3">
      <c r="B12" s="42" t="str">
        <f>Core!A63</f>
        <v>Hyderabad Launch</v>
      </c>
      <c r="C12" s="18">
        <f>Core!P63</f>
        <v>15269689.594248828</v>
      </c>
      <c r="D12" s="19">
        <f>Core!Q63</f>
        <v>1.5655396347386062E-3</v>
      </c>
      <c r="E12" s="20">
        <f>Core!R63</f>
        <v>0.39079968693651806</v>
      </c>
      <c r="F12" s="18">
        <f>Core!S63</f>
        <v>5967389.9130502492</v>
      </c>
      <c r="G12" s="18">
        <f>Core!T63</f>
        <v>23905.304269952205</v>
      </c>
      <c r="H12" s="18">
        <f>Core!U63</f>
        <v>2222504.1260784012</v>
      </c>
      <c r="I12" s="21">
        <f>Core!V63</f>
        <v>6.8704887496394118</v>
      </c>
      <c r="J12" s="44">
        <f>Core!X63</f>
        <v>2610210.8393764636</v>
      </c>
      <c r="K12" s="45">
        <f>Core!AA63</f>
        <v>0.49687103198712301</v>
      </c>
      <c r="L12" s="18">
        <f>Core!AB63</f>
        <v>4473000</v>
      </c>
    </row>
    <row r="13" spans="2:12" hidden="1" x14ac:dyDescent="0.3">
      <c r="B13" s="42" t="str">
        <f>Core!A76</f>
        <v>Hyderabad Sustenance</v>
      </c>
      <c r="C13" s="18">
        <f>Core!P76</f>
        <v>88361180.121304333</v>
      </c>
      <c r="D13" s="19">
        <f>Core!Q76</f>
        <v>4.0021628610063167E-3</v>
      </c>
      <c r="E13" s="20">
        <f>Core!R76</f>
        <v>0.82943053731134786</v>
      </c>
      <c r="F13" s="18">
        <f>Core!S76</f>
        <v>73289461.105478242</v>
      </c>
      <c r="G13" s="18">
        <f>Core!T76</f>
        <v>353635.83343617385</v>
      </c>
      <c r="H13" s="18">
        <f>Core!U76</f>
        <v>2423414.2486652168</v>
      </c>
      <c r="I13" s="21">
        <f>Core!V76</f>
        <v>36.461442846584092</v>
      </c>
      <c r="J13" s="44">
        <f>Core!X76</f>
        <v>8482794.0119999982</v>
      </c>
      <c r="K13" s="45">
        <f>Core!AA76</f>
        <v>0.54178722304163129</v>
      </c>
      <c r="L13" s="18">
        <f>Core!AB76</f>
        <v>4473000</v>
      </c>
    </row>
    <row r="14" spans="2:12" x14ac:dyDescent="0.3">
      <c r="B14" s="100" t="str">
        <f>Core!A77</f>
        <v>Hyderabad Total</v>
      </c>
      <c r="C14" s="101">
        <f>Core!P77</f>
        <v>103630869.71555316</v>
      </c>
      <c r="D14" s="102">
        <f>Core!Q77</f>
        <v>3.6431339304823359E-3</v>
      </c>
      <c r="E14" s="103">
        <f>Core!R77</f>
        <v>0.76479963196365452</v>
      </c>
      <c r="F14" s="101">
        <f>Core!S77</f>
        <v>79256851.018528491</v>
      </c>
      <c r="G14" s="101">
        <f>Core!T77</f>
        <v>377541.13770612609</v>
      </c>
      <c r="H14" s="101">
        <f>Core!U77</f>
        <v>2343674.8385116621</v>
      </c>
      <c r="I14" s="104">
        <f>Core!V77</f>
        <v>44.217255744130178</v>
      </c>
      <c r="J14" s="105">
        <f>Core!X77</f>
        <v>11093004.851376463</v>
      </c>
      <c r="K14" s="107">
        <f>Core!AA77</f>
        <v>0.52396039313920462</v>
      </c>
      <c r="L14" s="101">
        <f>Core!AB77</f>
        <v>4473000</v>
      </c>
    </row>
    <row r="15" spans="2:12" hidden="1" x14ac:dyDescent="0.3">
      <c r="B15" s="42" t="str">
        <f>Core!A82</f>
        <v>Chennai+Kanchipuram Launch</v>
      </c>
      <c r="C15" s="18">
        <f>Core!P82</f>
        <v>7395248.5474072574</v>
      </c>
      <c r="D15" s="19">
        <f>Core!Q82</f>
        <v>1.4009413999518129E-3</v>
      </c>
      <c r="E15" s="20">
        <f>Core!R82</f>
        <v>0.40795640306446285</v>
      </c>
      <c r="F15" s="18">
        <f>Core!S82</f>
        <v>3016938.9971679584</v>
      </c>
      <c r="G15" s="18">
        <f>Core!T82</f>
        <v>10360.309852996334</v>
      </c>
      <c r="H15" s="18">
        <f>Core!U82</f>
        <v>1071862.4321504517</v>
      </c>
      <c r="I15" s="21">
        <f>Core!V82</f>
        <v>6.8994381420480879</v>
      </c>
      <c r="J15" s="44">
        <f>Core!X82</f>
        <v>1363486.1301217289</v>
      </c>
      <c r="K15" s="45">
        <f>Core!AA82</f>
        <v>0.53998107413120988</v>
      </c>
      <c r="L15" s="18">
        <f>Core!AB82</f>
        <v>1985000</v>
      </c>
    </row>
    <row r="16" spans="2:12" hidden="1" x14ac:dyDescent="0.3">
      <c r="B16" s="42" t="str">
        <f>Core!A95</f>
        <v>Chennai+Kanchipuram Sustenance</v>
      </c>
      <c r="C16" s="18">
        <f>Core!P95</f>
        <v>38481080.499188423</v>
      </c>
      <c r="D16" s="19">
        <f>Core!Q95</f>
        <v>3.9037928552977563E-3</v>
      </c>
      <c r="E16" s="20">
        <f>Core!R95</f>
        <v>0.8295514177345209</v>
      </c>
      <c r="F16" s="18">
        <f>Core!S95</f>
        <v>31922034.884057984</v>
      </c>
      <c r="G16" s="18">
        <f>Core!T95</f>
        <v>150222.16711686959</v>
      </c>
      <c r="H16" s="18">
        <f>Core!U95</f>
        <v>1076308.0752260871</v>
      </c>
      <c r="I16" s="21">
        <f>Core!V95</f>
        <v>35.752849379212513</v>
      </c>
      <c r="J16" s="44">
        <f>Core!X95</f>
        <v>3699827.2080000015</v>
      </c>
      <c r="K16" s="45">
        <f>Core!AA95</f>
        <v>0.54222069280911189</v>
      </c>
      <c r="L16" s="18">
        <f>Core!AB95</f>
        <v>1985000</v>
      </c>
    </row>
    <row r="17" spans="2:12" x14ac:dyDescent="0.3">
      <c r="B17" s="100" t="str">
        <f>Core!A96</f>
        <v>Chennai+Kanchipuram Total</v>
      </c>
      <c r="C17" s="101">
        <f>Core!P96</f>
        <v>45876329.046595678</v>
      </c>
      <c r="D17" s="102">
        <f>Core!Q96</f>
        <v>3.5003340569548513E-3</v>
      </c>
      <c r="E17" s="103">
        <f>Core!R96</f>
        <v>0.7615904456029845</v>
      </c>
      <c r="F17" s="101">
        <f>Core!S96</f>
        <v>34938973.881225944</v>
      </c>
      <c r="G17" s="101">
        <f>Core!T96</f>
        <v>160582.47696986594</v>
      </c>
      <c r="H17" s="101">
        <f>Core!U96</f>
        <v>1125677.8359117561</v>
      </c>
      <c r="I17" s="104">
        <f>Core!V96</f>
        <v>40.75440377613689</v>
      </c>
      <c r="J17" s="105">
        <f>Core!X96</f>
        <v>5063313.3381217308</v>
      </c>
      <c r="K17" s="107">
        <f>Core!AA96</f>
        <v>0.5670921087716656</v>
      </c>
      <c r="L17" s="101">
        <f>Core!AB96</f>
        <v>1985000</v>
      </c>
    </row>
    <row r="18" spans="2:12" hidden="1" x14ac:dyDescent="0.3">
      <c r="B18" s="42" t="str">
        <f>Core!A101</f>
        <v>Kolkata+NTP,STP,Howrah Launch</v>
      </c>
      <c r="C18" s="18">
        <f>Core!P101</f>
        <v>6347849.8245944297</v>
      </c>
      <c r="D18" s="19">
        <f>Core!Q101</f>
        <v>1.4516927703337745E-3</v>
      </c>
      <c r="E18" s="20">
        <f>Core!R101</f>
        <v>0.40080806431135185</v>
      </c>
      <c r="F18" s="18">
        <f>Core!S101</f>
        <v>2544269.4007348479</v>
      </c>
      <c r="G18" s="18">
        <f>Core!T101</f>
        <v>9215.1276975282526</v>
      </c>
      <c r="H18" s="18">
        <f>Core!U101</f>
        <v>923400.90413051576</v>
      </c>
      <c r="I18" s="21">
        <f>Core!V101</f>
        <v>6.8744245280673981</v>
      </c>
      <c r="J18" s="44">
        <f>Core!X101</f>
        <v>1138053.4062170908</v>
      </c>
      <c r="K18" s="45">
        <f>Core!AA101</f>
        <v>0.54094956305244035</v>
      </c>
      <c r="L18" s="18">
        <f>Core!AB101</f>
        <v>1707000</v>
      </c>
    </row>
    <row r="19" spans="2:12" hidden="1" x14ac:dyDescent="0.3">
      <c r="B19" s="42" t="str">
        <f>Core!A114</f>
        <v>Kolkata+NTP,STP,Howrah Sustenance</v>
      </c>
      <c r="C19" s="18">
        <f>Core!P114</f>
        <v>31241973.767999999</v>
      </c>
      <c r="D19" s="19">
        <f>Core!Q114</f>
        <v>4.2106719046394406E-3</v>
      </c>
      <c r="E19" s="20">
        <f>Core!R114</f>
        <v>0.82098595862312496</v>
      </c>
      <c r="F19" s="18">
        <f>Core!S114</f>
        <v>25649221.783200003</v>
      </c>
      <c r="G19" s="18">
        <f>Core!T114</f>
        <v>131549.7011904</v>
      </c>
      <c r="H19" s="18">
        <f>Core!U114</f>
        <v>949687.81496000011</v>
      </c>
      <c r="I19" s="21">
        <f>Core!V114</f>
        <v>32.897098684282774</v>
      </c>
      <c r="J19" s="44">
        <f>Core!X114</f>
        <v>3107848.8671999997</v>
      </c>
      <c r="K19" s="45">
        <f>Core!AA114</f>
        <v>0.55634904215582903</v>
      </c>
      <c r="L19" s="18">
        <f>Core!AB114</f>
        <v>1707000</v>
      </c>
    </row>
    <row r="20" spans="2:12" x14ac:dyDescent="0.3">
      <c r="B20" s="100" t="str">
        <f>Core!A115</f>
        <v>Kolkata+NTP,STP,Howrah Total</v>
      </c>
      <c r="C20" s="101">
        <f>Core!P115</f>
        <v>37589823.59259443</v>
      </c>
      <c r="D20" s="102">
        <f>Core!Q115</f>
        <v>3.7447589649146512E-3</v>
      </c>
      <c r="E20" s="103">
        <f>Core!R115</f>
        <v>0.75002988812879801</v>
      </c>
      <c r="F20" s="101">
        <f>Core!S115</f>
        <v>28193491.183934852</v>
      </c>
      <c r="G20" s="101">
        <f>Core!T115</f>
        <v>140764.82888792825</v>
      </c>
      <c r="H20" s="101">
        <f>Core!U115</f>
        <v>970885.29487851576</v>
      </c>
      <c r="I20" s="104">
        <f>Core!V115</f>
        <v>38.717059359002796</v>
      </c>
      <c r="J20" s="105">
        <f>Core!X115</f>
        <v>4245902.273417091</v>
      </c>
      <c r="K20" s="107">
        <f>Core!AA115</f>
        <v>0.56876701516023187</v>
      </c>
      <c r="L20" s="101">
        <f>Core!AB115</f>
        <v>1707000</v>
      </c>
    </row>
    <row r="21" spans="2:12" x14ac:dyDescent="0.3">
      <c r="B21" s="96" t="str">
        <f>Core!A116</f>
        <v>T6 Total</v>
      </c>
      <c r="C21" s="97">
        <f>Core!P116</f>
        <v>668342367.89708316</v>
      </c>
      <c r="D21" s="111">
        <f>Core!Q116</f>
        <v>3.7909874451199374E-3</v>
      </c>
      <c r="E21" s="60">
        <f>Core!R116</f>
        <v>0.75824102629931245</v>
      </c>
      <c r="F21" s="97">
        <f>Core!S116</f>
        <v>506764602.95359701</v>
      </c>
      <c r="G21" s="97">
        <f>Core!T116</f>
        <v>2533677.5257395725</v>
      </c>
      <c r="H21" s="97">
        <f>Core!U116</f>
        <v>15858793.264702484</v>
      </c>
      <c r="I21" s="53">
        <f>Core!V116</f>
        <v>42.143330626841454</v>
      </c>
      <c r="J21" s="98">
        <f>Core!X116</f>
        <v>74423770.141808629</v>
      </c>
      <c r="K21" s="60">
        <f>Core!AA116</f>
        <v>0.51157397628072532</v>
      </c>
      <c r="L21" s="97">
        <f>Core!AB116</f>
        <v>31000000</v>
      </c>
    </row>
    <row r="22" spans="2:12" hidden="1" x14ac:dyDescent="0.3">
      <c r="B22" s="42" t="str">
        <f>Core!A121</f>
        <v>ROT17 Launch</v>
      </c>
      <c r="C22" s="18">
        <f>Core!P121</f>
        <v>37678621.09942434</v>
      </c>
      <c r="D22" s="19">
        <f>Core!Q121</f>
        <v>1.5805240046018946E-3</v>
      </c>
      <c r="E22" s="20">
        <f>Core!R121</f>
        <v>0.39483148079901292</v>
      </c>
      <c r="F22" s="18">
        <f>Core!S121</f>
        <v>14876705.763150644</v>
      </c>
      <c r="G22" s="18">
        <f>Core!T121</f>
        <v>59551.965107939599</v>
      </c>
      <c r="H22" s="18">
        <f>Core!U121</f>
        <v>5712529.4201888144</v>
      </c>
      <c r="I22" s="21">
        <f>Core!V121</f>
        <v>6.5957859168765491</v>
      </c>
      <c r="J22" s="44">
        <f>Core!X121</f>
        <v>6502455.8179875305</v>
      </c>
      <c r="K22" s="45">
        <f>Core!AA121</f>
        <v>0.43942534001452416</v>
      </c>
      <c r="L22" s="18">
        <f>Core!AB121</f>
        <v>13000000</v>
      </c>
    </row>
    <row r="23" spans="2:12" hidden="1" x14ac:dyDescent="0.3">
      <c r="B23" s="42" t="str">
        <f>Core!A134</f>
        <v>ROT17 Sustenance</v>
      </c>
      <c r="C23" s="18">
        <f>Core!P134</f>
        <v>199459352.70979711</v>
      </c>
      <c r="D23" s="19">
        <f>Core!Q134</f>
        <v>4.0026695993083047E-3</v>
      </c>
      <c r="E23" s="20">
        <f>Core!R134</f>
        <v>0.82539401995626771</v>
      </c>
      <c r="F23" s="18">
        <f>Core!S134</f>
        <v>164632556.95101452</v>
      </c>
      <c r="G23" s="18">
        <f>Core!T134</f>
        <v>798369.88738921739</v>
      </c>
      <c r="H23" s="18">
        <f>Core!U134</f>
        <v>5878459.3165565226</v>
      </c>
      <c r="I23" s="21">
        <f>Core!V134</f>
        <v>33.9305491403207</v>
      </c>
      <c r="J23" s="44">
        <f>Core!X134</f>
        <v>19523536.032000002</v>
      </c>
      <c r="K23" s="45">
        <f>Core!AA134</f>
        <v>0.45218917819665561</v>
      </c>
      <c r="L23" s="18">
        <f>Core!AB134</f>
        <v>13000000</v>
      </c>
    </row>
    <row r="24" spans="2:12" x14ac:dyDescent="0.3">
      <c r="B24" s="54" t="str">
        <f>Core!A135</f>
        <v>ROT17 Total</v>
      </c>
      <c r="C24" s="55">
        <f>Core!P135</f>
        <v>237137973.80922145</v>
      </c>
      <c r="D24" s="56">
        <f>Core!Q135</f>
        <v>3.6178172509281829E-3</v>
      </c>
      <c r="E24" s="57">
        <f>Core!R135</f>
        <v>0.75698235854279983</v>
      </c>
      <c r="F24" s="55">
        <f>Core!S135</f>
        <v>179509262.71416515</v>
      </c>
      <c r="G24" s="55">
        <f>Core!T135</f>
        <v>857921.85249715694</v>
      </c>
      <c r="H24" s="55">
        <f>Core!U135</f>
        <v>6006452.3860166408</v>
      </c>
      <c r="I24" s="53">
        <f>Core!V135</f>
        <v>39.48053835593403</v>
      </c>
      <c r="J24" s="58">
        <f>Core!X135</f>
        <v>26025991.849987533</v>
      </c>
      <c r="K24" s="60">
        <f>Core!AA135</f>
        <v>0.462034798924357</v>
      </c>
      <c r="L24" s="55">
        <f>Core!AB135</f>
        <v>13000000</v>
      </c>
    </row>
    <row r="25" spans="2:12" hidden="1" x14ac:dyDescent="0.3">
      <c r="B25" s="42" t="str">
        <f>Core!A140</f>
        <v>ROT57 Launch</v>
      </c>
      <c r="C25" s="18">
        <f>Core!P140</f>
        <v>70393808.457866818</v>
      </c>
      <c r="D25" s="19">
        <f>Core!Q140</f>
        <v>1.5805240046018944E-3</v>
      </c>
      <c r="E25" s="20">
        <f>Core!R140</f>
        <v>0.39483148079901287</v>
      </c>
      <c r="F25" s="18">
        <f>Core!S140</f>
        <v>27793691.632501632</v>
      </c>
      <c r="G25" s="18">
        <f>Core!T140</f>
        <v>111259.10404300637</v>
      </c>
      <c r="H25" s="18">
        <f>Core!U140</f>
        <v>10672542.945602756</v>
      </c>
      <c r="I25" s="21">
        <f>Core!V140</f>
        <v>6.5957859168765491</v>
      </c>
      <c r="J25" s="44">
        <f>Core!X140</f>
        <v>12148338.129182473</v>
      </c>
      <c r="K25" s="45">
        <f>Core!AA140</f>
        <v>0.36801872226216398</v>
      </c>
      <c r="L25" s="18">
        <f>Core!AB140</f>
        <v>29000000</v>
      </c>
    </row>
    <row r="26" spans="2:12" hidden="1" x14ac:dyDescent="0.3">
      <c r="B26" s="42" t="str">
        <f>Core!A153</f>
        <v>ROT57 Sustenance</v>
      </c>
      <c r="C26" s="18">
        <f>Core!P153</f>
        <v>396862373.84742033</v>
      </c>
      <c r="D26" s="19">
        <f>Core!Q153</f>
        <v>4.0030131901147605E-3</v>
      </c>
      <c r="E26" s="20">
        <f>Core!R153</f>
        <v>0.82539507710760485</v>
      </c>
      <c r="F26" s="18">
        <f>Core!S153</f>
        <v>327568249.6628986</v>
      </c>
      <c r="G26" s="18">
        <f>Core!T153</f>
        <v>1588645.3171714786</v>
      </c>
      <c r="H26" s="18">
        <f>Core!U153</f>
        <v>11689885.34250435</v>
      </c>
      <c r="I26" s="21">
        <f>Core!V153</f>
        <v>33.949210126504084</v>
      </c>
      <c r="J26" s="44">
        <f>Core!X153</f>
        <v>38844124.704000004</v>
      </c>
      <c r="K26" s="45">
        <f>Core!AA153</f>
        <v>0.40309949456911554</v>
      </c>
      <c r="L26" s="18">
        <f>Core!AB153</f>
        <v>29000000</v>
      </c>
    </row>
    <row r="27" spans="2:12" x14ac:dyDescent="0.3">
      <c r="B27" s="54" t="str">
        <f>Core!A154</f>
        <v>ROT57 Total</v>
      </c>
      <c r="C27" s="55">
        <f>Core!P154</f>
        <v>467256182.30528712</v>
      </c>
      <c r="D27" s="56">
        <f>Core!Q154</f>
        <v>3.6380565642336075E-3</v>
      </c>
      <c r="E27" s="57">
        <f>Core!R154</f>
        <v>0.7605291374469616</v>
      </c>
      <c r="F27" s="55">
        <f>Core!S154</f>
        <v>355361941.29540026</v>
      </c>
      <c r="G27" s="55">
        <f>Core!T154</f>
        <v>1699904.4212144851</v>
      </c>
      <c r="H27" s="55">
        <f>Core!U154</f>
        <v>11257037.212727973</v>
      </c>
      <c r="I27" s="53">
        <f>Core!V154</f>
        <v>41.507918422529102</v>
      </c>
      <c r="J27" s="58">
        <f>Core!X154</f>
        <v>50992462.833182476</v>
      </c>
      <c r="K27" s="60">
        <f>Core!AA154</f>
        <v>0.38817369699061977</v>
      </c>
      <c r="L27" s="55">
        <f>Core!AB154</f>
        <v>29000000</v>
      </c>
    </row>
    <row r="28" spans="2:12" x14ac:dyDescent="0.3">
      <c r="B28" s="46" t="str">
        <f>Core!A155</f>
        <v>Core Total</v>
      </c>
      <c r="C28" s="47">
        <f>Core!P155</f>
        <v>1372736524.0115919</v>
      </c>
      <c r="D28" s="48">
        <f>Core!Q155</f>
        <v>3.7090175065584694E-3</v>
      </c>
      <c r="E28" s="49">
        <f>Core!R155</f>
        <v>0.75880242766409156</v>
      </c>
      <c r="F28" s="47">
        <f>Core!S155</f>
        <v>1041635806.9631624</v>
      </c>
      <c r="G28" s="47">
        <f>Core!T155</f>
        <v>5091503.7994512152</v>
      </c>
      <c r="H28" s="47">
        <f>Core!U155</f>
        <v>33122282.8634471</v>
      </c>
      <c r="I28" s="50">
        <f>Core!V155</f>
        <v>41.444502170063544</v>
      </c>
      <c r="J28" s="62">
        <f>Core!X155</f>
        <v>151442224.82497865</v>
      </c>
      <c r="K28" s="52">
        <f>Core!AA155</f>
        <v>0.45372990223900139</v>
      </c>
      <c r="L28" s="47">
        <f>Core!AB155</f>
        <v>73000000</v>
      </c>
    </row>
    <row r="30" spans="2:12" x14ac:dyDescent="0.3">
      <c r="C30" s="36"/>
      <c r="H30"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F596A-AEB0-47A1-8C5D-5DFD7BC5046B}">
  <sheetPr codeName="Sheet3" filterMode="1"/>
  <dimension ref="A1:AT171"/>
  <sheetViews>
    <sheetView tabSelected="1" topLeftCell="A61" zoomScale="76" zoomScaleNormal="80" workbookViewId="0">
      <selection activeCell="J7" sqref="J7"/>
    </sheetView>
  </sheetViews>
  <sheetFormatPr defaultRowHeight="14.4" x14ac:dyDescent="0.3"/>
  <cols>
    <col min="1" max="1" width="27.109375" bestFit="1" customWidth="1"/>
    <col min="2" max="2" width="12.33203125" bestFit="1" customWidth="1"/>
    <col min="3" max="3" width="17.33203125" bestFit="1" customWidth="1"/>
    <col min="4" max="4" width="13.6640625" bestFit="1" customWidth="1"/>
    <col min="5" max="5" width="15.88671875" bestFit="1" customWidth="1"/>
    <col min="6" max="6" width="13.5546875" bestFit="1" customWidth="1"/>
    <col min="7" max="7" width="19.109375" bestFit="1" customWidth="1"/>
    <col min="8" max="8" width="19.109375" customWidth="1"/>
    <col min="9" max="9" width="11.88671875" bestFit="1" customWidth="1"/>
    <col min="10" max="10" width="40.77734375" bestFit="1" customWidth="1"/>
    <col min="11" max="11" width="27.33203125" customWidth="1"/>
    <col min="12" max="12" width="12.5546875" customWidth="1"/>
    <col min="13" max="13" width="13.109375" customWidth="1"/>
    <col min="14" max="14" width="9.88671875" customWidth="1"/>
    <col min="15" max="15" width="9.44140625" customWidth="1"/>
    <col min="16" max="16" width="13.6640625" style="25" bestFit="1" customWidth="1"/>
    <col min="17" max="17" width="5.6640625" bestFit="1" customWidth="1"/>
    <col min="18" max="18" width="4.33203125" bestFit="1" customWidth="1"/>
    <col min="19" max="19" width="13.6640625" style="25" bestFit="1" customWidth="1"/>
    <col min="20" max="20" width="11.33203125" style="25" bestFit="1" customWidth="1"/>
    <col min="21" max="21" width="12.33203125" style="25" customWidth="1"/>
    <col min="22" max="22" width="13.21875" bestFit="1" customWidth="1"/>
    <col min="23" max="23" width="11" customWidth="1"/>
    <col min="24" max="24" width="16.21875" bestFit="1" customWidth="1"/>
    <col min="25" max="25" width="6.5546875" bestFit="1" customWidth="1"/>
    <col min="26" max="26" width="7.6640625" bestFit="1" customWidth="1"/>
    <col min="27" max="27" width="12.88671875" bestFit="1" customWidth="1"/>
    <col min="28" max="28" width="12.5546875" style="24" bestFit="1" customWidth="1"/>
    <col min="29" max="30" width="10.109375" bestFit="1" customWidth="1"/>
    <col min="31" max="31" width="12.77734375" customWidth="1"/>
    <col min="32" max="32" width="10.33203125" hidden="1" customWidth="1"/>
    <col min="33" max="33" width="14.44140625" hidden="1" customWidth="1"/>
    <col min="34" max="34" width="11.77734375" hidden="1" customWidth="1"/>
    <col min="35" max="35" width="12.77734375" hidden="1" customWidth="1"/>
    <col min="36" max="37" width="8.77734375" hidden="1" customWidth="1"/>
    <col min="38" max="38" width="11.77734375" hidden="1" customWidth="1"/>
    <col min="39" max="39" width="12.21875" hidden="1" customWidth="1"/>
    <col min="40" max="40" width="14.88671875" hidden="1" customWidth="1"/>
    <col min="41" max="41" width="11.33203125" customWidth="1"/>
    <col min="42" max="42" width="18.6640625" bestFit="1" customWidth="1"/>
    <col min="43" max="43" width="17.33203125" bestFit="1" customWidth="1"/>
    <col min="44" max="44" width="11.21875" bestFit="1" customWidth="1"/>
    <col min="45" max="45" width="12.21875" bestFit="1" customWidth="1"/>
    <col min="46" max="46" width="13.33203125" bestFit="1" customWidth="1"/>
  </cols>
  <sheetData>
    <row r="1" spans="1:46" x14ac:dyDescent="0.3">
      <c r="A1" s="1" t="s">
        <v>29</v>
      </c>
      <c r="B1" s="1" t="s">
        <v>30</v>
      </c>
      <c r="C1" s="1" t="s">
        <v>31</v>
      </c>
      <c r="D1" s="1" t="s">
        <v>32</v>
      </c>
      <c r="E1" s="1" t="s">
        <v>33</v>
      </c>
      <c r="F1" s="1" t="s">
        <v>34</v>
      </c>
      <c r="G1" s="1" t="s">
        <v>35</v>
      </c>
      <c r="H1" s="1" t="s">
        <v>388</v>
      </c>
      <c r="I1" s="1" t="s">
        <v>36</v>
      </c>
      <c r="J1" s="1" t="s">
        <v>37</v>
      </c>
      <c r="K1" s="1" t="s">
        <v>38</v>
      </c>
      <c r="L1" s="1" t="s">
        <v>39</v>
      </c>
      <c r="M1" s="1" t="s">
        <v>40</v>
      </c>
      <c r="N1" s="1" t="s">
        <v>41</v>
      </c>
      <c r="O1" s="2" t="s">
        <v>42</v>
      </c>
      <c r="P1" s="3" t="s">
        <v>43</v>
      </c>
      <c r="Q1" s="4" t="s">
        <v>44</v>
      </c>
      <c r="R1" s="5" t="s">
        <v>45</v>
      </c>
      <c r="S1" s="3" t="s">
        <v>3</v>
      </c>
      <c r="T1" s="3" t="s">
        <v>46</v>
      </c>
      <c r="U1" s="3" t="s">
        <v>5</v>
      </c>
      <c r="V1" s="6" t="s">
        <v>47</v>
      </c>
      <c r="W1" s="7" t="s">
        <v>48</v>
      </c>
      <c r="X1" s="8" t="s">
        <v>49</v>
      </c>
      <c r="Y1" s="8" t="s">
        <v>50</v>
      </c>
      <c r="Z1" s="8" t="s">
        <v>51</v>
      </c>
      <c r="AA1" s="4" t="s">
        <v>6</v>
      </c>
      <c r="AB1" s="23" t="s">
        <v>52</v>
      </c>
      <c r="AC1" s="3" t="s">
        <v>53</v>
      </c>
      <c r="AD1" s="3" t="s">
        <v>54</v>
      </c>
      <c r="AF1" s="195" t="s">
        <v>2283</v>
      </c>
      <c r="AG1" s="195" t="s">
        <v>2284</v>
      </c>
      <c r="AH1" s="195" t="s">
        <v>2285</v>
      </c>
      <c r="AI1" s="195" t="s">
        <v>2286</v>
      </c>
      <c r="AK1" s="195" t="s">
        <v>2283</v>
      </c>
      <c r="AL1" s="195" t="s">
        <v>2284</v>
      </c>
      <c r="AM1" s="195" t="s">
        <v>2285</v>
      </c>
      <c r="AN1" s="195" t="s">
        <v>2286</v>
      </c>
      <c r="AP1" s="350"/>
    </row>
    <row r="2" spans="1:46" x14ac:dyDescent="0.3">
      <c r="A2" s="9" t="s">
        <v>55</v>
      </c>
      <c r="B2" s="9" t="s">
        <v>56</v>
      </c>
      <c r="C2" s="9" t="s">
        <v>57</v>
      </c>
      <c r="D2" s="9" t="s">
        <v>58</v>
      </c>
      <c r="E2" s="9" t="s">
        <v>59</v>
      </c>
      <c r="F2" s="9" t="s">
        <v>60</v>
      </c>
      <c r="G2" s="9" t="s">
        <v>61</v>
      </c>
      <c r="H2" s="9" t="s">
        <v>2276</v>
      </c>
      <c r="I2" s="9" t="s">
        <v>62</v>
      </c>
      <c r="J2" s="9" t="s">
        <v>312</v>
      </c>
      <c r="K2" s="9" t="s">
        <v>63</v>
      </c>
      <c r="L2" s="9" t="s">
        <v>64</v>
      </c>
      <c r="M2" s="9" t="s">
        <v>65</v>
      </c>
      <c r="N2" s="9" t="s">
        <v>66</v>
      </c>
      <c r="O2" s="10" t="e">
        <f>#REF!-#REF!+1</f>
        <v>#REF!</v>
      </c>
      <c r="P2" s="11">
        <f>S2/R2</f>
        <v>5374581.2181818169</v>
      </c>
      <c r="Q2" s="12"/>
      <c r="R2" s="13">
        <v>0.4</v>
      </c>
      <c r="S2" s="11">
        <f>X2/W2</f>
        <v>2149832.4872727268</v>
      </c>
      <c r="T2" s="11">
        <f t="shared" ref="T2:T4" si="0">P2*Q2</f>
        <v>0</v>
      </c>
      <c r="U2" s="11">
        <f t="shared" ref="U2:U4" si="1">P2/V2</f>
        <v>1791527.0727272723</v>
      </c>
      <c r="V2" s="152">
        <v>3</v>
      </c>
      <c r="W2" s="154">
        <v>0.55000000000000004</v>
      </c>
      <c r="X2" s="16">
        <v>1182407.8679999998</v>
      </c>
      <c r="Y2" s="16">
        <f t="shared" ref="Y2:Y4" si="2">X2/P2*1000</f>
        <v>220</v>
      </c>
      <c r="Z2" s="16">
        <f t="shared" ref="Z2:Z4" si="3">IFERROR(X2/T2, 0)</f>
        <v>0</v>
      </c>
      <c r="AA2" s="207">
        <f>U2/AB2</f>
        <v>0.67593113066770816</v>
      </c>
      <c r="AB2" s="11">
        <f>'Audience Sizing'!F3</f>
        <v>2650458</v>
      </c>
      <c r="AC2" s="17">
        <v>45383</v>
      </c>
      <c r="AD2" s="17">
        <v>45424</v>
      </c>
      <c r="AF2">
        <v>2.13</v>
      </c>
      <c r="AG2" s="262">
        <f>AF2*P2/1000</f>
        <v>11447.857994727268</v>
      </c>
      <c r="AH2" s="262">
        <f>AG2*5%</f>
        <v>572.39289973636346</v>
      </c>
      <c r="AI2" s="263">
        <f>AG2+AH2</f>
        <v>12020.250894463632</v>
      </c>
      <c r="AK2">
        <v>1.43</v>
      </c>
      <c r="AL2" s="262">
        <f>AK2*P2/1000</f>
        <v>7685.6511419999979</v>
      </c>
      <c r="AM2" s="262">
        <f>AL2*5%</f>
        <v>384.28255709999991</v>
      </c>
      <c r="AN2" s="263">
        <f>SUM(AL2:AM2)</f>
        <v>8069.9336990999982</v>
      </c>
      <c r="AO2" s="408"/>
      <c r="AP2" s="263"/>
      <c r="AQ2" s="89"/>
      <c r="AT2" s="262"/>
    </row>
    <row r="3" spans="1:46" x14ac:dyDescent="0.3">
      <c r="A3" s="9" t="s">
        <v>55</v>
      </c>
      <c r="B3" s="9" t="s">
        <v>56</v>
      </c>
      <c r="C3" s="9" t="s">
        <v>57</v>
      </c>
      <c r="D3" s="9" t="s">
        <v>67</v>
      </c>
      <c r="E3" s="9" t="s">
        <v>59</v>
      </c>
      <c r="F3" s="9" t="s">
        <v>60</v>
      </c>
      <c r="G3" s="9" t="s">
        <v>68</v>
      </c>
      <c r="H3" s="9" t="s">
        <v>2276</v>
      </c>
      <c r="I3" s="9" t="s">
        <v>62</v>
      </c>
      <c r="J3" s="9" t="s">
        <v>313</v>
      </c>
      <c r="K3" s="9" t="s">
        <v>63</v>
      </c>
      <c r="L3" s="9" t="s">
        <v>64</v>
      </c>
      <c r="M3" s="9" t="s">
        <v>65</v>
      </c>
      <c r="N3" s="9" t="s">
        <v>66</v>
      </c>
      <c r="O3" s="10" t="e">
        <f>#REF!-#REF!+1</f>
        <v>#REF!</v>
      </c>
      <c r="P3" s="11">
        <f>S3/R3</f>
        <v>12847460.707845204</v>
      </c>
      <c r="Q3" s="12">
        <v>2E-3</v>
      </c>
      <c r="R3" s="13">
        <v>0.37</v>
      </c>
      <c r="S3" s="11">
        <f>X3/W3</f>
        <v>4753560.4619027255</v>
      </c>
      <c r="T3" s="11">
        <f t="shared" si="0"/>
        <v>25694.921415690409</v>
      </c>
      <c r="U3" s="11">
        <f t="shared" si="1"/>
        <v>2987781.5599640012</v>
      </c>
      <c r="V3" s="152">
        <v>4.3</v>
      </c>
      <c r="W3" s="15">
        <v>0.4</v>
      </c>
      <c r="X3" s="16">
        <v>1901424.1847610902</v>
      </c>
      <c r="Y3" s="16">
        <f t="shared" si="2"/>
        <v>148</v>
      </c>
      <c r="Z3" s="16">
        <f t="shared" si="3"/>
        <v>74</v>
      </c>
      <c r="AA3" s="207">
        <f t="shared" ref="AA3:AA4" si="4">U3/AB3</f>
        <v>0.30795518985866949</v>
      </c>
      <c r="AB3" s="11">
        <f>'Audience Sizing'!E3</f>
        <v>9702001</v>
      </c>
      <c r="AC3" s="17">
        <v>45383</v>
      </c>
      <c r="AD3" s="17">
        <v>45424</v>
      </c>
      <c r="AF3">
        <v>2.13</v>
      </c>
      <c r="AG3" s="262">
        <f t="shared" ref="AG3:AG4" si="5">AF3*P3/1000</f>
        <v>27365.091307710281</v>
      </c>
      <c r="AH3" s="262">
        <f t="shared" ref="AH3:AH4" si="6">AG3*5%</f>
        <v>1368.2545653855141</v>
      </c>
      <c r="AI3" s="263">
        <f t="shared" ref="AI3:AI4" si="7">AG3+AH3</f>
        <v>28733.345873095794</v>
      </c>
      <c r="AK3">
        <v>1.43</v>
      </c>
      <c r="AL3" s="262">
        <f t="shared" ref="AL3:AL4" si="8">AK3*P3/1000</f>
        <v>18371.86881221864</v>
      </c>
      <c r="AM3" s="262">
        <f t="shared" ref="AM3:AM4" si="9">AL3*5%</f>
        <v>918.59344061093202</v>
      </c>
      <c r="AN3" s="263">
        <f t="shared" ref="AN3:AN4" si="10">SUM(AL3:AM3)</f>
        <v>19290.462252829573</v>
      </c>
      <c r="AO3" s="408"/>
      <c r="AP3" s="263"/>
      <c r="AQ3" s="89"/>
      <c r="AT3" s="262"/>
    </row>
    <row r="4" spans="1:46" x14ac:dyDescent="0.3">
      <c r="A4" s="9" t="s">
        <v>55</v>
      </c>
      <c r="B4" s="9" t="s">
        <v>56</v>
      </c>
      <c r="C4" s="9" t="s">
        <v>57</v>
      </c>
      <c r="D4" s="9" t="s">
        <v>67</v>
      </c>
      <c r="E4" s="9" t="s">
        <v>59</v>
      </c>
      <c r="F4" s="9" t="s">
        <v>60</v>
      </c>
      <c r="G4" s="9" t="s">
        <v>69</v>
      </c>
      <c r="H4" s="9" t="s">
        <v>2276</v>
      </c>
      <c r="I4" s="9" t="s">
        <v>62</v>
      </c>
      <c r="J4" s="9" t="s">
        <v>314</v>
      </c>
      <c r="K4" s="9" t="s">
        <v>63</v>
      </c>
      <c r="L4" s="9" t="s">
        <v>64</v>
      </c>
      <c r="M4" s="9" t="s">
        <v>65</v>
      </c>
      <c r="N4" s="9" t="s">
        <v>66</v>
      </c>
      <c r="O4" s="10" t="e">
        <f>#REF!-#REF!+1</f>
        <v>#REF!</v>
      </c>
      <c r="P4" s="11">
        <f>S4/R4</f>
        <v>12353327.603697309</v>
      </c>
      <c r="Q4" s="12">
        <v>2E-3</v>
      </c>
      <c r="R4" s="13">
        <v>0.37</v>
      </c>
      <c r="S4" s="11">
        <f>X4/W4</f>
        <v>4570731.2133680042</v>
      </c>
      <c r="T4" s="11">
        <f t="shared" si="0"/>
        <v>24706.655207394619</v>
      </c>
      <c r="U4" s="11">
        <f t="shared" si="1"/>
        <v>3088331.9009243273</v>
      </c>
      <c r="V4" s="152">
        <v>4</v>
      </c>
      <c r="W4" s="15">
        <v>0.4</v>
      </c>
      <c r="X4" s="16">
        <v>1828292.4853472018</v>
      </c>
      <c r="Y4" s="16">
        <f t="shared" si="2"/>
        <v>148</v>
      </c>
      <c r="Z4" s="16">
        <f t="shared" si="3"/>
        <v>74</v>
      </c>
      <c r="AA4" s="207">
        <f t="shared" si="4"/>
        <v>0.31831906644045155</v>
      </c>
      <c r="AB4" s="11">
        <f>'Audience Sizing'!E3</f>
        <v>9702001</v>
      </c>
      <c r="AC4" s="17">
        <v>45383</v>
      </c>
      <c r="AD4" s="17">
        <v>45424</v>
      </c>
      <c r="AF4">
        <v>2.13</v>
      </c>
      <c r="AG4" s="262">
        <f t="shared" si="5"/>
        <v>26312.587795875264</v>
      </c>
      <c r="AH4" s="262">
        <f t="shared" si="6"/>
        <v>1315.6293897937633</v>
      </c>
      <c r="AI4" s="263">
        <f t="shared" si="7"/>
        <v>27628.217185669029</v>
      </c>
      <c r="AK4">
        <v>1.43</v>
      </c>
      <c r="AL4" s="262">
        <f t="shared" si="8"/>
        <v>17665.258473287151</v>
      </c>
      <c r="AM4" s="262">
        <f t="shared" si="9"/>
        <v>883.26292366435757</v>
      </c>
      <c r="AN4" s="263">
        <f t="shared" si="10"/>
        <v>18548.52139695151</v>
      </c>
      <c r="AO4" s="408"/>
      <c r="AP4" s="263"/>
      <c r="AQ4" s="89"/>
      <c r="AT4" s="262"/>
    </row>
    <row r="5" spans="1:46" hidden="1" x14ac:dyDescent="0.3">
      <c r="A5" s="9" t="s">
        <v>55</v>
      </c>
      <c r="B5" s="9" t="s">
        <v>56</v>
      </c>
      <c r="C5" s="9" t="s">
        <v>71</v>
      </c>
      <c r="D5" s="9" t="s">
        <v>58</v>
      </c>
      <c r="E5" s="9" t="s">
        <v>72</v>
      </c>
      <c r="F5" s="9" t="s">
        <v>60</v>
      </c>
      <c r="G5" s="9" t="s">
        <v>61</v>
      </c>
      <c r="H5" s="9" t="s">
        <v>2276</v>
      </c>
      <c r="I5" s="9" t="s">
        <v>62</v>
      </c>
      <c r="J5" s="9" t="s">
        <v>315</v>
      </c>
      <c r="K5" s="9" t="s">
        <v>73</v>
      </c>
      <c r="L5" s="9" t="s">
        <v>64</v>
      </c>
      <c r="M5" s="9" t="s">
        <v>65</v>
      </c>
      <c r="N5" s="9" t="s">
        <v>65</v>
      </c>
      <c r="O5" s="10" t="e">
        <f>#REF!-#REF!+1</f>
        <v>#REF!</v>
      </c>
      <c r="P5" s="11">
        <f>X5*1000/W5</f>
        <v>1313786.5199999998</v>
      </c>
      <c r="Q5" s="12">
        <v>0</v>
      </c>
      <c r="R5" s="13">
        <v>0.85</v>
      </c>
      <c r="S5" s="11">
        <f>P5*R5</f>
        <v>1116718.5419999999</v>
      </c>
      <c r="T5" s="11">
        <f>P5*Q5</f>
        <v>0</v>
      </c>
      <c r="U5" s="11">
        <f>P5/V5</f>
        <v>218964.41999999995</v>
      </c>
      <c r="V5" s="152">
        <v>6</v>
      </c>
      <c r="W5" s="15">
        <v>450</v>
      </c>
      <c r="X5" s="16">
        <v>591203.93399999989</v>
      </c>
      <c r="Y5" s="16">
        <f t="shared" ref="Y5:Y19" si="11">X5/P5*1000</f>
        <v>450</v>
      </c>
      <c r="Z5" s="16">
        <f>IFERROR(X5/T5, 0)</f>
        <v>0</v>
      </c>
      <c r="AA5" s="207">
        <f t="shared" ref="AA5:AA36" si="12">U5/AB5</f>
        <v>0.29469717300458265</v>
      </c>
      <c r="AB5" s="11">
        <f>'Audience Sizing'!H3</f>
        <v>743015</v>
      </c>
      <c r="AC5" s="17">
        <v>45385</v>
      </c>
      <c r="AD5" s="17">
        <v>45424</v>
      </c>
      <c r="AH5" s="262"/>
      <c r="AI5" s="263"/>
      <c r="AK5">
        <v>1.43</v>
      </c>
      <c r="AL5" s="262">
        <f>AK5*P5/1000</f>
        <v>1878.7147235999996</v>
      </c>
      <c r="AM5" s="262">
        <f>AL5*5%</f>
        <v>93.935736179999992</v>
      </c>
      <c r="AN5" s="263">
        <f>AL5+AM5</f>
        <v>1972.6504597799997</v>
      </c>
      <c r="AP5" s="263"/>
      <c r="AQ5" s="263"/>
      <c r="AT5" s="263"/>
    </row>
    <row r="6" spans="1:46" hidden="1" x14ac:dyDescent="0.3">
      <c r="A6" s="230" t="s">
        <v>74</v>
      </c>
      <c r="B6" s="234"/>
      <c r="C6" s="234"/>
      <c r="D6" s="234"/>
      <c r="E6" s="234"/>
      <c r="F6" s="234"/>
      <c r="G6" s="234"/>
      <c r="H6" s="234"/>
      <c r="I6" s="234"/>
      <c r="J6" s="234"/>
      <c r="K6" s="234"/>
      <c r="L6" s="234"/>
      <c r="M6" s="234"/>
      <c r="N6" s="234"/>
      <c r="O6" s="234"/>
      <c r="P6" s="235">
        <f>SUM(P2:P5)</f>
        <v>31889156.049724329</v>
      </c>
      <c r="Q6" s="236">
        <f>T6/P6</f>
        <v>1.5805240046018944E-3</v>
      </c>
      <c r="R6" s="237">
        <f>S6/P6</f>
        <v>0.39483148079901287</v>
      </c>
      <c r="S6" s="235">
        <f>SUM(S2:S5)</f>
        <v>12590842.704543456</v>
      </c>
      <c r="T6" s="235">
        <f>SUM(T2:T5)</f>
        <v>50401.576623085028</v>
      </c>
      <c r="U6" s="235">
        <f>U3+U4*20%+SUM(U5:U5,U2:U2)*50%</f>
        <v>4610693.6865125028</v>
      </c>
      <c r="V6" s="238">
        <f>P6/U6</f>
        <v>6.9163466970292422</v>
      </c>
      <c r="W6" s="239"/>
      <c r="X6" s="240">
        <f>SUM(X2:X5)</f>
        <v>5503328.4721082915</v>
      </c>
      <c r="Y6" s="22">
        <f t="shared" si="11"/>
        <v>172.57679894466401</v>
      </c>
      <c r="Z6" s="22">
        <f>X6/T6</f>
        <v>109.18960954859587</v>
      </c>
      <c r="AA6" s="241">
        <f t="shared" si="12"/>
        <v>0.47144107224054221</v>
      </c>
      <c r="AB6" s="235">
        <f>'Audience Sizing'!C3</f>
        <v>9780000</v>
      </c>
      <c r="AC6" s="235"/>
      <c r="AD6" s="235"/>
    </row>
    <row r="7" spans="1:46" x14ac:dyDescent="0.3">
      <c r="A7" s="9" t="s">
        <v>55</v>
      </c>
      <c r="B7" s="9" t="s">
        <v>56</v>
      </c>
      <c r="C7" s="9" t="s">
        <v>57</v>
      </c>
      <c r="D7" s="9" t="s">
        <v>58</v>
      </c>
      <c r="E7" s="9" t="s">
        <v>75</v>
      </c>
      <c r="F7" s="9" t="s">
        <v>60</v>
      </c>
      <c r="G7" s="9" t="s">
        <v>61</v>
      </c>
      <c r="H7" s="9" t="s">
        <v>2276</v>
      </c>
      <c r="I7" s="9" t="s">
        <v>76</v>
      </c>
      <c r="J7" s="9" t="s">
        <v>312</v>
      </c>
      <c r="K7" s="9" t="s">
        <v>77</v>
      </c>
      <c r="L7" s="9" t="s">
        <v>64</v>
      </c>
      <c r="M7" s="9" t="s">
        <v>65</v>
      </c>
      <c r="N7" s="9" t="s">
        <v>66</v>
      </c>
      <c r="O7" s="10" t="e">
        <f>#REF!-#REF!+1</f>
        <v>#REF!</v>
      </c>
      <c r="P7" s="11">
        <f t="shared" ref="P7:P18" si="13">X7*1000/W7</f>
        <v>10993126.065600002</v>
      </c>
      <c r="Q7" s="12"/>
      <c r="R7" s="13">
        <v>0.75</v>
      </c>
      <c r="S7" s="11">
        <f t="shared" ref="S7:S18" si="14">P7*R7</f>
        <v>8244844.5492000021</v>
      </c>
      <c r="T7" s="11">
        <f t="shared" ref="T7:T18" si="15">P7*Q7</f>
        <v>0</v>
      </c>
      <c r="U7" s="11">
        <f t="shared" ref="U7:U18" si="16">P7/V7</f>
        <v>1832187.6776000003</v>
      </c>
      <c r="V7" s="152">
        <v>6</v>
      </c>
      <c r="W7" s="15">
        <v>125</v>
      </c>
      <c r="X7" s="16">
        <v>1374140.7582000003</v>
      </c>
      <c r="Y7" s="16">
        <f t="shared" si="11"/>
        <v>125</v>
      </c>
      <c r="Z7" s="16">
        <f t="shared" ref="Z7:Z18" si="17">IFERROR(X7/T7, 0)</f>
        <v>0</v>
      </c>
      <c r="AA7" s="207">
        <f t="shared" si="12"/>
        <v>0.69127210376470793</v>
      </c>
      <c r="AB7" s="11">
        <f>'Audience Sizing'!F3</f>
        <v>2650458</v>
      </c>
      <c r="AC7" s="17">
        <v>45390</v>
      </c>
      <c r="AD7" s="17">
        <v>45473</v>
      </c>
      <c r="AE7" s="17"/>
      <c r="AF7">
        <v>2.13</v>
      </c>
      <c r="AG7" s="262">
        <f>AF7*P7/1000</f>
        <v>23415.358519728004</v>
      </c>
      <c r="AH7" s="262">
        <f>AG7*5%</f>
        <v>1170.7679259864003</v>
      </c>
      <c r="AI7" s="263">
        <f>AG7+AH7</f>
        <v>24586.126445714406</v>
      </c>
      <c r="AK7">
        <v>1.43</v>
      </c>
      <c r="AL7" s="262">
        <f>AK7*P7/1000</f>
        <v>15720.170273808002</v>
      </c>
      <c r="AM7" s="262">
        <f>AL7*5%</f>
        <v>786.00851369040015</v>
      </c>
      <c r="AN7" s="263">
        <f>SUM(AL7:AM7)</f>
        <v>16506.178787498404</v>
      </c>
      <c r="AO7" s="409"/>
      <c r="AP7" s="263"/>
      <c r="AQ7" s="89"/>
      <c r="AT7" s="262"/>
    </row>
    <row r="8" spans="1:46" x14ac:dyDescent="0.3">
      <c r="A8" s="9" t="s">
        <v>55</v>
      </c>
      <c r="B8" s="9" t="s">
        <v>56</v>
      </c>
      <c r="C8" s="9" t="s">
        <v>57</v>
      </c>
      <c r="D8" s="9" t="s">
        <v>67</v>
      </c>
      <c r="E8" s="9" t="s">
        <v>75</v>
      </c>
      <c r="F8" s="9" t="s">
        <v>60</v>
      </c>
      <c r="G8" s="9" t="s">
        <v>68</v>
      </c>
      <c r="H8" s="9" t="s">
        <v>2276</v>
      </c>
      <c r="I8" s="9" t="s">
        <v>76</v>
      </c>
      <c r="J8" s="9" t="s">
        <v>313</v>
      </c>
      <c r="K8" s="9" t="s">
        <v>77</v>
      </c>
      <c r="L8" s="9" t="s">
        <v>64</v>
      </c>
      <c r="M8" s="9" t="s">
        <v>65</v>
      </c>
      <c r="N8" s="9" t="s">
        <v>66</v>
      </c>
      <c r="O8" s="10" t="e">
        <f>#REF!-#REF!+1</f>
        <v>#REF!</v>
      </c>
      <c r="P8" s="11">
        <f t="shared" si="13"/>
        <v>42675178.826086953</v>
      </c>
      <c r="Q8" s="12">
        <v>5.4999999999999997E-3</v>
      </c>
      <c r="R8" s="13">
        <v>0.75</v>
      </c>
      <c r="S8" s="11">
        <f t="shared" si="14"/>
        <v>32006384.119565215</v>
      </c>
      <c r="T8" s="11">
        <f t="shared" si="15"/>
        <v>234713.48354347824</v>
      </c>
      <c r="U8" s="11">
        <f t="shared" si="16"/>
        <v>3556264.9021739126</v>
      </c>
      <c r="V8" s="152">
        <v>12</v>
      </c>
      <c r="W8" s="15">
        <v>115</v>
      </c>
      <c r="X8" s="16">
        <v>4907645.5650000004</v>
      </c>
      <c r="Y8" s="16">
        <f t="shared" si="11"/>
        <v>115.00000000000001</v>
      </c>
      <c r="Z8" s="16">
        <f t="shared" si="17"/>
        <v>20.909090909090914</v>
      </c>
      <c r="AA8" s="207">
        <f t="shared" si="12"/>
        <v>0.36654963261433521</v>
      </c>
      <c r="AB8" s="11">
        <f>'Audience Sizing'!E3</f>
        <v>9702001</v>
      </c>
      <c r="AC8" s="17">
        <v>45390</v>
      </c>
      <c r="AD8" s="17">
        <v>45473</v>
      </c>
      <c r="AE8" s="17"/>
      <c r="AF8">
        <v>2.13</v>
      </c>
      <c r="AG8" s="262">
        <f>AF8*P8/1000</f>
        <v>90898.130899565207</v>
      </c>
      <c r="AH8" s="262">
        <f>AG8*5%</f>
        <v>4544.9065449782602</v>
      </c>
      <c r="AI8" s="263">
        <f>AG8+AH8</f>
        <v>95443.037444543472</v>
      </c>
      <c r="AK8">
        <v>1.43</v>
      </c>
      <c r="AL8" s="262">
        <f>AK8*P8/1000</f>
        <v>61025.50572130434</v>
      </c>
      <c r="AM8" s="262">
        <f>AL8*5%</f>
        <v>3051.2752860652172</v>
      </c>
      <c r="AN8" s="263">
        <f>SUM(AL8:AM8)</f>
        <v>64076.781007369558</v>
      </c>
      <c r="AO8" s="409"/>
      <c r="AP8" s="263"/>
      <c r="AQ8" s="89"/>
      <c r="AT8" s="262"/>
    </row>
    <row r="9" spans="1:46" x14ac:dyDescent="0.3">
      <c r="A9" s="9" t="s">
        <v>55</v>
      </c>
      <c r="B9" s="9" t="s">
        <v>56</v>
      </c>
      <c r="C9" s="9" t="s">
        <v>57</v>
      </c>
      <c r="D9" s="9" t="s">
        <v>67</v>
      </c>
      <c r="E9" s="9" t="s">
        <v>75</v>
      </c>
      <c r="F9" s="9" t="s">
        <v>60</v>
      </c>
      <c r="G9" s="9" t="s">
        <v>69</v>
      </c>
      <c r="H9" s="9" t="s">
        <v>2276</v>
      </c>
      <c r="I9" s="9" t="s">
        <v>76</v>
      </c>
      <c r="J9" s="9" t="s">
        <v>314</v>
      </c>
      <c r="K9" s="9" t="s">
        <v>77</v>
      </c>
      <c r="L9" s="9" t="s">
        <v>64</v>
      </c>
      <c r="M9" s="9" t="s">
        <v>65</v>
      </c>
      <c r="N9" s="9" t="s">
        <v>66</v>
      </c>
      <c r="O9" s="10" t="e">
        <f>#REF!-#REF!+1</f>
        <v>#REF!</v>
      </c>
      <c r="P9" s="11">
        <f t="shared" si="13"/>
        <v>42675178.826086953</v>
      </c>
      <c r="Q9" s="12">
        <v>5.4999999999999997E-3</v>
      </c>
      <c r="R9" s="13">
        <v>0.75</v>
      </c>
      <c r="S9" s="11">
        <f t="shared" si="14"/>
        <v>32006384.119565215</v>
      </c>
      <c r="T9" s="11">
        <f t="shared" si="15"/>
        <v>234713.48354347824</v>
      </c>
      <c r="U9" s="11">
        <f t="shared" si="16"/>
        <v>3556264.9021739126</v>
      </c>
      <c r="V9" s="152">
        <v>12</v>
      </c>
      <c r="W9" s="15">
        <v>115</v>
      </c>
      <c r="X9" s="16">
        <v>4907645.5650000004</v>
      </c>
      <c r="Y9" s="16">
        <f t="shared" si="11"/>
        <v>115.00000000000001</v>
      </c>
      <c r="Z9" s="16">
        <f t="shared" si="17"/>
        <v>20.909090909090914</v>
      </c>
      <c r="AA9" s="207">
        <f t="shared" si="12"/>
        <v>0.36654963261433521</v>
      </c>
      <c r="AB9" s="11">
        <f>'Audience Sizing'!E3</f>
        <v>9702001</v>
      </c>
      <c r="AC9" s="17">
        <v>45390</v>
      </c>
      <c r="AD9" s="17">
        <v>45473</v>
      </c>
      <c r="AE9" s="17"/>
      <c r="AF9">
        <v>2.13</v>
      </c>
      <c r="AG9" s="262">
        <f>AF9*P9/1000</f>
        <v>90898.130899565207</v>
      </c>
      <c r="AH9" s="262">
        <f>AG9*5%</f>
        <v>4544.9065449782602</v>
      </c>
      <c r="AI9" s="263">
        <f>AG9+AH9</f>
        <v>95443.037444543472</v>
      </c>
      <c r="AK9">
        <v>1.43</v>
      </c>
      <c r="AL9" s="262">
        <f>AK9*P9/1000</f>
        <v>61025.50572130434</v>
      </c>
      <c r="AM9" s="262">
        <f>AL9*5%</f>
        <v>3051.2752860652172</v>
      </c>
      <c r="AN9" s="263">
        <f>SUM(AL9:AM9)</f>
        <v>64076.781007369558</v>
      </c>
      <c r="AO9" s="409"/>
      <c r="AP9" s="263"/>
      <c r="AQ9" s="89"/>
      <c r="AT9" s="262"/>
    </row>
    <row r="10" spans="1:46" hidden="1" x14ac:dyDescent="0.3">
      <c r="A10" s="9" t="s">
        <v>55</v>
      </c>
      <c r="B10" s="9" t="s">
        <v>56</v>
      </c>
      <c r="C10" s="9" t="s">
        <v>71</v>
      </c>
      <c r="D10" s="9" t="s">
        <v>58</v>
      </c>
      <c r="E10" s="9" t="s">
        <v>72</v>
      </c>
      <c r="F10" s="9" t="s">
        <v>60</v>
      </c>
      <c r="G10" s="9" t="s">
        <v>61</v>
      </c>
      <c r="H10" s="9" t="s">
        <v>2276</v>
      </c>
      <c r="I10" s="9" t="s">
        <v>76</v>
      </c>
      <c r="J10" s="9" t="s">
        <v>315</v>
      </c>
      <c r="K10" s="9" t="s">
        <v>73</v>
      </c>
      <c r="L10" s="9" t="s">
        <v>64</v>
      </c>
      <c r="M10" s="9" t="s">
        <v>65</v>
      </c>
      <c r="N10" s="9" t="s">
        <v>65</v>
      </c>
      <c r="O10" s="10" t="e">
        <f>#REF!-#REF!+1</f>
        <v>#REF!</v>
      </c>
      <c r="P10" s="11">
        <f t="shared" si="13"/>
        <v>2355669.8711999999</v>
      </c>
      <c r="Q10" s="12">
        <v>0</v>
      </c>
      <c r="R10" s="13">
        <v>0.85</v>
      </c>
      <c r="S10" s="11">
        <f t="shared" si="14"/>
        <v>2002319.3905199999</v>
      </c>
      <c r="T10" s="11">
        <f t="shared" si="15"/>
        <v>0</v>
      </c>
      <c r="U10" s="11">
        <f t="shared" si="16"/>
        <v>392611.64519999997</v>
      </c>
      <c r="V10" s="152">
        <v>6</v>
      </c>
      <c r="W10" s="15">
        <v>250</v>
      </c>
      <c r="X10" s="16">
        <v>588917.46779999998</v>
      </c>
      <c r="Y10" s="16">
        <f t="shared" si="11"/>
        <v>250</v>
      </c>
      <c r="Z10" s="16">
        <f t="shared" si="17"/>
        <v>0</v>
      </c>
      <c r="AA10" s="221">
        <f t="shared" si="12"/>
        <v>0.52840339051028573</v>
      </c>
      <c r="AB10" s="11">
        <f>'Audience Sizing'!H3</f>
        <v>743015</v>
      </c>
      <c r="AC10" s="17">
        <v>45390</v>
      </c>
      <c r="AD10" s="17">
        <v>45473</v>
      </c>
      <c r="AE10" s="17"/>
      <c r="AG10" s="262"/>
      <c r="AH10" s="263"/>
      <c r="AK10">
        <v>1.43</v>
      </c>
      <c r="AL10" s="262">
        <f>AK10*P10/1000</f>
        <v>3368.6079158159996</v>
      </c>
      <c r="AM10" s="262">
        <f>AL10*5%</f>
        <v>168.43039579079999</v>
      </c>
      <c r="AN10" s="263">
        <f>AL10+AM10</f>
        <v>3537.0383116067997</v>
      </c>
      <c r="AO10" s="409"/>
      <c r="AP10" s="263"/>
      <c r="AQ10" s="263"/>
      <c r="AR10" s="262"/>
      <c r="AS10" s="263"/>
      <c r="AT10" s="263"/>
    </row>
    <row r="11" spans="1:46" hidden="1" x14ac:dyDescent="0.3">
      <c r="A11" s="9" t="s">
        <v>55</v>
      </c>
      <c r="B11" s="9" t="s">
        <v>56</v>
      </c>
      <c r="C11" s="9" t="s">
        <v>71</v>
      </c>
      <c r="D11" s="9" t="s">
        <v>67</v>
      </c>
      <c r="E11" s="9" t="s">
        <v>72</v>
      </c>
      <c r="F11" s="9" t="s">
        <v>60</v>
      </c>
      <c r="G11" s="9" t="s">
        <v>68</v>
      </c>
      <c r="H11" s="9" t="s">
        <v>2276</v>
      </c>
      <c r="I11" s="9" t="s">
        <v>76</v>
      </c>
      <c r="J11" s="9" t="s">
        <v>2335</v>
      </c>
      <c r="K11" s="9" t="s">
        <v>73</v>
      </c>
      <c r="L11" s="9" t="s">
        <v>64</v>
      </c>
      <c r="M11" s="9" t="s">
        <v>65</v>
      </c>
      <c r="N11" s="9" t="s">
        <v>65</v>
      </c>
      <c r="O11" s="10" t="e">
        <f>#REF!-#REF!+1</f>
        <v>#REF!</v>
      </c>
      <c r="P11" s="11">
        <f t="shared" si="13"/>
        <v>1620865</v>
      </c>
      <c r="Q11" s="12">
        <v>1.2E-2</v>
      </c>
      <c r="R11" s="13">
        <v>0.85</v>
      </c>
      <c r="S11" s="11">
        <f t="shared" si="14"/>
        <v>1377735.25</v>
      </c>
      <c r="T11" s="11">
        <f t="shared" si="15"/>
        <v>19450.38</v>
      </c>
      <c r="U11" s="11">
        <f t="shared" si="16"/>
        <v>324173</v>
      </c>
      <c r="V11" s="152">
        <v>5</v>
      </c>
      <c r="W11" s="15">
        <v>200</v>
      </c>
      <c r="X11" s="16">
        <v>324173</v>
      </c>
      <c r="Y11" s="16">
        <f t="shared" si="11"/>
        <v>200</v>
      </c>
      <c r="Z11" s="16">
        <f t="shared" si="17"/>
        <v>16.666666666666664</v>
      </c>
      <c r="AA11" s="221">
        <f t="shared" si="12"/>
        <v>3.8753441118793377E-2</v>
      </c>
      <c r="AB11" s="11">
        <f>'Audience Sizing'!G3</f>
        <v>8365012</v>
      </c>
      <c r="AC11" s="17">
        <v>45390</v>
      </c>
      <c r="AD11" s="17">
        <v>45404</v>
      </c>
      <c r="AG11" s="262"/>
      <c r="AH11" s="263"/>
      <c r="AL11" s="262"/>
      <c r="AM11" s="262"/>
      <c r="AN11" s="263"/>
      <c r="AP11" s="263"/>
      <c r="AQ11" s="263"/>
    </row>
    <row r="12" spans="1:46" hidden="1" x14ac:dyDescent="0.3">
      <c r="A12" s="9" t="s">
        <v>55</v>
      </c>
      <c r="B12" s="9" t="s">
        <v>56</v>
      </c>
      <c r="C12" s="9" t="s">
        <v>71</v>
      </c>
      <c r="D12" s="9" t="s">
        <v>67</v>
      </c>
      <c r="E12" s="9" t="s">
        <v>72</v>
      </c>
      <c r="F12" s="9" t="s">
        <v>60</v>
      </c>
      <c r="G12" s="9" t="s">
        <v>68</v>
      </c>
      <c r="H12" s="9" t="s">
        <v>2276</v>
      </c>
      <c r="I12" s="9" t="s">
        <v>76</v>
      </c>
      <c r="J12" s="9" t="s">
        <v>2298</v>
      </c>
      <c r="K12" s="9" t="s">
        <v>73</v>
      </c>
      <c r="L12" s="9" t="s">
        <v>64</v>
      </c>
      <c r="M12" s="9" t="s">
        <v>65</v>
      </c>
      <c r="N12" s="9" t="s">
        <v>65</v>
      </c>
      <c r="O12" s="10" t="e">
        <f>#REF!-#REF!+1</f>
        <v>#REF!</v>
      </c>
      <c r="P12" s="11">
        <f t="shared" si="13"/>
        <v>3414647.7423999999</v>
      </c>
      <c r="Q12" s="12">
        <v>1.2E-2</v>
      </c>
      <c r="R12" s="13">
        <v>0.85</v>
      </c>
      <c r="S12" s="11">
        <f t="shared" si="14"/>
        <v>2902450.5810399996</v>
      </c>
      <c r="T12" s="11">
        <f t="shared" si="15"/>
        <v>40975.772908799998</v>
      </c>
      <c r="U12" s="11">
        <f t="shared" si="16"/>
        <v>682929.54848</v>
      </c>
      <c r="V12" s="152">
        <v>5</v>
      </c>
      <c r="W12" s="15">
        <v>200</v>
      </c>
      <c r="X12" s="16">
        <v>682929.54848</v>
      </c>
      <c r="Y12" s="16">
        <f t="shared" si="11"/>
        <v>200</v>
      </c>
      <c r="Z12" s="16">
        <f t="shared" si="17"/>
        <v>16.666666666666668</v>
      </c>
      <c r="AA12" s="221">
        <f t="shared" si="12"/>
        <v>8.1641191725726162E-2</v>
      </c>
      <c r="AB12" s="11">
        <f>'Audience Sizing'!G3</f>
        <v>8365012</v>
      </c>
      <c r="AC12" s="17">
        <v>45390</v>
      </c>
      <c r="AD12" s="17">
        <v>45473</v>
      </c>
      <c r="AE12" s="17"/>
      <c r="AG12" s="262"/>
      <c r="AH12" s="263"/>
      <c r="AK12">
        <v>1.43</v>
      </c>
      <c r="AL12" s="262">
        <f>AK12*P12/1000</f>
        <v>4882.9462716319995</v>
      </c>
      <c r="AM12" s="262">
        <f>AL12*5%</f>
        <v>244.14731358159997</v>
      </c>
      <c r="AN12" s="263">
        <f>AL12+AM12</f>
        <v>5127.093585213599</v>
      </c>
      <c r="AO12" s="409"/>
      <c r="AP12" s="263"/>
      <c r="AQ12" s="263"/>
      <c r="AR12" s="262"/>
      <c r="AS12" s="263"/>
      <c r="AT12" s="263"/>
    </row>
    <row r="13" spans="1:46" hidden="1" x14ac:dyDescent="0.3">
      <c r="A13" s="9" t="s">
        <v>55</v>
      </c>
      <c r="B13" s="9" t="s">
        <v>56</v>
      </c>
      <c r="C13" s="9" t="s">
        <v>71</v>
      </c>
      <c r="D13" s="9" t="s">
        <v>67</v>
      </c>
      <c r="E13" s="9" t="s">
        <v>72</v>
      </c>
      <c r="F13" s="9" t="s">
        <v>60</v>
      </c>
      <c r="G13" s="9" t="s">
        <v>68</v>
      </c>
      <c r="H13" s="9" t="s">
        <v>2276</v>
      </c>
      <c r="I13" s="9" t="s">
        <v>76</v>
      </c>
      <c r="J13" s="9" t="s">
        <v>2299</v>
      </c>
      <c r="K13" s="9" t="s">
        <v>73</v>
      </c>
      <c r="L13" s="9" t="s">
        <v>64</v>
      </c>
      <c r="M13" s="9" t="s">
        <v>65</v>
      </c>
      <c r="N13" s="9" t="s">
        <v>65</v>
      </c>
      <c r="O13" s="10" t="e">
        <f>#REF!-#REF!+1</f>
        <v>#REF!</v>
      </c>
      <c r="P13" s="11">
        <f t="shared" si="13"/>
        <v>1422769.8926666665</v>
      </c>
      <c r="Q13" s="12">
        <v>1.2E-2</v>
      </c>
      <c r="R13" s="13">
        <v>0.85</v>
      </c>
      <c r="S13" s="11">
        <f t="shared" si="14"/>
        <v>1209354.4087666664</v>
      </c>
      <c r="T13" s="11">
        <f t="shared" si="15"/>
        <v>17073.238711999998</v>
      </c>
      <c r="U13" s="11">
        <f t="shared" si="16"/>
        <v>284553.97853333328</v>
      </c>
      <c r="V13" s="152">
        <v>5</v>
      </c>
      <c r="W13" s="15">
        <f>200*60%</f>
        <v>120</v>
      </c>
      <c r="X13" s="16">
        <v>170732.38711999997</v>
      </c>
      <c r="Y13" s="16">
        <f t="shared" si="11"/>
        <v>120</v>
      </c>
      <c r="Z13" s="16">
        <f t="shared" si="17"/>
        <v>10</v>
      </c>
      <c r="AA13" s="221">
        <f t="shared" si="12"/>
        <v>3.4017163219052557E-2</v>
      </c>
      <c r="AB13" s="11">
        <f>'Audience Sizing'!G3</f>
        <v>8365012</v>
      </c>
      <c r="AC13" s="17">
        <v>45406</v>
      </c>
      <c r="AD13" s="17">
        <v>45473</v>
      </c>
      <c r="AE13" s="17"/>
      <c r="AG13" s="262"/>
      <c r="AH13" s="263"/>
      <c r="AK13">
        <v>1.43</v>
      </c>
      <c r="AL13" s="262">
        <f>AK13*P13/1000</f>
        <v>2034.5609465133332</v>
      </c>
      <c r="AM13" s="262">
        <f>AL13*5%</f>
        <v>101.72804732566667</v>
      </c>
      <c r="AN13" s="263">
        <f>AL13+AM13</f>
        <v>2136.2889938389999</v>
      </c>
      <c r="AO13" s="409"/>
      <c r="AP13" s="263"/>
      <c r="AQ13" s="263"/>
      <c r="AR13" s="262"/>
      <c r="AS13" s="263"/>
      <c r="AT13" s="263"/>
    </row>
    <row r="14" spans="1:46" hidden="1" x14ac:dyDescent="0.3">
      <c r="A14" s="9" t="s">
        <v>55</v>
      </c>
      <c r="B14" s="9" t="s">
        <v>56</v>
      </c>
      <c r="C14" s="9" t="s">
        <v>71</v>
      </c>
      <c r="D14" s="9" t="s">
        <v>67</v>
      </c>
      <c r="E14" s="9" t="s">
        <v>72</v>
      </c>
      <c r="F14" s="9" t="s">
        <v>60</v>
      </c>
      <c r="G14" s="9" t="s">
        <v>69</v>
      </c>
      <c r="H14" s="9" t="s">
        <v>2276</v>
      </c>
      <c r="I14" s="9" t="s">
        <v>76</v>
      </c>
      <c r="J14" s="9" t="s">
        <v>2336</v>
      </c>
      <c r="K14" s="9" t="s">
        <v>73</v>
      </c>
      <c r="L14" s="9" t="s">
        <v>64</v>
      </c>
      <c r="M14" s="9" t="s">
        <v>65</v>
      </c>
      <c r="N14" s="9" t="s">
        <v>65</v>
      </c>
      <c r="O14" s="10" t="e">
        <f>#REF!-#REF!+1</f>
        <v>#REF!</v>
      </c>
      <c r="P14" s="11">
        <f t="shared" si="13"/>
        <v>1621815</v>
      </c>
      <c r="Q14" s="12">
        <v>1.2E-2</v>
      </c>
      <c r="R14" s="13">
        <v>0.85</v>
      </c>
      <c r="S14" s="11">
        <f t="shared" si="14"/>
        <v>1378542.75</v>
      </c>
      <c r="T14" s="11">
        <f t="shared" si="15"/>
        <v>19461.78</v>
      </c>
      <c r="U14" s="11">
        <f t="shared" si="16"/>
        <v>324363</v>
      </c>
      <c r="V14" s="152">
        <v>5</v>
      </c>
      <c r="W14" s="15">
        <v>200</v>
      </c>
      <c r="X14" s="16">
        <v>324363</v>
      </c>
      <c r="Y14" s="16">
        <f t="shared" si="11"/>
        <v>200</v>
      </c>
      <c r="Z14" s="16">
        <f t="shared" si="17"/>
        <v>16.666666666666668</v>
      </c>
      <c r="AA14" s="221">
        <f t="shared" si="12"/>
        <v>3.877615477419518E-2</v>
      </c>
      <c r="AB14" s="11">
        <v>8365012</v>
      </c>
      <c r="AC14" s="17">
        <v>45390</v>
      </c>
      <c r="AD14" s="17">
        <v>45404</v>
      </c>
      <c r="AG14" s="262"/>
      <c r="AH14" s="263"/>
      <c r="AL14" s="262"/>
      <c r="AM14" s="262"/>
      <c r="AN14" s="263"/>
      <c r="AP14" s="263"/>
      <c r="AQ14" s="263"/>
    </row>
    <row r="15" spans="1:46" hidden="1" x14ac:dyDescent="0.3">
      <c r="A15" s="9" t="s">
        <v>55</v>
      </c>
      <c r="B15" s="9" t="s">
        <v>56</v>
      </c>
      <c r="C15" s="9" t="s">
        <v>71</v>
      </c>
      <c r="D15" s="9" t="s">
        <v>67</v>
      </c>
      <c r="E15" s="9" t="s">
        <v>72</v>
      </c>
      <c r="F15" s="9" t="s">
        <v>60</v>
      </c>
      <c r="G15" s="9" t="s">
        <v>69</v>
      </c>
      <c r="H15" s="9" t="s">
        <v>2276</v>
      </c>
      <c r="I15" s="9" t="s">
        <v>76</v>
      </c>
      <c r="J15" s="9" t="s">
        <v>2334</v>
      </c>
      <c r="K15" s="9" t="s">
        <v>73</v>
      </c>
      <c r="L15" s="9" t="s">
        <v>64</v>
      </c>
      <c r="M15" s="9" t="s">
        <v>65</v>
      </c>
      <c r="N15" s="9" t="s">
        <v>65</v>
      </c>
      <c r="O15" s="10" t="e">
        <f>#REF!-#REF!+1</f>
        <v>#REF!</v>
      </c>
      <c r="P15" s="11">
        <f t="shared" si="13"/>
        <v>3413887.7423999999</v>
      </c>
      <c r="Q15" s="12">
        <v>1.2E-2</v>
      </c>
      <c r="R15" s="13">
        <v>0.85</v>
      </c>
      <c r="S15" s="11">
        <f t="shared" si="14"/>
        <v>2901804.5810399996</v>
      </c>
      <c r="T15" s="11">
        <f t="shared" si="15"/>
        <v>40966.652908800002</v>
      </c>
      <c r="U15" s="11">
        <f t="shared" si="16"/>
        <v>682777.54848</v>
      </c>
      <c r="V15" s="152">
        <v>5</v>
      </c>
      <c r="W15" s="15">
        <v>200</v>
      </c>
      <c r="X15" s="16">
        <v>682777.54848</v>
      </c>
      <c r="Y15" s="16">
        <f t="shared" si="11"/>
        <v>200</v>
      </c>
      <c r="Z15" s="16">
        <f t="shared" si="17"/>
        <v>16.666666666666664</v>
      </c>
      <c r="AA15" s="221">
        <f t="shared" si="12"/>
        <v>8.1623020801404711E-2</v>
      </c>
      <c r="AB15" s="11">
        <v>8365012</v>
      </c>
      <c r="AC15" s="17">
        <v>45390</v>
      </c>
      <c r="AD15" s="17">
        <v>45473</v>
      </c>
      <c r="AE15" s="17"/>
      <c r="AG15" s="262"/>
      <c r="AH15" s="263"/>
      <c r="AK15">
        <v>1.43</v>
      </c>
      <c r="AL15" s="262">
        <f>AK15*P15/1000</f>
        <v>4881.8594716320003</v>
      </c>
      <c r="AM15" s="262">
        <f>AL15*5%</f>
        <v>244.09297358160003</v>
      </c>
      <c r="AN15" s="263">
        <f>AL15+AM15</f>
        <v>5125.9524452136002</v>
      </c>
      <c r="AO15" s="409"/>
      <c r="AP15" s="263"/>
      <c r="AQ15" s="263"/>
      <c r="AR15" s="262"/>
      <c r="AS15" s="263"/>
      <c r="AT15" s="263"/>
    </row>
    <row r="16" spans="1:46" hidden="1" x14ac:dyDescent="0.3">
      <c r="A16" s="9" t="s">
        <v>55</v>
      </c>
      <c r="B16" s="9" t="s">
        <v>56</v>
      </c>
      <c r="C16" s="9" t="s">
        <v>71</v>
      </c>
      <c r="D16" s="9" t="s">
        <v>67</v>
      </c>
      <c r="E16" s="9" t="s">
        <v>72</v>
      </c>
      <c r="F16" s="9" t="s">
        <v>60</v>
      </c>
      <c r="G16" s="9" t="s">
        <v>69</v>
      </c>
      <c r="H16" s="9" t="s">
        <v>2276</v>
      </c>
      <c r="I16" s="9" t="s">
        <v>76</v>
      </c>
      <c r="J16" s="9" t="s">
        <v>2300</v>
      </c>
      <c r="K16" s="9" t="s">
        <v>73</v>
      </c>
      <c r="L16" s="9" t="s">
        <v>64</v>
      </c>
      <c r="M16" s="9" t="s">
        <v>65</v>
      </c>
      <c r="N16" s="9" t="s">
        <v>65</v>
      </c>
      <c r="O16" s="10" t="e">
        <f>#REF!-#REF!+1</f>
        <v>#REF!</v>
      </c>
      <c r="P16" s="11">
        <f t="shared" si="13"/>
        <v>1422453.2259999998</v>
      </c>
      <c r="Q16" s="12">
        <v>1.2E-2</v>
      </c>
      <c r="R16" s="13">
        <v>0.85</v>
      </c>
      <c r="S16" s="11">
        <f t="shared" si="14"/>
        <v>1209085.2420999997</v>
      </c>
      <c r="T16" s="11">
        <f t="shared" si="15"/>
        <v>17069.438711999999</v>
      </c>
      <c r="U16" s="11">
        <f t="shared" si="16"/>
        <v>284490.64519999997</v>
      </c>
      <c r="V16" s="152">
        <v>5</v>
      </c>
      <c r="W16" s="15">
        <f>200*60%</f>
        <v>120</v>
      </c>
      <c r="X16" s="16">
        <v>170694.38711999997</v>
      </c>
      <c r="Y16" s="16">
        <f t="shared" si="11"/>
        <v>120</v>
      </c>
      <c r="Z16" s="16">
        <f t="shared" si="17"/>
        <v>9.9999999999999982</v>
      </c>
      <c r="AA16" s="221">
        <f t="shared" si="12"/>
        <v>3.4009592000585294E-2</v>
      </c>
      <c r="AB16" s="11">
        <f>'Audience Sizing'!G3</f>
        <v>8365012</v>
      </c>
      <c r="AC16" s="17">
        <v>45406</v>
      </c>
      <c r="AD16" s="17">
        <v>45473</v>
      </c>
      <c r="AE16" s="17"/>
      <c r="AG16" s="262"/>
      <c r="AH16" s="263"/>
      <c r="AK16">
        <v>1.43</v>
      </c>
      <c r="AL16" s="262">
        <f>AK16*P16/1000</f>
        <v>2034.1081131799997</v>
      </c>
      <c r="AM16" s="262">
        <f>AL16*5%</f>
        <v>101.70540565899999</v>
      </c>
      <c r="AN16" s="263">
        <f>AL16+AM16</f>
        <v>2135.8135188389997</v>
      </c>
      <c r="AO16" s="409"/>
      <c r="AP16" s="263"/>
      <c r="AQ16" s="263"/>
      <c r="AR16" s="262"/>
      <c r="AS16" s="263"/>
      <c r="AT16" s="263"/>
    </row>
    <row r="17" spans="1:46" x14ac:dyDescent="0.3">
      <c r="A17" s="9" t="s">
        <v>55</v>
      </c>
      <c r="B17" s="9" t="s">
        <v>56</v>
      </c>
      <c r="C17" s="9" t="s">
        <v>57</v>
      </c>
      <c r="D17" s="9" t="s">
        <v>67</v>
      </c>
      <c r="E17" s="9" t="s">
        <v>59</v>
      </c>
      <c r="F17" s="9" t="s">
        <v>60</v>
      </c>
      <c r="G17" s="9" t="s">
        <v>308</v>
      </c>
      <c r="H17" s="9" t="s">
        <v>2276</v>
      </c>
      <c r="I17" s="9" t="s">
        <v>78</v>
      </c>
      <c r="J17" s="9" t="s">
        <v>313</v>
      </c>
      <c r="K17" s="9" t="s">
        <v>73</v>
      </c>
      <c r="L17" s="9" t="s">
        <v>64</v>
      </c>
      <c r="M17" s="9" t="s">
        <v>65</v>
      </c>
      <c r="N17" s="9" t="s">
        <v>66</v>
      </c>
      <c r="O17" s="10" t="e">
        <f>#REF!-#REF!+1</f>
        <v>#REF!</v>
      </c>
      <c r="P17" s="11">
        <f t="shared" si="13"/>
        <v>29445873.390000001</v>
      </c>
      <c r="Q17" s="12">
        <v>2E-3</v>
      </c>
      <c r="R17" s="13">
        <v>0.9</v>
      </c>
      <c r="S17" s="11">
        <f t="shared" si="14"/>
        <v>26501286.051000003</v>
      </c>
      <c r="T17" s="11">
        <f t="shared" si="15"/>
        <v>58891.746780000001</v>
      </c>
      <c r="U17" s="11">
        <f t="shared" si="16"/>
        <v>5889174.6780000003</v>
      </c>
      <c r="V17" s="152">
        <v>5</v>
      </c>
      <c r="W17" s="15">
        <v>60</v>
      </c>
      <c r="X17" s="16">
        <v>1766752.4034000002</v>
      </c>
      <c r="Y17" s="16">
        <f t="shared" si="11"/>
        <v>60.000000000000007</v>
      </c>
      <c r="Z17" s="16">
        <f t="shared" si="17"/>
        <v>30.000000000000004</v>
      </c>
      <c r="AA17" s="221">
        <f t="shared" si="12"/>
        <v>0.60700619160933922</v>
      </c>
      <c r="AB17" s="11">
        <f>'Audience Sizing'!E3</f>
        <v>9702001</v>
      </c>
      <c r="AC17" s="17">
        <v>45418</v>
      </c>
      <c r="AD17" s="17">
        <v>45473</v>
      </c>
      <c r="AE17" s="17"/>
      <c r="AF17">
        <v>2.13</v>
      </c>
      <c r="AG17" s="262">
        <f>AF17*P17/1000</f>
        <v>62719.710320699996</v>
      </c>
      <c r="AH17" s="262">
        <f>AG17*5%</f>
        <v>3135.9855160349998</v>
      </c>
      <c r="AI17" s="263">
        <f>AG17+AH17</f>
        <v>65855.695836735002</v>
      </c>
      <c r="AK17">
        <v>1.43</v>
      </c>
      <c r="AL17" s="262">
        <f>AK17*P17/1000</f>
        <v>42107.598947700004</v>
      </c>
      <c r="AM17" s="262">
        <f>AL17*5%</f>
        <v>2105.3799473850004</v>
      </c>
      <c r="AN17" s="263">
        <f>SUM(AL17:AM17)</f>
        <v>44212.978895085005</v>
      </c>
      <c r="AO17" s="409"/>
      <c r="AP17" s="263"/>
      <c r="AQ17" s="89"/>
      <c r="AT17" s="262"/>
    </row>
    <row r="18" spans="1:46" x14ac:dyDescent="0.3">
      <c r="A18" s="9" t="s">
        <v>55</v>
      </c>
      <c r="B18" s="9" t="s">
        <v>56</v>
      </c>
      <c r="C18" s="9" t="s">
        <v>57</v>
      </c>
      <c r="D18" s="9" t="s">
        <v>67</v>
      </c>
      <c r="E18" s="9" t="s">
        <v>59</v>
      </c>
      <c r="F18" s="9" t="s">
        <v>60</v>
      </c>
      <c r="G18" s="9" t="s">
        <v>307</v>
      </c>
      <c r="H18" s="9" t="s">
        <v>2276</v>
      </c>
      <c r="I18" s="9" t="s">
        <v>78</v>
      </c>
      <c r="J18" s="9" t="s">
        <v>314</v>
      </c>
      <c r="K18" s="9" t="s">
        <v>73</v>
      </c>
      <c r="L18" s="9" t="s">
        <v>64</v>
      </c>
      <c r="M18" s="9" t="s">
        <v>65</v>
      </c>
      <c r="N18" s="9" t="s">
        <v>66</v>
      </c>
      <c r="O18" s="10" t="e">
        <f>#REF!-#REF!+1</f>
        <v>#REF!</v>
      </c>
      <c r="P18" s="11">
        <f t="shared" si="13"/>
        <v>29445873.390000001</v>
      </c>
      <c r="Q18" s="12">
        <v>2E-3</v>
      </c>
      <c r="R18" s="13">
        <v>0.9</v>
      </c>
      <c r="S18" s="11">
        <f t="shared" si="14"/>
        <v>26501286.051000003</v>
      </c>
      <c r="T18" s="11">
        <f t="shared" si="15"/>
        <v>58891.746780000001</v>
      </c>
      <c r="U18" s="11">
        <f t="shared" si="16"/>
        <v>5889174.6780000003</v>
      </c>
      <c r="V18" s="152">
        <v>5</v>
      </c>
      <c r="W18" s="15">
        <v>60</v>
      </c>
      <c r="X18" s="16">
        <v>1766752.4034000002</v>
      </c>
      <c r="Y18" s="16">
        <f t="shared" si="11"/>
        <v>60.000000000000007</v>
      </c>
      <c r="Z18" s="16">
        <f t="shared" si="17"/>
        <v>30.000000000000004</v>
      </c>
      <c r="AA18" s="221">
        <f t="shared" si="12"/>
        <v>0.60700619160933922</v>
      </c>
      <c r="AB18" s="11">
        <f>'Audience Sizing'!E3</f>
        <v>9702001</v>
      </c>
      <c r="AC18" s="17">
        <v>45418</v>
      </c>
      <c r="AD18" s="17">
        <v>45473</v>
      </c>
      <c r="AE18" s="17"/>
      <c r="AF18">
        <v>2.13</v>
      </c>
      <c r="AG18" s="262">
        <f>AF18*P18/1000</f>
        <v>62719.710320699996</v>
      </c>
      <c r="AH18" s="262">
        <f>AG18*5%</f>
        <v>3135.9855160349998</v>
      </c>
      <c r="AI18" s="263">
        <f>AG18+AH18</f>
        <v>65855.695836735002</v>
      </c>
      <c r="AK18">
        <v>1.43</v>
      </c>
      <c r="AL18" s="262">
        <f>AK18*P18/1000</f>
        <v>42107.598947700004</v>
      </c>
      <c r="AM18" s="262">
        <f>AL18*5%</f>
        <v>2105.3799473850004</v>
      </c>
      <c r="AN18" s="263">
        <f>SUM(AL18:AM18)</f>
        <v>44212.978895085005</v>
      </c>
      <c r="AO18" s="409"/>
      <c r="AP18" s="263"/>
      <c r="AQ18" s="89"/>
      <c r="AT18" s="262"/>
    </row>
    <row r="19" spans="1:46" hidden="1" x14ac:dyDescent="0.3">
      <c r="A19" s="230" t="s">
        <v>81</v>
      </c>
      <c r="B19" s="234"/>
      <c r="C19" s="234"/>
      <c r="D19" s="234"/>
      <c r="E19" s="234"/>
      <c r="F19" s="234"/>
      <c r="G19" s="234"/>
      <c r="H19" s="234"/>
      <c r="I19" s="234"/>
      <c r="J19" s="234"/>
      <c r="K19" s="234"/>
      <c r="L19" s="234"/>
      <c r="M19" s="234"/>
      <c r="N19" s="234"/>
      <c r="O19" s="234"/>
      <c r="P19" s="235">
        <f>SUM(P7:P18)</f>
        <v>170507338.9724406</v>
      </c>
      <c r="Q19" s="236">
        <f>T19/P19</f>
        <v>4.3529371132143531E-3</v>
      </c>
      <c r="R19" s="237">
        <f>S19/P19</f>
        <v>0.8107655537111006</v>
      </c>
      <c r="S19" s="235">
        <f>SUM(S7:S18)</f>
        <v>138241477.09379712</v>
      </c>
      <c r="T19" s="235">
        <f>SUM(T7:T18)</f>
        <v>742207.72388855671</v>
      </c>
      <c r="U19" s="235">
        <f>U8+U9*20%+SUM(U10:U12,U7)*50%</f>
        <v>5883468.8182486948</v>
      </c>
      <c r="V19" s="242">
        <f>P19/U19</f>
        <v>28.980750003055977</v>
      </c>
      <c r="W19" s="239"/>
      <c r="X19" s="240">
        <f>SUM(X7:X18)</f>
        <v>17667524.034000002</v>
      </c>
      <c r="Y19" s="22">
        <f t="shared" si="11"/>
        <v>103.61738175302609</v>
      </c>
      <c r="Z19" s="22">
        <f>X19/T19</f>
        <v>23.804015325301034</v>
      </c>
      <c r="AA19" s="241">
        <f t="shared" si="12"/>
        <v>0.60158167875753521</v>
      </c>
      <c r="AB19" s="235">
        <f>'Audience Sizing'!C3</f>
        <v>9780000</v>
      </c>
      <c r="AC19" s="235"/>
      <c r="AD19" s="235"/>
    </row>
    <row r="20" spans="1:46" hidden="1" x14ac:dyDescent="0.3">
      <c r="A20" s="231" t="s">
        <v>82</v>
      </c>
      <c r="B20" s="243"/>
      <c r="C20" s="243"/>
      <c r="D20" s="243"/>
      <c r="E20" s="243"/>
      <c r="F20" s="243"/>
      <c r="G20" s="243"/>
      <c r="H20" s="243"/>
      <c r="I20" s="243"/>
      <c r="J20" s="243"/>
      <c r="K20" s="243"/>
      <c r="L20" s="243"/>
      <c r="M20" s="243"/>
      <c r="N20" s="243"/>
      <c r="O20" s="243"/>
      <c r="P20" s="244">
        <f>SUM(P19,P6)</f>
        <v>202396495.02216494</v>
      </c>
      <c r="Q20" s="245">
        <f>T20/P20</f>
        <v>3.9161216720914127E-3</v>
      </c>
      <c r="R20" s="246">
        <f>S20/P20</f>
        <v>0.74523187657880408</v>
      </c>
      <c r="S20" s="244">
        <f>SUM(S19,S6)</f>
        <v>150832319.79834056</v>
      </c>
      <c r="T20" s="244">
        <f>SUM(T19,T6)</f>
        <v>792609.30051164178</v>
      </c>
      <c r="U20" s="244">
        <f>U6+U19*5%</f>
        <v>4904867.1274249377</v>
      </c>
      <c r="V20" s="247">
        <f>P20/U20</f>
        <v>41.264419557971472</v>
      </c>
      <c r="W20" s="248"/>
      <c r="X20" s="249">
        <f>SUM(X19,X6)</f>
        <v>23170852.506108291</v>
      </c>
      <c r="Y20" s="106"/>
      <c r="Z20" s="106"/>
      <c r="AA20" s="250">
        <f t="shared" si="12"/>
        <v>0.50152015617841894</v>
      </c>
      <c r="AB20" s="244">
        <f>'Audience Sizing'!C3</f>
        <v>9780000</v>
      </c>
      <c r="AC20" s="244"/>
      <c r="AD20" s="244"/>
    </row>
    <row r="21" spans="1:46" x14ac:dyDescent="0.3">
      <c r="A21" s="9" t="s">
        <v>83</v>
      </c>
      <c r="B21" s="9" t="s">
        <v>56</v>
      </c>
      <c r="C21" s="9" t="s">
        <v>57</v>
      </c>
      <c r="D21" s="9" t="s">
        <v>58</v>
      </c>
      <c r="E21" s="9" t="s">
        <v>59</v>
      </c>
      <c r="F21" s="9" t="s">
        <v>60</v>
      </c>
      <c r="G21" s="9" t="s">
        <v>61</v>
      </c>
      <c r="H21" s="9" t="s">
        <v>2276</v>
      </c>
      <c r="I21" s="9" t="s">
        <v>62</v>
      </c>
      <c r="J21" s="9" t="s">
        <v>312</v>
      </c>
      <c r="K21" s="9" t="s">
        <v>63</v>
      </c>
      <c r="L21" s="9" t="s">
        <v>64</v>
      </c>
      <c r="M21" s="9" t="s">
        <v>65</v>
      </c>
      <c r="N21" s="9" t="s">
        <v>66</v>
      </c>
      <c r="O21" s="10" t="e">
        <f>#REF!-#REF!+1</f>
        <v>#REF!</v>
      </c>
      <c r="P21" s="11">
        <f>S21/R21</f>
        <v>4143593.2909090901</v>
      </c>
      <c r="Q21" s="12"/>
      <c r="R21" s="13">
        <v>0.4</v>
      </c>
      <c r="S21" s="11">
        <f>X21/W21</f>
        <v>1657437.3163636362</v>
      </c>
      <c r="T21" s="11">
        <f>P21*Q21</f>
        <v>0</v>
      </c>
      <c r="U21" s="11">
        <f>P21/V21</f>
        <v>1381197.7636363634</v>
      </c>
      <c r="V21" s="152">
        <v>3</v>
      </c>
      <c r="W21" s="154">
        <v>0.55000000000000004</v>
      </c>
      <c r="X21" s="16">
        <v>911590.52399999998</v>
      </c>
      <c r="Y21" s="16">
        <f t="shared" ref="Y21:Y38" si="18">X21/P21*1000</f>
        <v>220.00000000000003</v>
      </c>
      <c r="Z21" s="16">
        <f>IFERROR(X21/T21, 0)</f>
        <v>0</v>
      </c>
      <c r="AA21" s="207">
        <f t="shared" si="12"/>
        <v>0.79901110566861666</v>
      </c>
      <c r="AB21" s="11">
        <f>'Audience Sizing'!F4</f>
        <v>1728634</v>
      </c>
      <c r="AC21" s="17">
        <v>45383</v>
      </c>
      <c r="AD21" s="17">
        <v>45424</v>
      </c>
      <c r="AF21">
        <v>2.13</v>
      </c>
      <c r="AG21" s="262">
        <f>AF21*P21/1000</f>
        <v>8825.8537096363616</v>
      </c>
      <c r="AH21" s="262">
        <f>AG21*5%</f>
        <v>441.29268548181813</v>
      </c>
      <c r="AI21" s="263">
        <f>AG21+AH21</f>
        <v>9267.1463951181795</v>
      </c>
      <c r="AK21">
        <v>1.43</v>
      </c>
      <c r="AL21" s="262">
        <f>AK21*P21/1000</f>
        <v>5925.3384059999989</v>
      </c>
      <c r="AM21" s="262">
        <f>AL21*5%</f>
        <v>296.26692029999998</v>
      </c>
      <c r="AN21" s="263">
        <f>SUM(AL21:AM21)</f>
        <v>6221.6053262999985</v>
      </c>
      <c r="AO21" s="409"/>
      <c r="AP21" s="263"/>
      <c r="AQ21" s="89"/>
      <c r="AT21" s="262"/>
    </row>
    <row r="22" spans="1:46" x14ac:dyDescent="0.3">
      <c r="A22" s="9" t="s">
        <v>83</v>
      </c>
      <c r="B22" s="9" t="s">
        <v>56</v>
      </c>
      <c r="C22" s="9" t="s">
        <v>57</v>
      </c>
      <c r="D22" s="9" t="s">
        <v>67</v>
      </c>
      <c r="E22" s="9" t="s">
        <v>59</v>
      </c>
      <c r="F22" s="9" t="s">
        <v>60</v>
      </c>
      <c r="G22" s="9" t="s">
        <v>68</v>
      </c>
      <c r="H22" s="9" t="s">
        <v>2276</v>
      </c>
      <c r="I22" s="9" t="s">
        <v>62</v>
      </c>
      <c r="J22" s="9" t="s">
        <v>313</v>
      </c>
      <c r="K22" s="9" t="s">
        <v>63</v>
      </c>
      <c r="L22" s="9" t="s">
        <v>64</v>
      </c>
      <c r="M22" s="9" t="s">
        <v>65</v>
      </c>
      <c r="N22" s="9" t="s">
        <v>66</v>
      </c>
      <c r="O22" s="10" t="e">
        <f>#REF!-#REF!+1</f>
        <v>#REF!</v>
      </c>
      <c r="P22" s="11">
        <f>S22/R22</f>
        <v>9904893.0201587752</v>
      </c>
      <c r="Q22" s="12">
        <v>2E-3</v>
      </c>
      <c r="R22" s="13">
        <v>0.37</v>
      </c>
      <c r="S22" s="11">
        <f>X22/W22</f>
        <v>3664810.417458747</v>
      </c>
      <c r="T22" s="11">
        <f>P22*Q22</f>
        <v>19809.786040317551</v>
      </c>
      <c r="U22" s="11">
        <f>P22/V22</f>
        <v>2303463.4930601805</v>
      </c>
      <c r="V22" s="152">
        <v>4.3</v>
      </c>
      <c r="W22" s="15">
        <v>0.4</v>
      </c>
      <c r="X22" s="16">
        <v>1465924.166983499</v>
      </c>
      <c r="Y22" s="16">
        <f t="shared" si="18"/>
        <v>148.00000000000003</v>
      </c>
      <c r="Z22" s="16">
        <f>IFERROR(X22/T22, 0)</f>
        <v>74.000000000000014</v>
      </c>
      <c r="AA22" s="207">
        <f t="shared" si="12"/>
        <v>0.30790463173704014</v>
      </c>
      <c r="AB22" s="11">
        <f>'Audience Sizing'!E4</f>
        <v>7481094</v>
      </c>
      <c r="AC22" s="17">
        <v>45383</v>
      </c>
      <c r="AD22" s="17">
        <v>45424</v>
      </c>
      <c r="AF22">
        <v>2.13</v>
      </c>
      <c r="AG22" s="262">
        <f>AF22*P22/1000</f>
        <v>21097.422132938191</v>
      </c>
      <c r="AH22" s="262">
        <f>AG22*5%</f>
        <v>1054.8711066469095</v>
      </c>
      <c r="AI22" s="263">
        <f>AG22+AH22</f>
        <v>22152.293239585102</v>
      </c>
      <c r="AK22">
        <v>1.43</v>
      </c>
      <c r="AL22" s="262">
        <f>AK22*P22/1000</f>
        <v>14163.997018827047</v>
      </c>
      <c r="AM22" s="262">
        <f>AL22*5%</f>
        <v>708.19985094135245</v>
      </c>
      <c r="AN22" s="263">
        <f>SUM(AL22:AM22)</f>
        <v>14872.196869768399</v>
      </c>
      <c r="AO22" s="409"/>
      <c r="AP22" s="263"/>
      <c r="AQ22" s="89"/>
      <c r="AT22" s="262"/>
    </row>
    <row r="23" spans="1:46" x14ac:dyDescent="0.3">
      <c r="A23" s="9" t="s">
        <v>83</v>
      </c>
      <c r="B23" s="9" t="s">
        <v>56</v>
      </c>
      <c r="C23" s="9" t="s">
        <v>57</v>
      </c>
      <c r="D23" s="9" t="s">
        <v>67</v>
      </c>
      <c r="E23" s="9" t="s">
        <v>59</v>
      </c>
      <c r="F23" s="9" t="s">
        <v>60</v>
      </c>
      <c r="G23" s="9" t="s">
        <v>69</v>
      </c>
      <c r="H23" s="9" t="s">
        <v>2276</v>
      </c>
      <c r="I23" s="9" t="s">
        <v>62</v>
      </c>
      <c r="J23" s="9" t="s">
        <v>314</v>
      </c>
      <c r="K23" s="9" t="s">
        <v>63</v>
      </c>
      <c r="L23" s="9" t="s">
        <v>64</v>
      </c>
      <c r="M23" s="9" t="s">
        <v>65</v>
      </c>
      <c r="N23" s="9" t="s">
        <v>66</v>
      </c>
      <c r="O23" s="10" t="e">
        <f>#REF!-#REF!+1</f>
        <v>#REF!</v>
      </c>
      <c r="P23" s="11">
        <f>S23/R23</f>
        <v>9523935.5963065159</v>
      </c>
      <c r="Q23" s="12">
        <v>2E-3</v>
      </c>
      <c r="R23" s="13">
        <v>0.37</v>
      </c>
      <c r="S23" s="11">
        <f>X23/W23</f>
        <v>3523856.1706334106</v>
      </c>
      <c r="T23" s="11">
        <f>P23*Q23</f>
        <v>19047.871192613031</v>
      </c>
      <c r="U23" s="11">
        <f>P23/V23</f>
        <v>2380983.899076629</v>
      </c>
      <c r="V23" s="152">
        <v>4</v>
      </c>
      <c r="W23" s="15">
        <v>0.4</v>
      </c>
      <c r="X23" s="16">
        <v>1409542.4682533643</v>
      </c>
      <c r="Y23" s="16">
        <f t="shared" si="18"/>
        <v>148</v>
      </c>
      <c r="Z23" s="16">
        <f>IFERROR(X23/T23, 0)</f>
        <v>74</v>
      </c>
      <c r="AA23" s="207">
        <f t="shared" si="12"/>
        <v>0.31826680684357517</v>
      </c>
      <c r="AB23" s="11">
        <f>'Audience Sizing'!E4</f>
        <v>7481094</v>
      </c>
      <c r="AC23" s="17">
        <v>45383</v>
      </c>
      <c r="AD23" s="17">
        <v>45424</v>
      </c>
      <c r="AF23">
        <v>2.13</v>
      </c>
      <c r="AG23" s="262">
        <f>AF23*P23/1000</f>
        <v>20285.982820132878</v>
      </c>
      <c r="AH23" s="262">
        <f>AG23*5%</f>
        <v>1014.2991410066439</v>
      </c>
      <c r="AI23" s="263">
        <f>AG23+AH23</f>
        <v>21300.281961139521</v>
      </c>
      <c r="AK23">
        <v>1.43</v>
      </c>
      <c r="AL23" s="262">
        <f>AK23*P23/1000</f>
        <v>13619.227902718318</v>
      </c>
      <c r="AM23" s="262">
        <f>AL23*5%</f>
        <v>680.96139513591595</v>
      </c>
      <c r="AN23" s="263">
        <f>SUM(AL23:AM23)</f>
        <v>14300.189297854233</v>
      </c>
      <c r="AO23" s="409"/>
      <c r="AP23" s="263"/>
      <c r="AQ23" s="89"/>
      <c r="AT23" s="262"/>
    </row>
    <row r="24" spans="1:46" hidden="1" x14ac:dyDescent="0.3">
      <c r="A24" s="9" t="s">
        <v>83</v>
      </c>
      <c r="B24" s="9" t="s">
        <v>56</v>
      </c>
      <c r="C24" s="9" t="s">
        <v>71</v>
      </c>
      <c r="D24" s="9" t="s">
        <v>58</v>
      </c>
      <c r="E24" s="9" t="s">
        <v>72</v>
      </c>
      <c r="F24" s="9" t="s">
        <v>60</v>
      </c>
      <c r="G24" s="9" t="s">
        <v>61</v>
      </c>
      <c r="H24" s="9" t="s">
        <v>2276</v>
      </c>
      <c r="I24" s="9" t="s">
        <v>62</v>
      </c>
      <c r="J24" s="9" t="s">
        <v>315</v>
      </c>
      <c r="K24" s="9" t="s">
        <v>73</v>
      </c>
      <c r="L24" s="9" t="s">
        <v>64</v>
      </c>
      <c r="M24" s="9" t="s">
        <v>65</v>
      </c>
      <c r="N24" s="9" t="s">
        <v>65</v>
      </c>
      <c r="O24" s="10" t="e">
        <f>#REF!-#REF!+1</f>
        <v>#REF!</v>
      </c>
      <c r="P24" s="11">
        <f>X24*1000/W24</f>
        <v>1012878.36</v>
      </c>
      <c r="Q24" s="12">
        <v>0</v>
      </c>
      <c r="R24" s="13">
        <v>0.85</v>
      </c>
      <c r="S24" s="11">
        <f>P24*R24</f>
        <v>860946.60599999991</v>
      </c>
      <c r="T24" s="11">
        <f>P24*Q24</f>
        <v>0</v>
      </c>
      <c r="U24" s="11">
        <f>P24/V24</f>
        <v>168813.06</v>
      </c>
      <c r="V24" s="152">
        <v>6</v>
      </c>
      <c r="W24" s="15">
        <v>450</v>
      </c>
      <c r="X24" s="16">
        <v>455795.26199999999</v>
      </c>
      <c r="Y24" s="16">
        <f t="shared" si="18"/>
        <v>450</v>
      </c>
      <c r="Z24" s="16">
        <f>IFERROR(X24/T24, 0)</f>
        <v>0</v>
      </c>
      <c r="AA24" s="207">
        <f t="shared" si="12"/>
        <v>0.24519497156800801</v>
      </c>
      <c r="AB24" s="11">
        <f>'Audience Sizing'!H4</f>
        <v>688485</v>
      </c>
      <c r="AC24" s="17">
        <v>45386</v>
      </c>
      <c r="AD24" s="17">
        <v>45424</v>
      </c>
      <c r="AK24">
        <v>1.43</v>
      </c>
      <c r="AL24" s="262">
        <f>AK24*P24/1000</f>
        <v>1448.4160547999998</v>
      </c>
      <c r="AM24" s="262">
        <f>AL24*5%</f>
        <v>72.420802739999985</v>
      </c>
      <c r="AN24" s="263">
        <f>AL24+AM24</f>
        <v>1520.8368575399998</v>
      </c>
      <c r="AP24" s="263"/>
      <c r="AQ24" s="263"/>
      <c r="AT24" s="263"/>
    </row>
    <row r="25" spans="1:46" hidden="1" x14ac:dyDescent="0.3">
      <c r="A25" s="230" t="s">
        <v>84</v>
      </c>
      <c r="B25" s="234"/>
      <c r="C25" s="234"/>
      <c r="D25" s="234"/>
      <c r="E25" s="234"/>
      <c r="F25" s="234"/>
      <c r="G25" s="234"/>
      <c r="H25" s="234"/>
      <c r="I25" s="234"/>
      <c r="J25" s="234"/>
      <c r="K25" s="234"/>
      <c r="L25" s="234"/>
      <c r="M25" s="234"/>
      <c r="N25" s="234"/>
      <c r="O25" s="234"/>
      <c r="P25" s="235">
        <f>SUM(P21:P24)</f>
        <v>24585300.267374381</v>
      </c>
      <c r="Q25" s="236">
        <f>T25/P25</f>
        <v>1.5805240046018942E-3</v>
      </c>
      <c r="R25" s="237">
        <f>S25/P25</f>
        <v>0.39483148079901287</v>
      </c>
      <c r="S25" s="235">
        <f>SUM(S21:S24)</f>
        <v>9707050.5104557946</v>
      </c>
      <c r="T25" s="235">
        <f>SUM(T21:T24)</f>
        <v>38857.657232930578</v>
      </c>
      <c r="U25" s="235">
        <f>U22+U23*20%+SUM(U24:U24,U21)*50%</f>
        <v>3554665.6846936881</v>
      </c>
      <c r="V25" s="238">
        <f>P25/U25</f>
        <v>6.9163466970292431</v>
      </c>
      <c r="W25" s="239"/>
      <c r="X25" s="240">
        <f>SUM(X21:X24)</f>
        <v>4242852.4212368634</v>
      </c>
      <c r="Y25" s="22">
        <f t="shared" si="18"/>
        <v>172.57679894466401</v>
      </c>
      <c r="Z25" s="22">
        <f>X25/T25</f>
        <v>109.18960954859591</v>
      </c>
      <c r="AA25" s="241">
        <f t="shared" si="12"/>
        <v>0.47144107224054216</v>
      </c>
      <c r="AB25" s="235">
        <f>'Audience Sizing'!C4</f>
        <v>7540000</v>
      </c>
      <c r="AC25" s="235"/>
      <c r="AD25" s="235"/>
    </row>
    <row r="26" spans="1:46" x14ac:dyDescent="0.3">
      <c r="A26" s="9" t="s">
        <v>83</v>
      </c>
      <c r="B26" s="9" t="s">
        <v>56</v>
      </c>
      <c r="C26" s="9" t="s">
        <v>57</v>
      </c>
      <c r="D26" s="9" t="s">
        <v>58</v>
      </c>
      <c r="E26" s="9" t="s">
        <v>75</v>
      </c>
      <c r="F26" s="9" t="s">
        <v>60</v>
      </c>
      <c r="G26" s="9" t="s">
        <v>61</v>
      </c>
      <c r="H26" s="9" t="s">
        <v>2276</v>
      </c>
      <c r="I26" s="9" t="s">
        <v>76</v>
      </c>
      <c r="J26" s="9" t="s">
        <v>312</v>
      </c>
      <c r="K26" s="9" t="s">
        <v>77</v>
      </c>
      <c r="L26" s="9" t="s">
        <v>64</v>
      </c>
      <c r="M26" s="9" t="s">
        <v>65</v>
      </c>
      <c r="N26" s="9" t="s">
        <v>66</v>
      </c>
      <c r="O26" s="10" t="e">
        <f>#REF!-#REF!+1</f>
        <v>#REF!</v>
      </c>
      <c r="P26" s="11">
        <f t="shared" ref="P26:P37" si="19">X26*1000/W26</f>
        <v>6170530.9119999995</v>
      </c>
      <c r="Q26" s="12"/>
      <c r="R26" s="13">
        <v>0.75</v>
      </c>
      <c r="S26" s="11">
        <f t="shared" ref="S26:S32" si="20">P26*R26</f>
        <v>4627898.1839999994</v>
      </c>
      <c r="T26" s="11">
        <f t="shared" ref="T26:T37" si="21">P26*Q26</f>
        <v>0</v>
      </c>
      <c r="U26" s="11">
        <f t="shared" ref="U26:U37" si="22">P26/V26</f>
        <v>1028421.8186666666</v>
      </c>
      <c r="V26" s="152">
        <v>6</v>
      </c>
      <c r="W26" s="15">
        <v>125</v>
      </c>
      <c r="X26" s="16">
        <v>771316.36400000006</v>
      </c>
      <c r="Y26" s="16">
        <f t="shared" si="18"/>
        <v>125.00000000000003</v>
      </c>
      <c r="Z26" s="16">
        <f t="shared" ref="Z26:Z37" si="23">IFERROR(X26/T26, 0)</f>
        <v>0</v>
      </c>
      <c r="AA26" s="207">
        <f t="shared" si="12"/>
        <v>0.59493323552971111</v>
      </c>
      <c r="AB26" s="11">
        <f>'Audience Sizing'!F4</f>
        <v>1728634</v>
      </c>
      <c r="AC26" s="17">
        <v>45390</v>
      </c>
      <c r="AD26" s="17">
        <v>45473</v>
      </c>
      <c r="AE26" s="17"/>
      <c r="AF26">
        <v>2.13</v>
      </c>
      <c r="AG26" s="262">
        <f>AF26*P26/1000</f>
        <v>13143.230842559999</v>
      </c>
      <c r="AH26" s="262">
        <f>AG26*5%</f>
        <v>657.16154212799995</v>
      </c>
      <c r="AI26" s="263">
        <f>AG26+AH26</f>
        <v>13800.392384687999</v>
      </c>
      <c r="AK26">
        <v>1.43</v>
      </c>
      <c r="AL26" s="262">
        <f>AK26*P26/1000</f>
        <v>8823.8592041599986</v>
      </c>
      <c r="AM26" s="262">
        <f>AL26*5%</f>
        <v>441.19296020799993</v>
      </c>
      <c r="AN26" s="263">
        <f>SUM(AL26:AM26)</f>
        <v>9265.0521643679986</v>
      </c>
      <c r="AO26" s="409"/>
      <c r="AP26" s="263"/>
      <c r="AQ26" s="89"/>
      <c r="AT26" s="262"/>
    </row>
    <row r="27" spans="1:46" x14ac:dyDescent="0.3">
      <c r="A27" s="9" t="s">
        <v>83</v>
      </c>
      <c r="B27" s="9" t="s">
        <v>56</v>
      </c>
      <c r="C27" s="9" t="s">
        <v>57</v>
      </c>
      <c r="D27" s="9" t="s">
        <v>67</v>
      </c>
      <c r="E27" s="9" t="s">
        <v>75</v>
      </c>
      <c r="F27" s="9" t="s">
        <v>60</v>
      </c>
      <c r="G27" s="9" t="s">
        <v>68</v>
      </c>
      <c r="H27" s="9" t="s">
        <v>2276</v>
      </c>
      <c r="I27" s="9" t="s">
        <v>76</v>
      </c>
      <c r="J27" s="9" t="s">
        <v>313</v>
      </c>
      <c r="K27" s="9" t="s">
        <v>77</v>
      </c>
      <c r="L27" s="9" t="s">
        <v>64</v>
      </c>
      <c r="M27" s="9" t="s">
        <v>65</v>
      </c>
      <c r="N27" s="9" t="s">
        <v>66</v>
      </c>
      <c r="O27" s="10" t="e">
        <f>#REF!-#REF!+1</f>
        <v>#REF!</v>
      </c>
      <c r="P27" s="11">
        <f t="shared" si="19"/>
        <v>30852654.560000002</v>
      </c>
      <c r="Q27" s="12">
        <v>5.4999999999999997E-3</v>
      </c>
      <c r="R27" s="13">
        <v>0.75</v>
      </c>
      <c r="S27" s="11">
        <f t="shared" si="20"/>
        <v>23139490.920000002</v>
      </c>
      <c r="T27" s="11">
        <f t="shared" si="21"/>
        <v>169689.60008</v>
      </c>
      <c r="U27" s="11">
        <f t="shared" si="22"/>
        <v>2571054.5466666669</v>
      </c>
      <c r="V27" s="152">
        <v>12</v>
      </c>
      <c r="W27" s="15">
        <v>115</v>
      </c>
      <c r="X27" s="16">
        <v>3548055.2744</v>
      </c>
      <c r="Y27" s="16">
        <f t="shared" si="18"/>
        <v>114.99999999999999</v>
      </c>
      <c r="Z27" s="16">
        <f t="shared" si="23"/>
        <v>20.90909090909091</v>
      </c>
      <c r="AA27" s="207">
        <f t="shared" si="12"/>
        <v>0.34367360531316232</v>
      </c>
      <c r="AB27" s="11">
        <f>'Audience Sizing'!E4</f>
        <v>7481094</v>
      </c>
      <c r="AC27" s="17">
        <v>45390</v>
      </c>
      <c r="AD27" s="17">
        <v>45473</v>
      </c>
      <c r="AE27" s="17"/>
      <c r="AF27">
        <v>2.13</v>
      </c>
      <c r="AG27" s="262">
        <f>AF27*P27/1000</f>
        <v>65716.1542128</v>
      </c>
      <c r="AH27" s="262">
        <f>AG27*5%</f>
        <v>3285.8077106400001</v>
      </c>
      <c r="AI27" s="263">
        <f>AG27+AH27</f>
        <v>69001.961923440002</v>
      </c>
      <c r="AK27">
        <v>1.43</v>
      </c>
      <c r="AL27" s="262">
        <f>AK27*P27/1000</f>
        <v>44119.2960208</v>
      </c>
      <c r="AM27" s="262">
        <f>AL27*5%</f>
        <v>2205.9648010400001</v>
      </c>
      <c r="AN27" s="263">
        <f>SUM(AL27:AM27)</f>
        <v>46325.260821839998</v>
      </c>
      <c r="AO27" s="409"/>
      <c r="AP27" s="263"/>
      <c r="AQ27" s="89"/>
      <c r="AT27" s="262"/>
    </row>
    <row r="28" spans="1:46" x14ac:dyDescent="0.3">
      <c r="A28" s="9" t="s">
        <v>83</v>
      </c>
      <c r="B28" s="9" t="s">
        <v>56</v>
      </c>
      <c r="C28" s="9" t="s">
        <v>57</v>
      </c>
      <c r="D28" s="9" t="s">
        <v>67</v>
      </c>
      <c r="E28" s="9" t="s">
        <v>75</v>
      </c>
      <c r="F28" s="9" t="s">
        <v>60</v>
      </c>
      <c r="G28" s="9" t="s">
        <v>69</v>
      </c>
      <c r="H28" s="9" t="s">
        <v>2276</v>
      </c>
      <c r="I28" s="9" t="s">
        <v>76</v>
      </c>
      <c r="J28" s="9" t="s">
        <v>314</v>
      </c>
      <c r="K28" s="9" t="s">
        <v>77</v>
      </c>
      <c r="L28" s="9" t="s">
        <v>64</v>
      </c>
      <c r="M28" s="9" t="s">
        <v>65</v>
      </c>
      <c r="N28" s="9" t="s">
        <v>66</v>
      </c>
      <c r="O28" s="10" t="e">
        <f>#REF!-#REF!+1</f>
        <v>#REF!</v>
      </c>
      <c r="P28" s="11">
        <f t="shared" si="19"/>
        <v>30852654.560000002</v>
      </c>
      <c r="Q28" s="12">
        <v>5.4999999999999997E-3</v>
      </c>
      <c r="R28" s="13">
        <v>0.75</v>
      </c>
      <c r="S28" s="11">
        <f t="shared" si="20"/>
        <v>23139490.920000002</v>
      </c>
      <c r="T28" s="11">
        <f t="shared" si="21"/>
        <v>169689.60008</v>
      </c>
      <c r="U28" s="11">
        <f t="shared" si="22"/>
        <v>2571054.5466666669</v>
      </c>
      <c r="V28" s="152">
        <v>12</v>
      </c>
      <c r="W28" s="15">
        <v>115</v>
      </c>
      <c r="X28" s="16">
        <v>3548055.2744</v>
      </c>
      <c r="Y28" s="16">
        <f t="shared" si="18"/>
        <v>114.99999999999999</v>
      </c>
      <c r="Z28" s="16">
        <f t="shared" si="23"/>
        <v>20.90909090909091</v>
      </c>
      <c r="AA28" s="221">
        <f t="shared" si="12"/>
        <v>0.34367360531316232</v>
      </c>
      <c r="AB28" s="11">
        <f>'Audience Sizing'!E4</f>
        <v>7481094</v>
      </c>
      <c r="AC28" s="17">
        <v>45390</v>
      </c>
      <c r="AD28" s="17">
        <v>45473</v>
      </c>
      <c r="AE28" s="17"/>
      <c r="AF28">
        <v>2.13</v>
      </c>
      <c r="AG28" s="262">
        <f>AF28*P28/1000</f>
        <v>65716.1542128</v>
      </c>
      <c r="AH28" s="262">
        <f>AG28*5%</f>
        <v>3285.8077106400001</v>
      </c>
      <c r="AI28" s="263">
        <f>AG28+AH28</f>
        <v>69001.961923440002</v>
      </c>
      <c r="AK28">
        <v>1.43</v>
      </c>
      <c r="AL28" s="262">
        <f>AK28*P28/1000</f>
        <v>44119.2960208</v>
      </c>
      <c r="AM28" s="262">
        <f>AL28*5%</f>
        <v>2205.9648010400001</v>
      </c>
      <c r="AN28" s="263">
        <f>SUM(AL28:AM28)</f>
        <v>46325.260821839998</v>
      </c>
      <c r="AO28" s="409"/>
      <c r="AP28" s="263"/>
      <c r="AQ28" s="89"/>
      <c r="AT28" s="262"/>
    </row>
    <row r="29" spans="1:46" hidden="1" x14ac:dyDescent="0.3">
      <c r="A29" s="9" t="s">
        <v>83</v>
      </c>
      <c r="B29" s="9" t="s">
        <v>56</v>
      </c>
      <c r="C29" s="9" t="s">
        <v>71</v>
      </c>
      <c r="D29" s="9" t="s">
        <v>58</v>
      </c>
      <c r="E29" s="9" t="s">
        <v>72</v>
      </c>
      <c r="F29" s="9" t="s">
        <v>60</v>
      </c>
      <c r="G29" s="9" t="s">
        <v>61</v>
      </c>
      <c r="H29" s="9" t="s">
        <v>2276</v>
      </c>
      <c r="I29" s="9" t="s">
        <v>76</v>
      </c>
      <c r="J29" s="9" t="s">
        <v>315</v>
      </c>
      <c r="K29" s="9" t="s">
        <v>73</v>
      </c>
      <c r="L29" s="9" t="s">
        <v>64</v>
      </c>
      <c r="M29" s="9" t="s">
        <v>65</v>
      </c>
      <c r="N29" s="9" t="s">
        <v>65</v>
      </c>
      <c r="O29" s="10" t="e">
        <f>#REF!-#REF!+1</f>
        <v>#REF!</v>
      </c>
      <c r="P29" s="11">
        <f t="shared" si="19"/>
        <v>1851159.2736</v>
      </c>
      <c r="Q29" s="12">
        <v>0</v>
      </c>
      <c r="R29" s="13">
        <v>0.85</v>
      </c>
      <c r="S29" s="11">
        <f t="shared" si="20"/>
        <v>1573485.3825599998</v>
      </c>
      <c r="T29" s="11">
        <f t="shared" si="21"/>
        <v>0</v>
      </c>
      <c r="U29" s="11">
        <f t="shared" si="22"/>
        <v>308526.54560000001</v>
      </c>
      <c r="V29" s="152">
        <v>6</v>
      </c>
      <c r="W29" s="15">
        <v>250</v>
      </c>
      <c r="X29" s="16">
        <v>462789.81839999999</v>
      </c>
      <c r="Y29" s="16">
        <f t="shared" si="18"/>
        <v>250</v>
      </c>
      <c r="Z29" s="16">
        <f t="shared" si="23"/>
        <v>0</v>
      </c>
      <c r="AA29" s="221">
        <f t="shared" si="12"/>
        <v>0.44812384525443549</v>
      </c>
      <c r="AB29" s="11">
        <f>'Audience Sizing'!H4</f>
        <v>688485</v>
      </c>
      <c r="AC29" s="17">
        <v>45390</v>
      </c>
      <c r="AD29" s="17">
        <v>45473</v>
      </c>
      <c r="AE29" s="17"/>
      <c r="AG29" s="262"/>
      <c r="AH29" s="263"/>
      <c r="AK29">
        <v>1.43</v>
      </c>
      <c r="AL29" s="262">
        <f>AK29*P29/1000</f>
        <v>2647.157761248</v>
      </c>
      <c r="AM29" s="262">
        <f>AL29*5%</f>
        <v>132.35788806240001</v>
      </c>
      <c r="AN29" s="263">
        <f>AL29+AM29</f>
        <v>2779.5156493104</v>
      </c>
      <c r="AO29" s="409"/>
      <c r="AP29" s="263"/>
      <c r="AQ29" s="263"/>
      <c r="AR29" s="262"/>
      <c r="AS29" s="263"/>
      <c r="AT29" s="263"/>
    </row>
    <row r="30" spans="1:46" hidden="1" x14ac:dyDescent="0.3">
      <c r="A30" s="9" t="s">
        <v>83</v>
      </c>
      <c r="B30" s="9" t="s">
        <v>56</v>
      </c>
      <c r="C30" s="9" t="s">
        <v>71</v>
      </c>
      <c r="D30" s="9" t="s">
        <v>67</v>
      </c>
      <c r="E30" s="9" t="s">
        <v>72</v>
      </c>
      <c r="F30" s="9" t="s">
        <v>60</v>
      </c>
      <c r="G30" s="9" t="s">
        <v>68</v>
      </c>
      <c r="H30" s="9" t="s">
        <v>2276</v>
      </c>
      <c r="I30" s="9" t="s">
        <v>76</v>
      </c>
      <c r="J30" s="9" t="s">
        <v>2335</v>
      </c>
      <c r="K30" s="9" t="s">
        <v>73</v>
      </c>
      <c r="L30" s="9" t="s">
        <v>64</v>
      </c>
      <c r="M30" s="9" t="s">
        <v>65</v>
      </c>
      <c r="N30" s="9" t="s">
        <v>65</v>
      </c>
      <c r="O30" s="10" t="e">
        <f>#REF!-#REF!+1</f>
        <v>#REF!</v>
      </c>
      <c r="P30" s="11">
        <f t="shared" si="19"/>
        <v>1042350</v>
      </c>
      <c r="Q30" s="12">
        <v>1.2E-2</v>
      </c>
      <c r="R30" s="13">
        <v>0.85</v>
      </c>
      <c r="S30" s="11">
        <f t="shared" si="20"/>
        <v>885997.5</v>
      </c>
      <c r="T30" s="11">
        <f t="shared" si="21"/>
        <v>12508.2</v>
      </c>
      <c r="U30" s="11">
        <f t="shared" si="22"/>
        <v>208470</v>
      </c>
      <c r="V30" s="152">
        <v>5</v>
      </c>
      <c r="W30" s="15">
        <v>200</v>
      </c>
      <c r="X30" s="16">
        <v>208470</v>
      </c>
      <c r="Y30" s="16">
        <f t="shared" si="18"/>
        <v>200</v>
      </c>
      <c r="Z30" s="16">
        <f t="shared" si="23"/>
        <v>16.666666666666664</v>
      </c>
      <c r="AA30" s="221">
        <f t="shared" si="12"/>
        <v>2.0208149660701415E-2</v>
      </c>
      <c r="AB30" s="11">
        <f>'Audience Sizing'!G4</f>
        <v>10316135</v>
      </c>
      <c r="AC30" s="17">
        <v>45390</v>
      </c>
      <c r="AD30" s="17">
        <v>45404</v>
      </c>
      <c r="AG30" s="262"/>
      <c r="AH30" s="263"/>
      <c r="AL30" s="262"/>
      <c r="AM30" s="262"/>
      <c r="AN30" s="263"/>
      <c r="AP30" s="263"/>
      <c r="AQ30" s="263"/>
    </row>
    <row r="31" spans="1:46" hidden="1" x14ac:dyDescent="0.3">
      <c r="A31" s="9" t="s">
        <v>83</v>
      </c>
      <c r="B31" s="9" t="s">
        <v>56</v>
      </c>
      <c r="C31" s="9" t="s">
        <v>71</v>
      </c>
      <c r="D31" s="9" t="s">
        <v>67</v>
      </c>
      <c r="E31" s="9" t="s">
        <v>72</v>
      </c>
      <c r="F31" s="9" t="s">
        <v>60</v>
      </c>
      <c r="G31" s="9" t="s">
        <v>68</v>
      </c>
      <c r="H31" s="9" t="s">
        <v>2276</v>
      </c>
      <c r="I31" s="9" t="s">
        <v>76</v>
      </c>
      <c r="J31" s="9" t="s">
        <v>2298</v>
      </c>
      <c r="K31" s="9" t="s">
        <v>73</v>
      </c>
      <c r="L31" s="9" t="s">
        <v>64</v>
      </c>
      <c r="M31" s="9" t="s">
        <v>65</v>
      </c>
      <c r="N31" s="9" t="s">
        <v>65</v>
      </c>
      <c r="O31" s="10" t="e">
        <f>#REF!-#REF!+1</f>
        <v>#REF!</v>
      </c>
      <c r="P31" s="11">
        <f t="shared" si="19"/>
        <v>2868438.5472000004</v>
      </c>
      <c r="Q31" s="12">
        <v>1.2E-2</v>
      </c>
      <c r="R31" s="13">
        <v>0.85</v>
      </c>
      <c r="S31" s="11">
        <f t="shared" si="20"/>
        <v>2438172.7651200001</v>
      </c>
      <c r="T31" s="11">
        <f t="shared" si="21"/>
        <v>34421.262566400008</v>
      </c>
      <c r="U31" s="11">
        <f t="shared" si="22"/>
        <v>573687.70944000012</v>
      </c>
      <c r="V31" s="152">
        <v>5</v>
      </c>
      <c r="W31" s="15">
        <v>200</v>
      </c>
      <c r="X31" s="16">
        <v>573687.70944000001</v>
      </c>
      <c r="Y31" s="16">
        <f t="shared" si="18"/>
        <v>199.99999999999997</v>
      </c>
      <c r="Z31" s="16">
        <f t="shared" si="23"/>
        <v>16.666666666666664</v>
      </c>
      <c r="AA31" s="221">
        <f t="shared" si="12"/>
        <v>5.5610721402928533E-2</v>
      </c>
      <c r="AB31" s="11">
        <f>'Audience Sizing'!G4</f>
        <v>10316135</v>
      </c>
      <c r="AC31" s="17">
        <v>45390</v>
      </c>
      <c r="AD31" s="17">
        <v>45473</v>
      </c>
      <c r="AE31" s="17"/>
      <c r="AG31" s="262"/>
      <c r="AH31" s="263"/>
      <c r="AK31">
        <v>1.43</v>
      </c>
      <c r="AL31" s="262">
        <f>AK31*P31/1000</f>
        <v>4101.8671224960008</v>
      </c>
      <c r="AM31" s="262">
        <f>AL31*5%</f>
        <v>205.09335612480004</v>
      </c>
      <c r="AN31" s="263">
        <f>AL31+AM31</f>
        <v>4306.960478620801</v>
      </c>
      <c r="AO31" s="409"/>
      <c r="AP31" s="263"/>
      <c r="AQ31" s="263"/>
      <c r="AR31" s="262"/>
      <c r="AS31" s="263"/>
      <c r="AT31" s="263"/>
    </row>
    <row r="32" spans="1:46" hidden="1" x14ac:dyDescent="0.3">
      <c r="A32" s="9" t="s">
        <v>83</v>
      </c>
      <c r="B32" s="9" t="s">
        <v>56</v>
      </c>
      <c r="C32" s="9" t="s">
        <v>71</v>
      </c>
      <c r="D32" s="9" t="s">
        <v>67</v>
      </c>
      <c r="E32" s="9" t="s">
        <v>72</v>
      </c>
      <c r="F32" s="9" t="s">
        <v>60</v>
      </c>
      <c r="G32" s="9" t="s">
        <v>68</v>
      </c>
      <c r="H32" s="9" t="s">
        <v>2276</v>
      </c>
      <c r="I32" s="9" t="s">
        <v>76</v>
      </c>
      <c r="J32" s="9" t="s">
        <v>2299</v>
      </c>
      <c r="K32" s="9" t="s">
        <v>73</v>
      </c>
      <c r="L32" s="9" t="s">
        <v>64</v>
      </c>
      <c r="M32" s="9" t="s">
        <v>65</v>
      </c>
      <c r="N32" s="9" t="s">
        <v>65</v>
      </c>
      <c r="O32" s="10" t="e">
        <f>#REF!-#REF!+1</f>
        <v>#REF!</v>
      </c>
      <c r="P32" s="11">
        <f t="shared" si="19"/>
        <v>1195182.7279999999</v>
      </c>
      <c r="Q32" s="12">
        <v>1.2E-2</v>
      </c>
      <c r="R32" s="13">
        <v>0.85</v>
      </c>
      <c r="S32" s="11">
        <f t="shared" si="20"/>
        <v>1015905.3187999999</v>
      </c>
      <c r="T32" s="11">
        <f t="shared" si="21"/>
        <v>14342.192735999999</v>
      </c>
      <c r="U32" s="11">
        <f t="shared" si="22"/>
        <v>239036.54559999998</v>
      </c>
      <c r="V32" s="152">
        <v>5</v>
      </c>
      <c r="W32" s="15">
        <f>200*60%</f>
        <v>120</v>
      </c>
      <c r="X32" s="16">
        <v>143421.92735999997</v>
      </c>
      <c r="Y32" s="16">
        <f t="shared" si="18"/>
        <v>119.99999999999999</v>
      </c>
      <c r="Z32" s="16">
        <f t="shared" si="23"/>
        <v>9.9999999999999982</v>
      </c>
      <c r="AA32" s="221">
        <f t="shared" si="12"/>
        <v>2.3171133917886881E-2</v>
      </c>
      <c r="AB32" s="11">
        <f>'Audience Sizing'!G4</f>
        <v>10316135</v>
      </c>
      <c r="AC32" s="17">
        <v>45406</v>
      </c>
      <c r="AD32" s="17">
        <v>45473</v>
      </c>
      <c r="AE32" s="17"/>
      <c r="AG32" s="262"/>
      <c r="AH32" s="263"/>
      <c r="AK32">
        <v>1.43</v>
      </c>
      <c r="AL32" s="262">
        <f>AK32*P32/1000</f>
        <v>1709.1113010399997</v>
      </c>
      <c r="AM32" s="262">
        <f>AL32*5%</f>
        <v>85.455565051999997</v>
      </c>
      <c r="AN32" s="263">
        <f>AL32+AM32</f>
        <v>1794.5668660919996</v>
      </c>
      <c r="AO32" s="409"/>
      <c r="AP32" s="263"/>
      <c r="AQ32" s="263"/>
      <c r="AR32" s="262"/>
      <c r="AS32" s="263"/>
      <c r="AT32" s="263"/>
    </row>
    <row r="33" spans="1:46" hidden="1" x14ac:dyDescent="0.3">
      <c r="A33" s="9" t="s">
        <v>83</v>
      </c>
      <c r="B33" s="9" t="s">
        <v>56</v>
      </c>
      <c r="C33" s="9" t="s">
        <v>71</v>
      </c>
      <c r="D33" s="9" t="s">
        <v>67</v>
      </c>
      <c r="E33" s="9" t="s">
        <v>72</v>
      </c>
      <c r="F33" s="9" t="s">
        <v>60</v>
      </c>
      <c r="G33" s="9" t="s">
        <v>69</v>
      </c>
      <c r="H33" s="9" t="s">
        <v>2276</v>
      </c>
      <c r="I33" s="9" t="s">
        <v>76</v>
      </c>
      <c r="J33" s="9" t="s">
        <v>2336</v>
      </c>
      <c r="K33" s="9" t="s">
        <v>73</v>
      </c>
      <c r="L33" s="9" t="s">
        <v>64</v>
      </c>
      <c r="M33" s="9" t="s">
        <v>65</v>
      </c>
      <c r="N33" s="9" t="s">
        <v>65</v>
      </c>
      <c r="O33" s="10" t="e">
        <f>#REF!-#REF!+1</f>
        <v>#REF!</v>
      </c>
      <c r="P33" s="11">
        <f t="shared" si="19"/>
        <v>1146695</v>
      </c>
      <c r="Q33" s="12">
        <v>1.2E-2</v>
      </c>
      <c r="R33" s="13">
        <v>0.85</v>
      </c>
      <c r="S33" s="11">
        <v>3146970.7651200001</v>
      </c>
      <c r="T33" s="11">
        <f t="shared" si="21"/>
        <v>13760.34</v>
      </c>
      <c r="U33" s="11">
        <f t="shared" si="22"/>
        <v>229339</v>
      </c>
      <c r="V33" s="152">
        <v>5</v>
      </c>
      <c r="W33" s="15">
        <v>200</v>
      </c>
      <c r="X33" s="16">
        <v>229339</v>
      </c>
      <c r="Y33" s="16">
        <f t="shared" si="18"/>
        <v>200</v>
      </c>
      <c r="Z33" s="16">
        <f t="shared" si="23"/>
        <v>16.666666666666668</v>
      </c>
      <c r="AA33" s="221">
        <f t="shared" si="12"/>
        <v>2.2231097208402179E-2</v>
      </c>
      <c r="AB33" s="11">
        <f>'Audience Sizing'!G4</f>
        <v>10316135</v>
      </c>
      <c r="AC33" s="17">
        <v>45390</v>
      </c>
      <c r="AD33" s="17">
        <v>45404</v>
      </c>
      <c r="AG33" s="262"/>
      <c r="AH33" s="263"/>
      <c r="AL33" s="262"/>
      <c r="AM33" s="262"/>
      <c r="AN33" s="263"/>
      <c r="AP33" s="263"/>
      <c r="AQ33" s="263"/>
    </row>
    <row r="34" spans="1:46" hidden="1" x14ac:dyDescent="0.3">
      <c r="A34" s="9" t="s">
        <v>83</v>
      </c>
      <c r="B34" s="9" t="s">
        <v>56</v>
      </c>
      <c r="C34" s="9" t="s">
        <v>71</v>
      </c>
      <c r="D34" s="9" t="s">
        <v>67</v>
      </c>
      <c r="E34" s="9" t="s">
        <v>72</v>
      </c>
      <c r="F34" s="9" t="s">
        <v>60</v>
      </c>
      <c r="G34" s="9" t="s">
        <v>69</v>
      </c>
      <c r="H34" s="9" t="s">
        <v>2276</v>
      </c>
      <c r="I34" s="9" t="s">
        <v>76</v>
      </c>
      <c r="J34" s="9" t="s">
        <v>2334</v>
      </c>
      <c r="K34" s="9" t="s">
        <v>73</v>
      </c>
      <c r="L34" s="9" t="s">
        <v>64</v>
      </c>
      <c r="M34" s="9" t="s">
        <v>65</v>
      </c>
      <c r="N34" s="9" t="s">
        <v>65</v>
      </c>
      <c r="O34" s="10" t="e">
        <f>#REF!-#REF!+1</f>
        <v>#REF!</v>
      </c>
      <c r="P34" s="11">
        <f t="shared" si="19"/>
        <v>2784962.5472000004</v>
      </c>
      <c r="Q34" s="12">
        <v>1.2E-2</v>
      </c>
      <c r="R34" s="13">
        <v>0.85</v>
      </c>
      <c r="S34" s="11">
        <v>3146970.7651200001</v>
      </c>
      <c r="T34" s="11">
        <f t="shared" si="21"/>
        <v>33419.550566400008</v>
      </c>
      <c r="U34" s="11">
        <f t="shared" si="22"/>
        <v>556992.50944000005</v>
      </c>
      <c r="V34" s="152">
        <v>5</v>
      </c>
      <c r="W34" s="15">
        <v>200</v>
      </c>
      <c r="X34" s="16">
        <v>556992.50944000005</v>
      </c>
      <c r="Y34" s="16">
        <f t="shared" si="18"/>
        <v>199.99999999999997</v>
      </c>
      <c r="Z34" s="16">
        <f t="shared" si="23"/>
        <v>16.666666666666664</v>
      </c>
      <c r="AA34" s="221">
        <f t="shared" si="12"/>
        <v>5.3992363364767912E-2</v>
      </c>
      <c r="AB34" s="11">
        <f>'Audience Sizing'!G4</f>
        <v>10316135</v>
      </c>
      <c r="AC34" s="17">
        <v>45390</v>
      </c>
      <c r="AD34" s="17">
        <v>45473</v>
      </c>
      <c r="AE34" s="17"/>
      <c r="AG34" s="262"/>
      <c r="AH34" s="263"/>
      <c r="AK34">
        <v>1.43</v>
      </c>
      <c r="AL34" s="262">
        <f>AK34*P34/1000</f>
        <v>3982.4964424960003</v>
      </c>
      <c r="AM34" s="262">
        <f>AL34*5%</f>
        <v>199.12482212480003</v>
      </c>
      <c r="AN34" s="263">
        <f>AL34+AM34</f>
        <v>4181.6212646208005</v>
      </c>
      <c r="AO34" s="409"/>
      <c r="AP34" s="263"/>
      <c r="AQ34" s="263"/>
      <c r="AR34" s="262"/>
      <c r="AS34" s="263"/>
      <c r="AT34" s="263"/>
    </row>
    <row r="35" spans="1:46" hidden="1" x14ac:dyDescent="0.3">
      <c r="A35" s="9" t="s">
        <v>83</v>
      </c>
      <c r="B35" s="9" t="s">
        <v>56</v>
      </c>
      <c r="C35" s="9" t="s">
        <v>71</v>
      </c>
      <c r="D35" s="9" t="s">
        <v>67</v>
      </c>
      <c r="E35" s="9" t="s">
        <v>72</v>
      </c>
      <c r="F35" s="9" t="s">
        <v>60</v>
      </c>
      <c r="G35" s="9" t="s">
        <v>69</v>
      </c>
      <c r="H35" s="9" t="s">
        <v>2276</v>
      </c>
      <c r="I35" s="9" t="s">
        <v>76</v>
      </c>
      <c r="J35" s="9" t="s">
        <v>2300</v>
      </c>
      <c r="K35" s="9" t="s">
        <v>73</v>
      </c>
      <c r="L35" s="9" t="s">
        <v>64</v>
      </c>
      <c r="M35" s="9" t="s">
        <v>65</v>
      </c>
      <c r="N35" s="9" t="s">
        <v>65</v>
      </c>
      <c r="O35" s="10" t="e">
        <f>#REF!-#REF!+1</f>
        <v>#REF!</v>
      </c>
      <c r="P35" s="11">
        <f t="shared" si="19"/>
        <v>1160401.0613333327</v>
      </c>
      <c r="Q35" s="12">
        <v>1.2E-2</v>
      </c>
      <c r="R35" s="13">
        <v>0.85</v>
      </c>
      <c r="S35" s="11">
        <v>786742.69127999991</v>
      </c>
      <c r="T35" s="11">
        <f t="shared" si="21"/>
        <v>13924.812735999993</v>
      </c>
      <c r="U35" s="11">
        <f t="shared" si="22"/>
        <v>232080.21226666652</v>
      </c>
      <c r="V35" s="152">
        <v>5</v>
      </c>
      <c r="W35" s="15">
        <f>200*60%</f>
        <v>120</v>
      </c>
      <c r="X35" s="16">
        <v>139248.12735999993</v>
      </c>
      <c r="Y35" s="16">
        <f t="shared" si="18"/>
        <v>120.00000000000001</v>
      </c>
      <c r="Z35" s="16">
        <f t="shared" si="23"/>
        <v>10</v>
      </c>
      <c r="AA35" s="221">
        <f t="shared" si="12"/>
        <v>2.2496818068653283E-2</v>
      </c>
      <c r="AB35" s="11">
        <f>'Audience Sizing'!G4</f>
        <v>10316135</v>
      </c>
      <c r="AC35" s="17">
        <v>45406</v>
      </c>
      <c r="AD35" s="17">
        <v>45473</v>
      </c>
      <c r="AE35" s="17"/>
      <c r="AG35" s="262"/>
      <c r="AH35" s="263"/>
      <c r="AK35">
        <v>1.43</v>
      </c>
      <c r="AL35" s="262">
        <f>AK35*P35/1000</f>
        <v>1659.3735177066658</v>
      </c>
      <c r="AM35" s="262">
        <f>AL35*5%</f>
        <v>82.968675885333298</v>
      </c>
      <c r="AN35" s="263">
        <f>AL35+AM35</f>
        <v>1742.3421935919991</v>
      </c>
      <c r="AO35" s="409"/>
      <c r="AP35" s="263"/>
      <c r="AQ35" s="263"/>
      <c r="AR35" s="262"/>
      <c r="AS35" s="263"/>
      <c r="AT35" s="263"/>
    </row>
    <row r="36" spans="1:46" x14ac:dyDescent="0.3">
      <c r="A36" s="9" t="s">
        <v>83</v>
      </c>
      <c r="B36" s="9" t="s">
        <v>56</v>
      </c>
      <c r="C36" s="9" t="s">
        <v>57</v>
      </c>
      <c r="D36" s="9" t="s">
        <v>67</v>
      </c>
      <c r="E36" s="9" t="s">
        <v>59</v>
      </c>
      <c r="F36" s="9" t="s">
        <v>60</v>
      </c>
      <c r="G36" s="9" t="s">
        <v>308</v>
      </c>
      <c r="H36" s="9" t="s">
        <v>2276</v>
      </c>
      <c r="I36" s="9" t="s">
        <v>78</v>
      </c>
      <c r="J36" s="9" t="s">
        <v>313</v>
      </c>
      <c r="K36" s="9" t="s">
        <v>73</v>
      </c>
      <c r="L36" s="9" t="s">
        <v>64</v>
      </c>
      <c r="M36" s="9" t="s">
        <v>65</v>
      </c>
      <c r="N36" s="9" t="s">
        <v>66</v>
      </c>
      <c r="O36" s="10" t="e">
        <f>#REF!-#REF!+1</f>
        <v>#REF!</v>
      </c>
      <c r="P36" s="11">
        <f t="shared" si="19"/>
        <v>28281600.013333332</v>
      </c>
      <c r="Q36" s="12">
        <v>2E-3</v>
      </c>
      <c r="R36" s="13">
        <v>0.9</v>
      </c>
      <c r="S36" s="11">
        <f>P36*R36</f>
        <v>25453440.011999998</v>
      </c>
      <c r="T36" s="11">
        <f t="shared" si="21"/>
        <v>56563.200026666666</v>
      </c>
      <c r="U36" s="11">
        <f t="shared" si="22"/>
        <v>5656320.0026666662</v>
      </c>
      <c r="V36" s="152">
        <v>5</v>
      </c>
      <c r="W36" s="15">
        <v>60</v>
      </c>
      <c r="X36" s="16">
        <v>1696896.0008</v>
      </c>
      <c r="Y36" s="16">
        <f t="shared" si="18"/>
        <v>60.000000000000007</v>
      </c>
      <c r="Z36" s="16">
        <f t="shared" si="23"/>
        <v>30</v>
      </c>
      <c r="AA36" s="221">
        <f t="shared" si="12"/>
        <v>0.75608193168895699</v>
      </c>
      <c r="AB36" s="11">
        <f>'Audience Sizing'!E4</f>
        <v>7481094</v>
      </c>
      <c r="AC36" s="17">
        <v>45418</v>
      </c>
      <c r="AD36" s="17">
        <v>45473</v>
      </c>
      <c r="AE36" s="17"/>
      <c r="AF36">
        <v>2.13</v>
      </c>
      <c r="AG36" s="262">
        <f>AF36*P36/1000</f>
        <v>60239.808028399995</v>
      </c>
      <c r="AH36" s="262">
        <f>AG36*5%</f>
        <v>3011.9904014200001</v>
      </c>
      <c r="AI36" s="263">
        <f>AG36+AH36</f>
        <v>63251.798429819995</v>
      </c>
      <c r="AK36">
        <v>1.43</v>
      </c>
      <c r="AL36" s="262">
        <f>AK36*P36/1000</f>
        <v>40442.688019066663</v>
      </c>
      <c r="AM36" s="262">
        <f>AL36*5%</f>
        <v>2022.1344009533332</v>
      </c>
      <c r="AN36" s="263">
        <f>SUM(AL36:AM36)</f>
        <v>42464.822420019998</v>
      </c>
      <c r="AO36" s="409"/>
      <c r="AP36" s="263"/>
      <c r="AQ36" s="89"/>
      <c r="AT36" s="262"/>
    </row>
    <row r="37" spans="1:46" x14ac:dyDescent="0.3">
      <c r="A37" s="9" t="s">
        <v>83</v>
      </c>
      <c r="B37" s="9" t="s">
        <v>56</v>
      </c>
      <c r="C37" s="9" t="s">
        <v>57</v>
      </c>
      <c r="D37" s="9" t="s">
        <v>67</v>
      </c>
      <c r="E37" s="9" t="s">
        <v>59</v>
      </c>
      <c r="F37" s="9" t="s">
        <v>60</v>
      </c>
      <c r="G37" s="9" t="s">
        <v>307</v>
      </c>
      <c r="H37" s="9" t="s">
        <v>2276</v>
      </c>
      <c r="I37" s="9" t="s">
        <v>78</v>
      </c>
      <c r="J37" s="9" t="s">
        <v>314</v>
      </c>
      <c r="K37" s="9" t="s">
        <v>73</v>
      </c>
      <c r="L37" s="9" t="s">
        <v>64</v>
      </c>
      <c r="M37" s="9" t="s">
        <v>65</v>
      </c>
      <c r="N37" s="9" t="s">
        <v>66</v>
      </c>
      <c r="O37" s="10" t="e">
        <f>#REF!-#REF!+1</f>
        <v>#REF!</v>
      </c>
      <c r="P37" s="11">
        <f t="shared" si="19"/>
        <v>28281600.013333332</v>
      </c>
      <c r="Q37" s="12">
        <v>2E-3</v>
      </c>
      <c r="R37" s="13">
        <v>0.9</v>
      </c>
      <c r="S37" s="11">
        <f>P37*R37</f>
        <v>25453440.011999998</v>
      </c>
      <c r="T37" s="11">
        <f t="shared" si="21"/>
        <v>56563.200026666666</v>
      </c>
      <c r="U37" s="11">
        <f t="shared" si="22"/>
        <v>5656320.0026666662</v>
      </c>
      <c r="V37" s="152">
        <v>5</v>
      </c>
      <c r="W37" s="15">
        <v>60</v>
      </c>
      <c r="X37" s="16">
        <v>1696896.0008</v>
      </c>
      <c r="Y37" s="16">
        <f t="shared" si="18"/>
        <v>60.000000000000007</v>
      </c>
      <c r="Z37" s="16">
        <f t="shared" si="23"/>
        <v>30</v>
      </c>
      <c r="AA37" s="221">
        <f t="shared" ref="AA37:AA68" si="24">U37/AB37</f>
        <v>0.75608193168895699</v>
      </c>
      <c r="AB37" s="11">
        <f>'Audience Sizing'!E4</f>
        <v>7481094</v>
      </c>
      <c r="AC37" s="17">
        <v>45418</v>
      </c>
      <c r="AD37" s="17">
        <v>45473</v>
      </c>
      <c r="AE37" s="17"/>
      <c r="AF37">
        <v>2.13</v>
      </c>
      <c r="AG37" s="262">
        <f>AF37*P37/1000</f>
        <v>60239.808028399995</v>
      </c>
      <c r="AH37" s="262">
        <f>AG37*5%</f>
        <v>3011.9904014200001</v>
      </c>
      <c r="AI37" s="263">
        <f>AG37+AH37</f>
        <v>63251.798429819995</v>
      </c>
      <c r="AK37">
        <v>1.43</v>
      </c>
      <c r="AL37" s="262">
        <f>AK37*P37/1000</f>
        <v>40442.688019066663</v>
      </c>
      <c r="AM37" s="262">
        <f>AL37*5%</f>
        <v>2022.1344009533332</v>
      </c>
      <c r="AN37" s="263">
        <f>SUM(AL37:AM37)</f>
        <v>42464.822420019998</v>
      </c>
      <c r="AO37" s="409"/>
      <c r="AP37" s="263"/>
      <c r="AQ37" s="89"/>
      <c r="AT37" s="262"/>
    </row>
    <row r="38" spans="1:46" hidden="1" x14ac:dyDescent="0.3">
      <c r="A38" s="230" t="s">
        <v>85</v>
      </c>
      <c r="B38" s="234"/>
      <c r="C38" s="234"/>
      <c r="D38" s="234"/>
      <c r="E38" s="234"/>
      <c r="F38" s="234"/>
      <c r="G38" s="234"/>
      <c r="H38" s="234"/>
      <c r="I38" s="234"/>
      <c r="J38" s="234"/>
      <c r="K38" s="234"/>
      <c r="L38" s="234"/>
      <c r="M38" s="234"/>
      <c r="N38" s="234"/>
      <c r="O38" s="234"/>
      <c r="P38" s="235">
        <f>SUM(P26:P37)</f>
        <v>136488229.21599999</v>
      </c>
      <c r="Q38" s="236">
        <f>T38/P38</f>
        <v>4.2119526505714393E-3</v>
      </c>
      <c r="R38" s="237">
        <f>S38/P38</f>
        <v>0.84115682279319581</v>
      </c>
      <c r="S38" s="235">
        <f>SUM(S26:S37)</f>
        <v>114808005.236</v>
      </c>
      <c r="T38" s="235">
        <f>SUM(T26:T37)</f>
        <v>574881.95881813334</v>
      </c>
      <c r="U38" s="235">
        <f>U27+U28*20%+SUM(U29:U31,U26)*50%</f>
        <v>4144818.4928533337</v>
      </c>
      <c r="V38" s="242">
        <f>P38/U38</f>
        <v>32.929844684716258</v>
      </c>
      <c r="W38" s="239"/>
      <c r="X38" s="240">
        <f>SUM(X26:X37)</f>
        <v>13575168.006399998</v>
      </c>
      <c r="Y38" s="22">
        <f t="shared" si="18"/>
        <v>99.460357016696022</v>
      </c>
      <c r="Z38" s="22">
        <f>X38/T38</f>
        <v>23.613835498174971</v>
      </c>
      <c r="AA38" s="241">
        <f t="shared" si="24"/>
        <v>0.54971067544473917</v>
      </c>
      <c r="AB38" s="235">
        <f>'Audience Sizing'!C4</f>
        <v>7540000</v>
      </c>
      <c r="AC38" s="235"/>
      <c r="AD38" s="235"/>
    </row>
    <row r="39" spans="1:46" hidden="1" x14ac:dyDescent="0.3">
      <c r="A39" s="231" t="s">
        <v>86</v>
      </c>
      <c r="B39" s="243"/>
      <c r="C39" s="243"/>
      <c r="D39" s="243"/>
      <c r="E39" s="243"/>
      <c r="F39" s="243"/>
      <c r="G39" s="243"/>
      <c r="H39" s="243"/>
      <c r="I39" s="243"/>
      <c r="J39" s="243"/>
      <c r="K39" s="243"/>
      <c r="L39" s="243"/>
      <c r="M39" s="243"/>
      <c r="N39" s="243"/>
      <c r="O39" s="243"/>
      <c r="P39" s="244">
        <f>SUM(P38,P25)</f>
        <v>161073529.48337436</v>
      </c>
      <c r="Q39" s="245">
        <f>T39/P39</f>
        <v>3.8103071188640755E-3</v>
      </c>
      <c r="R39" s="246">
        <f>S39/P39</f>
        <v>0.77303239176433358</v>
      </c>
      <c r="S39" s="244">
        <f>SUM(S38,S25)</f>
        <v>124515055.74645579</v>
      </c>
      <c r="T39" s="244">
        <f>SUM(T38,T25)</f>
        <v>613739.61605106387</v>
      </c>
      <c r="U39" s="244">
        <f>U25+U38*5%</f>
        <v>3761906.6093363548</v>
      </c>
      <c r="V39" s="247">
        <f>P39/U39</f>
        <v>42.81699313949467</v>
      </c>
      <c r="W39" s="248"/>
      <c r="X39" s="249">
        <f>SUM(X38,X25)</f>
        <v>17818020.427636862</v>
      </c>
      <c r="Y39" s="106"/>
      <c r="Z39" s="106"/>
      <c r="AA39" s="250">
        <f t="shared" si="24"/>
        <v>0.49892660601277916</v>
      </c>
      <c r="AB39" s="244">
        <f>'Audience Sizing'!C4</f>
        <v>7540000</v>
      </c>
      <c r="AC39" s="244"/>
      <c r="AD39" s="244"/>
    </row>
    <row r="40" spans="1:46" x14ac:dyDescent="0.3">
      <c r="A40" s="9" t="s">
        <v>87</v>
      </c>
      <c r="B40" s="9" t="s">
        <v>56</v>
      </c>
      <c r="C40" s="9" t="s">
        <v>57</v>
      </c>
      <c r="D40" s="9" t="s">
        <v>58</v>
      </c>
      <c r="E40" s="9" t="s">
        <v>59</v>
      </c>
      <c r="F40" s="9" t="s">
        <v>60</v>
      </c>
      <c r="G40" s="9" t="s">
        <v>61</v>
      </c>
      <c r="H40" s="9" t="s">
        <v>2276</v>
      </c>
      <c r="I40" s="9" t="s">
        <v>62</v>
      </c>
      <c r="J40" s="9" t="s">
        <v>312</v>
      </c>
      <c r="K40" s="9" t="s">
        <v>63</v>
      </c>
      <c r="L40" s="9" t="s">
        <v>64</v>
      </c>
      <c r="M40" s="9" t="s">
        <v>65</v>
      </c>
      <c r="N40" s="9" t="s">
        <v>66</v>
      </c>
      <c r="O40" s="10" t="e">
        <f>#REF!-#REF!+1</f>
        <v>#REF!</v>
      </c>
      <c r="P40" s="11">
        <f>S40/R40</f>
        <v>3030758.2227272717</v>
      </c>
      <c r="Q40" s="12"/>
      <c r="R40" s="13">
        <v>0.4</v>
      </c>
      <c r="S40" s="11">
        <f>X40/W40</f>
        <v>1212303.2890909088</v>
      </c>
      <c r="T40" s="11">
        <f>P40*Q40</f>
        <v>0</v>
      </c>
      <c r="U40" s="11">
        <f>P40/V40</f>
        <v>1010252.7409090906</v>
      </c>
      <c r="V40" s="152">
        <v>3</v>
      </c>
      <c r="W40" s="154">
        <v>0.55000000000000004</v>
      </c>
      <c r="X40" s="16">
        <v>666766.80899999989</v>
      </c>
      <c r="Y40" s="16">
        <f t="shared" ref="Y40:Y57" si="25">X40/P40*1000</f>
        <v>220.00000000000003</v>
      </c>
      <c r="Z40" s="16">
        <f>IFERROR(X40/T40, 0)</f>
        <v>0</v>
      </c>
      <c r="AA40" s="207">
        <f t="shared" si="24"/>
        <v>0.72626654424523163</v>
      </c>
      <c r="AB40" s="11">
        <f>'Audience Sizing'!F5</f>
        <v>1391022</v>
      </c>
      <c r="AC40" s="17">
        <v>45385</v>
      </c>
      <c r="AD40" s="17">
        <v>45424</v>
      </c>
      <c r="AF40">
        <v>2.13</v>
      </c>
      <c r="AG40" s="262">
        <f>AF40*P40/1000</f>
        <v>6455.5150144090885</v>
      </c>
      <c r="AH40" s="262">
        <f>AG40*5%</f>
        <v>322.77575072045443</v>
      </c>
      <c r="AI40" s="263">
        <f>AG40+AH40</f>
        <v>6778.2907651295427</v>
      </c>
      <c r="AK40">
        <v>1.43</v>
      </c>
      <c r="AL40" s="262">
        <f>AK40*P40/1000</f>
        <v>4333.9842584999988</v>
      </c>
      <c r="AM40" s="262">
        <f>AL40*5%</f>
        <v>216.69921292499996</v>
      </c>
      <c r="AN40" s="263">
        <f>SUM(AL40:AM40)</f>
        <v>4550.683471424999</v>
      </c>
      <c r="AO40" s="409"/>
      <c r="AP40" s="263"/>
      <c r="AQ40" s="89"/>
      <c r="AT40" s="262"/>
    </row>
    <row r="41" spans="1:46" x14ac:dyDescent="0.3">
      <c r="A41" s="9" t="s">
        <v>87</v>
      </c>
      <c r="B41" s="9" t="s">
        <v>56</v>
      </c>
      <c r="C41" s="9" t="s">
        <v>57</v>
      </c>
      <c r="D41" s="9" t="s">
        <v>67</v>
      </c>
      <c r="E41" s="9" t="s">
        <v>59</v>
      </c>
      <c r="F41" s="9" t="s">
        <v>60</v>
      </c>
      <c r="G41" s="9" t="s">
        <v>68</v>
      </c>
      <c r="H41" s="9" t="s">
        <v>2276</v>
      </c>
      <c r="I41" s="9" t="s">
        <v>62</v>
      </c>
      <c r="J41" s="9" t="s">
        <v>313</v>
      </c>
      <c r="K41" s="9" t="s">
        <v>63</v>
      </c>
      <c r="L41" s="9" t="s">
        <v>64</v>
      </c>
      <c r="M41" s="9" t="s">
        <v>65</v>
      </c>
      <c r="N41" s="9" t="s">
        <v>66</v>
      </c>
      <c r="O41" s="10" t="e">
        <f>#REF!-#REF!+1</f>
        <v>#REF!</v>
      </c>
      <c r="P41" s="11">
        <f>S41/R41</f>
        <v>7244759.2846386805</v>
      </c>
      <c r="Q41" s="12">
        <v>2E-3</v>
      </c>
      <c r="R41" s="13">
        <v>0.37</v>
      </c>
      <c r="S41" s="11">
        <f>X41/W41</f>
        <v>2680560.9353163117</v>
      </c>
      <c r="T41" s="11">
        <f>P41*Q41</f>
        <v>14489.518569277361</v>
      </c>
      <c r="U41" s="11">
        <f>P41/V41</f>
        <v>1684827.7406136468</v>
      </c>
      <c r="V41" s="152">
        <v>4.3</v>
      </c>
      <c r="W41" s="15">
        <v>0.4</v>
      </c>
      <c r="X41" s="16">
        <v>1072224.3741265247</v>
      </c>
      <c r="Y41" s="16">
        <f t="shared" si="25"/>
        <v>148</v>
      </c>
      <c r="Z41" s="16">
        <f>IFERROR(X41/T41, 0)</f>
        <v>74</v>
      </c>
      <c r="AA41" s="207">
        <f t="shared" si="24"/>
        <v>0.30796762456163079</v>
      </c>
      <c r="AB41" s="11">
        <f>'Audience Sizing'!E5</f>
        <v>5470795</v>
      </c>
      <c r="AC41" s="17">
        <v>45385</v>
      </c>
      <c r="AD41" s="17">
        <v>45424</v>
      </c>
      <c r="AF41">
        <v>2.13</v>
      </c>
      <c r="AG41" s="262">
        <f>AF41*P41/1000</f>
        <v>15431.337276280388</v>
      </c>
      <c r="AH41" s="262">
        <f>AG41*5%</f>
        <v>771.56686381401948</v>
      </c>
      <c r="AI41" s="263">
        <f>AG41+AH41</f>
        <v>16202.904140094408</v>
      </c>
      <c r="AK41">
        <v>1.43</v>
      </c>
      <c r="AL41" s="262">
        <f>AK41*P41/1000</f>
        <v>10360.005777033311</v>
      </c>
      <c r="AM41" s="262">
        <f>AL41*5%</f>
        <v>518.00028885166557</v>
      </c>
      <c r="AN41" s="263">
        <f>SUM(AL41:AM41)</f>
        <v>10878.006065884976</v>
      </c>
      <c r="AO41" s="409"/>
      <c r="AP41" s="263"/>
      <c r="AQ41" s="89"/>
      <c r="AT41" s="262"/>
    </row>
    <row r="42" spans="1:46" x14ac:dyDescent="0.3">
      <c r="A42" s="9" t="s">
        <v>87</v>
      </c>
      <c r="B42" s="9" t="s">
        <v>56</v>
      </c>
      <c r="C42" s="9" t="s">
        <v>57</v>
      </c>
      <c r="D42" s="9" t="s">
        <v>67</v>
      </c>
      <c r="E42" s="9" t="s">
        <v>59</v>
      </c>
      <c r="F42" s="9" t="s">
        <v>60</v>
      </c>
      <c r="G42" s="9" t="s">
        <v>69</v>
      </c>
      <c r="H42" s="9" t="s">
        <v>2276</v>
      </c>
      <c r="I42" s="9" t="s">
        <v>62</v>
      </c>
      <c r="J42" s="9" t="s">
        <v>314</v>
      </c>
      <c r="K42" s="9" t="s">
        <v>63</v>
      </c>
      <c r="L42" s="9" t="s">
        <v>64</v>
      </c>
      <c r="M42" s="9" t="s">
        <v>65</v>
      </c>
      <c r="N42" s="9" t="s">
        <v>66</v>
      </c>
      <c r="O42" s="10" t="e">
        <f>#REF!-#REF!+1</f>
        <v>#REF!</v>
      </c>
      <c r="P42" s="11">
        <f>S42/R42</f>
        <v>6966114.6967679616</v>
      </c>
      <c r="Q42" s="12">
        <v>2E-3</v>
      </c>
      <c r="R42" s="13">
        <v>0.37</v>
      </c>
      <c r="S42" s="11">
        <f>X42/W42</f>
        <v>2577462.4378041457</v>
      </c>
      <c r="T42" s="11">
        <f>P42*Q42</f>
        <v>13932.229393535923</v>
      </c>
      <c r="U42" s="11">
        <f>P42/V42</f>
        <v>1741528.6741919904</v>
      </c>
      <c r="V42" s="152">
        <v>4</v>
      </c>
      <c r="W42" s="15">
        <v>0.4</v>
      </c>
      <c r="X42" s="16">
        <v>1030984.9751216583</v>
      </c>
      <c r="Y42" s="16">
        <f t="shared" si="25"/>
        <v>148</v>
      </c>
      <c r="Z42" s="16">
        <f>IFERROR(X42/T42, 0)</f>
        <v>74</v>
      </c>
      <c r="AA42" s="207">
        <f t="shared" si="24"/>
        <v>0.31833191961899326</v>
      </c>
      <c r="AB42" s="11">
        <f>'Audience Sizing'!E5</f>
        <v>5470795</v>
      </c>
      <c r="AC42" s="17">
        <v>45385</v>
      </c>
      <c r="AD42" s="17">
        <v>45424</v>
      </c>
      <c r="AF42">
        <v>2.13</v>
      </c>
      <c r="AG42" s="262">
        <f>AF42*P42/1000</f>
        <v>14837.824304115757</v>
      </c>
      <c r="AH42" s="262">
        <f>AG42*5%</f>
        <v>741.89121520578783</v>
      </c>
      <c r="AI42" s="263">
        <f>AG42+AH42</f>
        <v>15579.715519321544</v>
      </c>
      <c r="AK42">
        <v>1.43</v>
      </c>
      <c r="AL42" s="262">
        <f>AK42*P42/1000</f>
        <v>9961.5440163781841</v>
      </c>
      <c r="AM42" s="262">
        <f>AL42*5%</f>
        <v>498.0772008189092</v>
      </c>
      <c r="AN42" s="263">
        <f>SUM(AL42:AM42)</f>
        <v>10459.621217197093</v>
      </c>
      <c r="AO42" s="409"/>
      <c r="AP42" s="263"/>
      <c r="AQ42" s="89"/>
      <c r="AT42" s="262"/>
    </row>
    <row r="43" spans="1:46" hidden="1" x14ac:dyDescent="0.3">
      <c r="A43" s="9" t="s">
        <v>87</v>
      </c>
      <c r="B43" s="9" t="s">
        <v>56</v>
      </c>
      <c r="C43" s="9" t="s">
        <v>71</v>
      </c>
      <c r="D43" s="9" t="s">
        <v>58</v>
      </c>
      <c r="E43" s="9" t="s">
        <v>72</v>
      </c>
      <c r="F43" s="9" t="s">
        <v>60</v>
      </c>
      <c r="G43" s="9" t="s">
        <v>61</v>
      </c>
      <c r="H43" s="9" t="s">
        <v>2276</v>
      </c>
      <c r="I43" s="9" t="s">
        <v>62</v>
      </c>
      <c r="J43" s="9" t="s">
        <v>315</v>
      </c>
      <c r="K43" s="9" t="s">
        <v>73</v>
      </c>
      <c r="L43" s="9" t="s">
        <v>64</v>
      </c>
      <c r="M43" s="9" t="s">
        <v>65</v>
      </c>
      <c r="N43" s="9" t="s">
        <v>65</v>
      </c>
      <c r="O43" s="10" t="e">
        <f>#REF!-#REF!+1</f>
        <v>#REF!</v>
      </c>
      <c r="P43" s="11">
        <f>X43*1000/W43</f>
        <v>740852.00999999989</v>
      </c>
      <c r="Q43" s="12">
        <v>0</v>
      </c>
      <c r="R43" s="13">
        <v>0.85</v>
      </c>
      <c r="S43" s="11">
        <f>P43*R43</f>
        <v>629724.20849999995</v>
      </c>
      <c r="T43" s="11">
        <f>P43*Q43</f>
        <v>0</v>
      </c>
      <c r="U43" s="11">
        <f>P43/V43</f>
        <v>123475.33499999998</v>
      </c>
      <c r="V43" s="152">
        <v>6</v>
      </c>
      <c r="W43" s="15">
        <v>450</v>
      </c>
      <c r="X43" s="16">
        <v>333383.40449999995</v>
      </c>
      <c r="Y43" s="16">
        <f t="shared" si="25"/>
        <v>450</v>
      </c>
      <c r="Z43" s="16">
        <f>IFERROR(X43/T43, 0)</f>
        <v>0</v>
      </c>
      <c r="AA43" s="207">
        <f t="shared" si="24"/>
        <v>0.29519426945742727</v>
      </c>
      <c r="AB43" s="11">
        <f>'Audience Sizing'!H5</f>
        <v>418285</v>
      </c>
      <c r="AC43" s="17">
        <v>45385</v>
      </c>
      <c r="AD43" s="17">
        <v>45424</v>
      </c>
      <c r="AH43" s="262"/>
      <c r="AI43" s="263"/>
      <c r="AK43">
        <v>1.43</v>
      </c>
      <c r="AL43" s="262">
        <f>AK43*P43/1000</f>
        <v>1059.4183742999999</v>
      </c>
      <c r="AM43" s="262">
        <f>AL43*5%</f>
        <v>52.970918714999996</v>
      </c>
      <c r="AN43" s="263">
        <f>AL43+AM43</f>
        <v>1112.3892930149998</v>
      </c>
      <c r="AP43" s="263"/>
      <c r="AQ43" s="263"/>
      <c r="AT43" s="263"/>
    </row>
    <row r="44" spans="1:46" hidden="1" x14ac:dyDescent="0.3">
      <c r="A44" s="230" t="s">
        <v>88</v>
      </c>
      <c r="B44" s="234"/>
      <c r="C44" s="234"/>
      <c r="D44" s="234"/>
      <c r="E44" s="234"/>
      <c r="F44" s="234"/>
      <c r="G44" s="234"/>
      <c r="H44" s="234"/>
      <c r="I44" s="234"/>
      <c r="J44" s="234"/>
      <c r="K44" s="234"/>
      <c r="L44" s="234"/>
      <c r="M44" s="234"/>
      <c r="N44" s="234"/>
      <c r="O44" s="234"/>
      <c r="P44" s="235">
        <f>SUM(P40:P43)</f>
        <v>17982484.214133915</v>
      </c>
      <c r="Q44" s="236">
        <f>T44/P44</f>
        <v>1.5805240046018944E-3</v>
      </c>
      <c r="R44" s="237">
        <f>S44/P44</f>
        <v>0.39483148079901281</v>
      </c>
      <c r="S44" s="235">
        <f>SUM(S40:S43)</f>
        <v>7100050.8707113657</v>
      </c>
      <c r="T44" s="235">
        <f>SUM(T40:T43)</f>
        <v>28421.747962813286</v>
      </c>
      <c r="U44" s="235">
        <f>U41+U42*20%+SUM(U43:U43,U40)*50%</f>
        <v>2599997.5134065906</v>
      </c>
      <c r="V44" s="238">
        <f>P44/U44</f>
        <v>6.9163466970292422</v>
      </c>
      <c r="W44" s="239"/>
      <c r="X44" s="240">
        <f>SUM(X40:X43)</f>
        <v>3103359.5627481826</v>
      </c>
      <c r="Y44" s="22">
        <f t="shared" si="25"/>
        <v>172.57679894466398</v>
      </c>
      <c r="Z44" s="22">
        <f>X44/T44</f>
        <v>109.18960954859587</v>
      </c>
      <c r="AA44" s="241">
        <f t="shared" si="24"/>
        <v>0.47144107224054227</v>
      </c>
      <c r="AB44" s="235">
        <f>'Audience Sizing'!C5</f>
        <v>5515000</v>
      </c>
      <c r="AC44" s="235"/>
      <c r="AD44" s="235"/>
    </row>
    <row r="45" spans="1:46" x14ac:dyDescent="0.3">
      <c r="A45" s="9" t="s">
        <v>87</v>
      </c>
      <c r="B45" s="9" t="s">
        <v>56</v>
      </c>
      <c r="C45" s="9" t="s">
        <v>57</v>
      </c>
      <c r="D45" s="9" t="s">
        <v>58</v>
      </c>
      <c r="E45" s="9" t="s">
        <v>75</v>
      </c>
      <c r="F45" s="9" t="s">
        <v>60</v>
      </c>
      <c r="G45" s="9" t="s">
        <v>61</v>
      </c>
      <c r="H45" s="9" t="s">
        <v>2276</v>
      </c>
      <c r="I45" s="9" t="s">
        <v>76</v>
      </c>
      <c r="J45" s="9" t="s">
        <v>312</v>
      </c>
      <c r="K45" s="9" t="s">
        <v>77</v>
      </c>
      <c r="L45" s="9" t="s">
        <v>64</v>
      </c>
      <c r="M45" s="9" t="s">
        <v>65</v>
      </c>
      <c r="N45" s="9" t="s">
        <v>66</v>
      </c>
      <c r="O45" s="10" t="e">
        <f>#REF!-#REF!+1</f>
        <v>#REF!</v>
      </c>
      <c r="P45" s="11">
        <f t="shared" ref="P45:P56" si="26">X45*1000/W45</f>
        <v>4513325.9920000006</v>
      </c>
      <c r="Q45" s="12"/>
      <c r="R45" s="13">
        <v>0.75</v>
      </c>
      <c r="S45" s="11">
        <f t="shared" ref="S45:S56" si="27">P45*R45</f>
        <v>3384994.4940000004</v>
      </c>
      <c r="T45" s="11">
        <f t="shared" ref="T45:T56" si="28">P45*Q45</f>
        <v>0</v>
      </c>
      <c r="U45" s="11">
        <f t="shared" ref="U45:U56" si="29">P45/V45</f>
        <v>752220.9986666668</v>
      </c>
      <c r="V45" s="152">
        <v>6</v>
      </c>
      <c r="W45" s="15">
        <v>125</v>
      </c>
      <c r="X45" s="16">
        <v>564165.74900000007</v>
      </c>
      <c r="Y45" s="16">
        <f t="shared" si="25"/>
        <v>125</v>
      </c>
      <c r="Z45" s="16">
        <f t="shared" ref="Z45:Z56" si="30">IFERROR(X45/T45, 0)</f>
        <v>0</v>
      </c>
      <c r="AA45" s="207">
        <f t="shared" si="24"/>
        <v>0.54076858501638847</v>
      </c>
      <c r="AB45" s="11">
        <f>'Audience Sizing'!F5</f>
        <v>1391022</v>
      </c>
      <c r="AC45" s="17">
        <v>45390</v>
      </c>
      <c r="AD45" s="17">
        <v>45473</v>
      </c>
      <c r="AE45" s="17"/>
      <c r="AF45">
        <v>2.13</v>
      </c>
      <c r="AG45" s="262">
        <f>AF45*P45/1000</f>
        <v>9613.3843629600015</v>
      </c>
      <c r="AH45" s="262">
        <f>AG45*5%</f>
        <v>480.66921814800008</v>
      </c>
      <c r="AI45" s="263">
        <f>AG45+AH45</f>
        <v>10094.053581108001</v>
      </c>
      <c r="AK45">
        <v>1.43</v>
      </c>
      <c r="AL45" s="262">
        <f>AK45*P45/1000</f>
        <v>6454.0561685600005</v>
      </c>
      <c r="AM45" s="262">
        <f>AL45*5%</f>
        <v>322.70280842800003</v>
      </c>
      <c r="AN45" s="263">
        <f>SUM(AL45:AM45)</f>
        <v>6776.7589769880005</v>
      </c>
      <c r="AO45" s="409"/>
      <c r="AP45" s="263"/>
      <c r="AQ45" s="89"/>
      <c r="AT45" s="262"/>
    </row>
    <row r="46" spans="1:46" x14ac:dyDescent="0.3">
      <c r="A46" s="9" t="s">
        <v>87</v>
      </c>
      <c r="B46" s="9" t="s">
        <v>56</v>
      </c>
      <c r="C46" s="9" t="s">
        <v>57</v>
      </c>
      <c r="D46" s="9" t="s">
        <v>67</v>
      </c>
      <c r="E46" s="9" t="s">
        <v>75</v>
      </c>
      <c r="F46" s="9" t="s">
        <v>60</v>
      </c>
      <c r="G46" s="9" t="s">
        <v>68</v>
      </c>
      <c r="H46" s="9" t="s">
        <v>2276</v>
      </c>
      <c r="I46" s="9" t="s">
        <v>76</v>
      </c>
      <c r="J46" s="9" t="s">
        <v>313</v>
      </c>
      <c r="K46" s="9" t="s">
        <v>77</v>
      </c>
      <c r="L46" s="9" t="s">
        <v>64</v>
      </c>
      <c r="M46" s="9" t="s">
        <v>65</v>
      </c>
      <c r="N46" s="9" t="s">
        <v>66</v>
      </c>
      <c r="O46" s="10" t="e">
        <f>#REF!-#REF!+1</f>
        <v>#REF!</v>
      </c>
      <c r="P46" s="11">
        <f t="shared" si="26"/>
        <v>22566629.960000001</v>
      </c>
      <c r="Q46" s="12">
        <v>5.4999999999999997E-3</v>
      </c>
      <c r="R46" s="13">
        <v>0.75</v>
      </c>
      <c r="S46" s="11">
        <f t="shared" si="27"/>
        <v>16924972.469999999</v>
      </c>
      <c r="T46" s="11">
        <f t="shared" si="28"/>
        <v>124116.46477999999</v>
      </c>
      <c r="U46" s="11">
        <f t="shared" si="29"/>
        <v>1880552.4966666668</v>
      </c>
      <c r="V46" s="152">
        <v>12</v>
      </c>
      <c r="W46" s="15">
        <v>115</v>
      </c>
      <c r="X46" s="16">
        <v>2595162.4454000001</v>
      </c>
      <c r="Y46" s="16">
        <f t="shared" si="25"/>
        <v>115</v>
      </c>
      <c r="Z46" s="16">
        <f t="shared" si="30"/>
        <v>20.90909090909091</v>
      </c>
      <c r="AA46" s="207">
        <f t="shared" si="24"/>
        <v>0.34374391595127707</v>
      </c>
      <c r="AB46" s="11">
        <f>'Audience Sizing'!E5</f>
        <v>5470795</v>
      </c>
      <c r="AC46" s="17">
        <v>45390</v>
      </c>
      <c r="AD46" s="17">
        <v>45473</v>
      </c>
      <c r="AE46" s="17"/>
      <c r="AF46">
        <v>2.13</v>
      </c>
      <c r="AG46" s="262">
        <f>AF46*P46/1000</f>
        <v>48066.9218148</v>
      </c>
      <c r="AH46" s="262">
        <f>AG46*5%</f>
        <v>2403.3460907399999</v>
      </c>
      <c r="AI46" s="263">
        <f>AG46+AH46</f>
        <v>50470.26790554</v>
      </c>
      <c r="AK46">
        <v>1.43</v>
      </c>
      <c r="AL46" s="262">
        <f>AK46*P46/1000</f>
        <v>32270.280842799999</v>
      </c>
      <c r="AM46" s="262">
        <f>AL46*5%</f>
        <v>1613.5140421400001</v>
      </c>
      <c r="AN46" s="263">
        <f>SUM(AL46:AM46)</f>
        <v>33883.794884939998</v>
      </c>
      <c r="AO46" s="409"/>
      <c r="AP46" s="263"/>
      <c r="AQ46" s="89"/>
      <c r="AT46" s="262"/>
    </row>
    <row r="47" spans="1:46" x14ac:dyDescent="0.3">
      <c r="A47" s="9" t="s">
        <v>87</v>
      </c>
      <c r="B47" s="9" t="s">
        <v>56</v>
      </c>
      <c r="C47" s="9" t="s">
        <v>57</v>
      </c>
      <c r="D47" s="9" t="s">
        <v>67</v>
      </c>
      <c r="E47" s="9" t="s">
        <v>75</v>
      </c>
      <c r="F47" s="9" t="s">
        <v>60</v>
      </c>
      <c r="G47" s="9" t="s">
        <v>69</v>
      </c>
      <c r="H47" s="9" t="s">
        <v>2276</v>
      </c>
      <c r="I47" s="9" t="s">
        <v>76</v>
      </c>
      <c r="J47" s="9" t="s">
        <v>314</v>
      </c>
      <c r="K47" s="9" t="s">
        <v>77</v>
      </c>
      <c r="L47" s="9" t="s">
        <v>64</v>
      </c>
      <c r="M47" s="9" t="s">
        <v>65</v>
      </c>
      <c r="N47" s="9" t="s">
        <v>66</v>
      </c>
      <c r="O47" s="10" t="e">
        <f>#REF!-#REF!+1</f>
        <v>#REF!</v>
      </c>
      <c r="P47" s="11">
        <f t="shared" si="26"/>
        <v>22566629.960000001</v>
      </c>
      <c r="Q47" s="12">
        <v>5.4999999999999997E-3</v>
      </c>
      <c r="R47" s="13">
        <v>0.75</v>
      </c>
      <c r="S47" s="11">
        <f t="shared" si="27"/>
        <v>16924972.469999999</v>
      </c>
      <c r="T47" s="11">
        <f t="shared" si="28"/>
        <v>124116.46477999999</v>
      </c>
      <c r="U47" s="11">
        <f t="shared" si="29"/>
        <v>1880552.4966666668</v>
      </c>
      <c r="V47" s="152">
        <v>12</v>
      </c>
      <c r="W47" s="15">
        <v>115</v>
      </c>
      <c r="X47" s="16">
        <v>2595162.4454000001</v>
      </c>
      <c r="Y47" s="16">
        <f t="shared" si="25"/>
        <v>115</v>
      </c>
      <c r="Z47" s="16">
        <f t="shared" si="30"/>
        <v>20.90909090909091</v>
      </c>
      <c r="AA47" s="221">
        <f t="shared" si="24"/>
        <v>0.34374391595127707</v>
      </c>
      <c r="AB47" s="11">
        <f>'Audience Sizing'!E5</f>
        <v>5470795</v>
      </c>
      <c r="AC47" s="17">
        <v>45390</v>
      </c>
      <c r="AD47" s="17">
        <v>45473</v>
      </c>
      <c r="AE47" s="17"/>
      <c r="AF47">
        <v>2.13</v>
      </c>
      <c r="AG47" s="262">
        <f>AF47*P47/1000</f>
        <v>48066.9218148</v>
      </c>
      <c r="AH47" s="262">
        <f>AG47*5%</f>
        <v>2403.3460907399999</v>
      </c>
      <c r="AI47" s="263">
        <f>AG47+AH47</f>
        <v>50470.26790554</v>
      </c>
      <c r="AK47">
        <v>1.43</v>
      </c>
      <c r="AL47" s="262">
        <f>AK47*P47/1000</f>
        <v>32270.280842799999</v>
      </c>
      <c r="AM47" s="262">
        <f>AL47*5%</f>
        <v>1613.5140421400001</v>
      </c>
      <c r="AN47" s="263">
        <f>SUM(AL47:AM47)</f>
        <v>33883.794884939998</v>
      </c>
      <c r="AO47" s="409"/>
      <c r="AP47" s="263"/>
      <c r="AQ47" s="89"/>
      <c r="AT47" s="262"/>
    </row>
    <row r="48" spans="1:46" hidden="1" x14ac:dyDescent="0.3">
      <c r="A48" s="9" t="s">
        <v>87</v>
      </c>
      <c r="B48" s="9" t="s">
        <v>56</v>
      </c>
      <c r="C48" s="9" t="s">
        <v>71</v>
      </c>
      <c r="D48" s="9" t="s">
        <v>58</v>
      </c>
      <c r="E48" s="9" t="s">
        <v>72</v>
      </c>
      <c r="F48" s="9" t="s">
        <v>60</v>
      </c>
      <c r="G48" s="9" t="s">
        <v>61</v>
      </c>
      <c r="H48" s="9" t="s">
        <v>2276</v>
      </c>
      <c r="I48" s="9" t="s">
        <v>76</v>
      </c>
      <c r="J48" s="9" t="s">
        <v>315</v>
      </c>
      <c r="K48" s="9" t="s">
        <v>73</v>
      </c>
      <c r="L48" s="9" t="s">
        <v>64</v>
      </c>
      <c r="M48" s="9" t="s">
        <v>65</v>
      </c>
      <c r="N48" s="9" t="s">
        <v>65</v>
      </c>
      <c r="O48" s="10" t="e">
        <f>#REF!-#REF!+1</f>
        <v>#REF!</v>
      </c>
      <c r="P48" s="11">
        <f t="shared" si="26"/>
        <v>1353997.7975999999</v>
      </c>
      <c r="Q48" s="12">
        <v>0</v>
      </c>
      <c r="R48" s="13">
        <v>0.85</v>
      </c>
      <c r="S48" s="11">
        <f t="shared" si="27"/>
        <v>1150898.12796</v>
      </c>
      <c r="T48" s="11">
        <f t="shared" si="28"/>
        <v>0</v>
      </c>
      <c r="U48" s="11">
        <f t="shared" si="29"/>
        <v>225666.2996</v>
      </c>
      <c r="V48" s="152">
        <v>6</v>
      </c>
      <c r="W48" s="15">
        <v>250</v>
      </c>
      <c r="X48" s="16">
        <v>338499.44939999998</v>
      </c>
      <c r="Y48" s="16">
        <f t="shared" si="25"/>
        <v>250</v>
      </c>
      <c r="Z48" s="16">
        <f t="shared" si="30"/>
        <v>0</v>
      </c>
      <c r="AA48" s="221">
        <f t="shared" si="24"/>
        <v>0.53950368672077653</v>
      </c>
      <c r="AB48" s="11">
        <f>'Audience Sizing'!H5</f>
        <v>418285</v>
      </c>
      <c r="AC48" s="17">
        <v>45390</v>
      </c>
      <c r="AD48" s="17">
        <v>45473</v>
      </c>
      <c r="AE48" s="17"/>
      <c r="AG48" s="262"/>
      <c r="AH48" s="263"/>
      <c r="AK48">
        <v>1.43</v>
      </c>
      <c r="AL48" s="262">
        <f>AK48*P48/1000</f>
        <v>1936.2168505679997</v>
      </c>
      <c r="AM48" s="262">
        <f>AL48*5%</f>
        <v>96.810842528399988</v>
      </c>
      <c r="AN48" s="263">
        <f>AL48+AM48</f>
        <v>2033.0276930963996</v>
      </c>
      <c r="AO48" s="409"/>
      <c r="AP48" s="263"/>
      <c r="AQ48" s="263"/>
      <c r="AR48" s="262"/>
      <c r="AS48" s="263"/>
      <c r="AT48" s="263"/>
    </row>
    <row r="49" spans="1:46" hidden="1" x14ac:dyDescent="0.3">
      <c r="A49" s="9" t="s">
        <v>87</v>
      </c>
      <c r="B49" s="9" t="s">
        <v>56</v>
      </c>
      <c r="C49" s="9" t="s">
        <v>71</v>
      </c>
      <c r="D49" s="9" t="s">
        <v>67</v>
      </c>
      <c r="E49" s="9" t="s">
        <v>72</v>
      </c>
      <c r="F49" s="9" t="s">
        <v>60</v>
      </c>
      <c r="G49" s="9" t="s">
        <v>68</v>
      </c>
      <c r="H49" s="9" t="s">
        <v>2276</v>
      </c>
      <c r="I49" s="9" t="s">
        <v>76</v>
      </c>
      <c r="J49" s="9" t="s">
        <v>2335</v>
      </c>
      <c r="K49" s="9" t="s">
        <v>73</v>
      </c>
      <c r="L49" s="9" t="s">
        <v>64</v>
      </c>
      <c r="M49" s="9" t="s">
        <v>65</v>
      </c>
      <c r="N49" s="9" t="s">
        <v>65</v>
      </c>
      <c r="O49" s="10" t="e">
        <f>#REF!-#REF!+1</f>
        <v>#REF!</v>
      </c>
      <c r="P49" s="11">
        <f t="shared" si="26"/>
        <v>963735</v>
      </c>
      <c r="Q49" s="12">
        <v>1.2E-2</v>
      </c>
      <c r="R49" s="13">
        <v>0.85</v>
      </c>
      <c r="S49" s="11">
        <f t="shared" si="27"/>
        <v>819174.75</v>
      </c>
      <c r="T49" s="11">
        <f t="shared" si="28"/>
        <v>11564.82</v>
      </c>
      <c r="U49" s="11">
        <f t="shared" si="29"/>
        <v>192747</v>
      </c>
      <c r="V49" s="152">
        <v>5</v>
      </c>
      <c r="W49" s="15">
        <v>200</v>
      </c>
      <c r="X49" s="16">
        <v>192747</v>
      </c>
      <c r="Y49" s="16">
        <f t="shared" si="25"/>
        <v>200</v>
      </c>
      <c r="Z49" s="16">
        <f t="shared" si="30"/>
        <v>16.666666666666668</v>
      </c>
      <c r="AA49" s="221">
        <f t="shared" si="24"/>
        <v>6.1778241028313627E-2</v>
      </c>
      <c r="AB49" s="11">
        <f>'Audience Sizing'!G5</f>
        <v>3119982</v>
      </c>
      <c r="AC49" s="17">
        <v>45390</v>
      </c>
      <c r="AD49" s="17">
        <v>45404</v>
      </c>
      <c r="AG49" s="262"/>
      <c r="AH49" s="263"/>
      <c r="AL49" s="262"/>
      <c r="AM49" s="262"/>
      <c r="AN49" s="263"/>
      <c r="AP49" s="263"/>
      <c r="AQ49" s="263"/>
    </row>
    <row r="50" spans="1:46" hidden="1" x14ac:dyDescent="0.3">
      <c r="A50" s="9" t="s">
        <v>87</v>
      </c>
      <c r="B50" s="9" t="s">
        <v>56</v>
      </c>
      <c r="C50" s="9" t="s">
        <v>71</v>
      </c>
      <c r="D50" s="9" t="s">
        <v>67</v>
      </c>
      <c r="E50" s="9" t="s">
        <v>72</v>
      </c>
      <c r="F50" s="9" t="s">
        <v>60</v>
      </c>
      <c r="G50" s="9" t="s">
        <v>68</v>
      </c>
      <c r="H50" s="9" t="s">
        <v>2276</v>
      </c>
      <c r="I50" s="9" t="s">
        <v>76</v>
      </c>
      <c r="J50" s="9" t="s">
        <v>2298</v>
      </c>
      <c r="K50" s="9" t="s">
        <v>73</v>
      </c>
      <c r="L50" s="9" t="s">
        <v>64</v>
      </c>
      <c r="M50" s="9" t="s">
        <v>65</v>
      </c>
      <c r="N50" s="9" t="s">
        <v>65</v>
      </c>
      <c r="O50" s="10" t="e">
        <f>#REF!-#REF!+1</f>
        <v>#REF!</v>
      </c>
      <c r="P50" s="11">
        <f t="shared" si="26"/>
        <v>1937007.5951999999</v>
      </c>
      <c r="Q50" s="12">
        <v>1.2E-2</v>
      </c>
      <c r="R50" s="13">
        <v>0.85</v>
      </c>
      <c r="S50" s="11">
        <f t="shared" si="27"/>
        <v>1646456.4559199999</v>
      </c>
      <c r="T50" s="11">
        <f t="shared" si="28"/>
        <v>23244.091142400001</v>
      </c>
      <c r="U50" s="11">
        <f t="shared" si="29"/>
        <v>387401.51903999998</v>
      </c>
      <c r="V50" s="152">
        <v>5</v>
      </c>
      <c r="W50" s="15">
        <v>200</v>
      </c>
      <c r="X50" s="16">
        <v>387401.51903999998</v>
      </c>
      <c r="Y50" s="16">
        <f t="shared" si="25"/>
        <v>200</v>
      </c>
      <c r="Z50" s="16">
        <f t="shared" si="30"/>
        <v>16.666666666666664</v>
      </c>
      <c r="AA50" s="221">
        <f t="shared" si="24"/>
        <v>0.12416786989155706</v>
      </c>
      <c r="AB50" s="11">
        <f>'Audience Sizing'!G5</f>
        <v>3119982</v>
      </c>
      <c r="AC50" s="17">
        <v>45390</v>
      </c>
      <c r="AD50" s="17">
        <v>45473</v>
      </c>
      <c r="AE50" s="17"/>
      <c r="AG50" s="262"/>
      <c r="AH50" s="263"/>
      <c r="AK50">
        <v>1.43</v>
      </c>
      <c r="AL50" s="262">
        <f>AK50*P50/1000</f>
        <v>2769.9208611359995</v>
      </c>
      <c r="AM50" s="262">
        <f>AL50*5%</f>
        <v>138.49604305679998</v>
      </c>
      <c r="AN50" s="263">
        <f>AL50+AM50</f>
        <v>2908.4169041927994</v>
      </c>
      <c r="AO50" s="409"/>
      <c r="AP50" s="263"/>
      <c r="AQ50" s="263"/>
      <c r="AR50" s="262"/>
      <c r="AS50" s="263"/>
      <c r="AT50" s="263"/>
    </row>
    <row r="51" spans="1:46" hidden="1" x14ac:dyDescent="0.3">
      <c r="A51" s="9" t="s">
        <v>87</v>
      </c>
      <c r="B51" s="9" t="s">
        <v>56</v>
      </c>
      <c r="C51" s="9" t="s">
        <v>71</v>
      </c>
      <c r="D51" s="9" t="s">
        <v>67</v>
      </c>
      <c r="E51" s="9" t="s">
        <v>72</v>
      </c>
      <c r="F51" s="9" t="s">
        <v>60</v>
      </c>
      <c r="G51" s="9" t="s">
        <v>68</v>
      </c>
      <c r="H51" s="9" t="s">
        <v>2276</v>
      </c>
      <c r="I51" s="9" t="s">
        <v>76</v>
      </c>
      <c r="J51" s="9" t="s">
        <v>2299</v>
      </c>
      <c r="K51" s="9" t="s">
        <v>73</v>
      </c>
      <c r="L51" s="9" t="s">
        <v>64</v>
      </c>
      <c r="M51" s="9" t="s">
        <v>65</v>
      </c>
      <c r="N51" s="9" t="s">
        <v>65</v>
      </c>
      <c r="O51" s="10" t="e">
        <f>#REF!-#REF!+1</f>
        <v>#REF!</v>
      </c>
      <c r="P51" s="11">
        <f t="shared" si="26"/>
        <v>807086.49799999979</v>
      </c>
      <c r="Q51" s="12">
        <v>1.2E-2</v>
      </c>
      <c r="R51" s="13">
        <v>0.85</v>
      </c>
      <c r="S51" s="11">
        <f t="shared" si="27"/>
        <v>686023.52329999977</v>
      </c>
      <c r="T51" s="11">
        <f t="shared" si="28"/>
        <v>9685.0379759999978</v>
      </c>
      <c r="U51" s="11">
        <f t="shared" si="29"/>
        <v>161417.29959999997</v>
      </c>
      <c r="V51" s="152">
        <v>5</v>
      </c>
      <c r="W51" s="15">
        <f>200*60%</f>
        <v>120</v>
      </c>
      <c r="X51" s="16">
        <v>96850.379759999982</v>
      </c>
      <c r="Y51" s="16">
        <f t="shared" si="25"/>
        <v>120.00000000000001</v>
      </c>
      <c r="Z51" s="16">
        <f t="shared" si="30"/>
        <v>10</v>
      </c>
      <c r="AA51" s="221">
        <f t="shared" si="24"/>
        <v>5.1736612454815437E-2</v>
      </c>
      <c r="AB51" s="11">
        <f>'Audience Sizing'!G5</f>
        <v>3119982</v>
      </c>
      <c r="AC51" s="17">
        <v>45406</v>
      </c>
      <c r="AD51" s="17">
        <v>45473</v>
      </c>
      <c r="AE51" s="17"/>
      <c r="AG51" s="262"/>
      <c r="AH51" s="263"/>
      <c r="AK51">
        <v>1.43</v>
      </c>
      <c r="AL51" s="262">
        <f>AK51*P51/1000</f>
        <v>1154.1336921399998</v>
      </c>
      <c r="AM51" s="262">
        <f>AL51*5%</f>
        <v>57.706684606999993</v>
      </c>
      <c r="AN51" s="263">
        <f>AL51+AM51</f>
        <v>1211.8403767469997</v>
      </c>
      <c r="AO51" s="409"/>
      <c r="AP51" s="263"/>
      <c r="AQ51" s="263"/>
      <c r="AR51" s="262"/>
      <c r="AS51" s="263"/>
      <c r="AT51" s="263"/>
    </row>
    <row r="52" spans="1:46" hidden="1" x14ac:dyDescent="0.3">
      <c r="A52" s="9" t="s">
        <v>87</v>
      </c>
      <c r="B52" s="9" t="s">
        <v>56</v>
      </c>
      <c r="C52" s="9" t="s">
        <v>71</v>
      </c>
      <c r="D52" s="9" t="s">
        <v>67</v>
      </c>
      <c r="E52" s="9" t="s">
        <v>72</v>
      </c>
      <c r="F52" s="9" t="s">
        <v>60</v>
      </c>
      <c r="G52" s="9" t="s">
        <v>69</v>
      </c>
      <c r="H52" s="9" t="s">
        <v>2276</v>
      </c>
      <c r="I52" s="9" t="s">
        <v>76</v>
      </c>
      <c r="J52" s="9" t="s">
        <v>2336</v>
      </c>
      <c r="K52" s="9" t="s">
        <v>73</v>
      </c>
      <c r="L52" s="9" t="s">
        <v>64</v>
      </c>
      <c r="M52" s="9" t="s">
        <v>65</v>
      </c>
      <c r="N52" s="9" t="s">
        <v>65</v>
      </c>
      <c r="O52" s="10" t="e">
        <f>#REF!-#REF!+1</f>
        <v>#REF!</v>
      </c>
      <c r="P52" s="11">
        <f t="shared" si="26"/>
        <v>930435</v>
      </c>
      <c r="Q52" s="12">
        <v>1.2E-2</v>
      </c>
      <c r="R52" s="13">
        <v>0.85</v>
      </c>
      <c r="S52" s="11">
        <f t="shared" si="27"/>
        <v>790869.75</v>
      </c>
      <c r="T52" s="11">
        <f t="shared" si="28"/>
        <v>11165.22</v>
      </c>
      <c r="U52" s="11">
        <f t="shared" si="29"/>
        <v>186087</v>
      </c>
      <c r="V52" s="152">
        <v>5</v>
      </c>
      <c r="W52" s="15">
        <v>200</v>
      </c>
      <c r="X52" s="16">
        <v>186087</v>
      </c>
      <c r="Y52" s="16">
        <f t="shared" si="25"/>
        <v>200</v>
      </c>
      <c r="Z52" s="16">
        <f t="shared" si="30"/>
        <v>16.666666666666668</v>
      </c>
      <c r="AA52" s="221">
        <f t="shared" si="24"/>
        <v>5.9643613328538431E-2</v>
      </c>
      <c r="AB52" s="11">
        <f>'Audience Sizing'!G5</f>
        <v>3119982</v>
      </c>
      <c r="AC52" s="17">
        <v>45390</v>
      </c>
      <c r="AD52" s="17">
        <v>45404</v>
      </c>
      <c r="AG52" s="262"/>
      <c r="AH52" s="263"/>
      <c r="AL52" s="262"/>
      <c r="AM52" s="262"/>
      <c r="AN52" s="263"/>
      <c r="AP52" s="263"/>
      <c r="AQ52" s="263"/>
    </row>
    <row r="53" spans="1:46" hidden="1" x14ac:dyDescent="0.3">
      <c r="A53" s="9" t="s">
        <v>87</v>
      </c>
      <c r="B53" s="9" t="s">
        <v>56</v>
      </c>
      <c r="C53" s="9" t="s">
        <v>71</v>
      </c>
      <c r="D53" s="9" t="s">
        <v>67</v>
      </c>
      <c r="E53" s="9" t="s">
        <v>72</v>
      </c>
      <c r="F53" s="9" t="s">
        <v>60</v>
      </c>
      <c r="G53" s="9" t="s">
        <v>69</v>
      </c>
      <c r="H53" s="9" t="s">
        <v>2276</v>
      </c>
      <c r="I53" s="9" t="s">
        <v>76</v>
      </c>
      <c r="J53" s="9" t="s">
        <v>2334</v>
      </c>
      <c r="K53" s="9" t="s">
        <v>73</v>
      </c>
      <c r="L53" s="9" t="s">
        <v>64</v>
      </c>
      <c r="M53" s="9" t="s">
        <v>65</v>
      </c>
      <c r="N53" s="9" t="s">
        <v>65</v>
      </c>
      <c r="O53" s="10" t="e">
        <f>#REF!-#REF!+1</f>
        <v>#REF!</v>
      </c>
      <c r="P53" s="11">
        <f t="shared" si="26"/>
        <v>1963647.5951999999</v>
      </c>
      <c r="Q53" s="12">
        <v>1.2E-2</v>
      </c>
      <c r="R53" s="13">
        <v>0.85</v>
      </c>
      <c r="S53" s="11">
        <f t="shared" si="27"/>
        <v>1669100.4559199999</v>
      </c>
      <c r="T53" s="11">
        <f t="shared" si="28"/>
        <v>23563.771142399997</v>
      </c>
      <c r="U53" s="11">
        <f t="shared" si="29"/>
        <v>392729.51903999998</v>
      </c>
      <c r="V53" s="152">
        <v>5</v>
      </c>
      <c r="W53" s="15">
        <v>200</v>
      </c>
      <c r="X53" s="16">
        <v>392729.51903999998</v>
      </c>
      <c r="Y53" s="16">
        <f t="shared" si="25"/>
        <v>200</v>
      </c>
      <c r="Z53" s="16">
        <f t="shared" si="30"/>
        <v>16.666666666666668</v>
      </c>
      <c r="AA53" s="221">
        <f t="shared" si="24"/>
        <v>0.12587557205137723</v>
      </c>
      <c r="AB53" s="11">
        <f>'Audience Sizing'!G5</f>
        <v>3119982</v>
      </c>
      <c r="AC53" s="17">
        <v>45390</v>
      </c>
      <c r="AD53" s="17">
        <v>45473</v>
      </c>
      <c r="AE53" s="17"/>
      <c r="AG53" s="262"/>
      <c r="AH53" s="263"/>
      <c r="AK53">
        <v>1.43</v>
      </c>
      <c r="AL53" s="262">
        <f>AK53*P53/1000</f>
        <v>2808.0160611359997</v>
      </c>
      <c r="AM53" s="262">
        <f>AL53*5%</f>
        <v>140.40080305679999</v>
      </c>
      <c r="AN53" s="263">
        <f>AL53+AM53</f>
        <v>2948.4168641927999</v>
      </c>
      <c r="AO53" s="409"/>
      <c r="AP53" s="263"/>
      <c r="AQ53" s="263"/>
      <c r="AR53" s="262"/>
      <c r="AS53" s="263"/>
      <c r="AT53" s="263"/>
    </row>
    <row r="54" spans="1:46" hidden="1" x14ac:dyDescent="0.3">
      <c r="A54" s="9" t="s">
        <v>87</v>
      </c>
      <c r="B54" s="9" t="s">
        <v>56</v>
      </c>
      <c r="C54" s="9" t="s">
        <v>71</v>
      </c>
      <c r="D54" s="9" t="s">
        <v>67</v>
      </c>
      <c r="E54" s="9" t="s">
        <v>72</v>
      </c>
      <c r="F54" s="9" t="s">
        <v>60</v>
      </c>
      <c r="G54" s="9" t="s">
        <v>69</v>
      </c>
      <c r="H54" s="9" t="s">
        <v>2276</v>
      </c>
      <c r="I54" s="9" t="s">
        <v>76</v>
      </c>
      <c r="J54" s="9" t="s">
        <v>2300</v>
      </c>
      <c r="K54" s="9" t="s">
        <v>73</v>
      </c>
      <c r="L54" s="9" t="s">
        <v>64</v>
      </c>
      <c r="M54" s="9" t="s">
        <v>65</v>
      </c>
      <c r="N54" s="9" t="s">
        <v>65</v>
      </c>
      <c r="O54" s="10" t="e">
        <f>#REF!-#REF!+1</f>
        <v>#REF!</v>
      </c>
      <c r="P54" s="11">
        <f t="shared" si="26"/>
        <v>818186.49799999979</v>
      </c>
      <c r="Q54" s="12">
        <v>1.2E-2</v>
      </c>
      <c r="R54" s="13">
        <v>0.85</v>
      </c>
      <c r="S54" s="11">
        <f t="shared" si="27"/>
        <v>695458.52329999977</v>
      </c>
      <c r="T54" s="11">
        <f t="shared" si="28"/>
        <v>9818.2379759999985</v>
      </c>
      <c r="U54" s="11">
        <f t="shared" si="29"/>
        <v>163637.29959999997</v>
      </c>
      <c r="V54" s="152">
        <v>5</v>
      </c>
      <c r="W54" s="15">
        <f>200*60%</f>
        <v>120</v>
      </c>
      <c r="X54" s="16">
        <v>98182.379759999982</v>
      </c>
      <c r="Y54" s="16">
        <f t="shared" si="25"/>
        <v>120.00000000000001</v>
      </c>
      <c r="Z54" s="16">
        <f t="shared" si="30"/>
        <v>10</v>
      </c>
      <c r="AA54" s="221">
        <f t="shared" si="24"/>
        <v>5.2448155021407164E-2</v>
      </c>
      <c r="AB54" s="11">
        <f>'Audience Sizing'!G5</f>
        <v>3119982</v>
      </c>
      <c r="AC54" s="17">
        <v>45406</v>
      </c>
      <c r="AD54" s="17">
        <v>45473</v>
      </c>
      <c r="AE54" s="17"/>
      <c r="AG54" s="262"/>
      <c r="AH54" s="263"/>
      <c r="AK54">
        <v>1.43</v>
      </c>
      <c r="AL54" s="262">
        <f>AK54*P54/1000</f>
        <v>1170.0066921399998</v>
      </c>
      <c r="AM54" s="262">
        <f>AL54*5%</f>
        <v>58.500334606999992</v>
      </c>
      <c r="AN54" s="263">
        <f>AL54+AM54</f>
        <v>1228.5070267469998</v>
      </c>
      <c r="AO54" s="409"/>
      <c r="AP54" s="263"/>
      <c r="AQ54" s="263"/>
      <c r="AR54" s="262"/>
      <c r="AS54" s="263"/>
      <c r="AT54" s="263"/>
    </row>
    <row r="55" spans="1:46" x14ac:dyDescent="0.3">
      <c r="A55" s="9" t="s">
        <v>87</v>
      </c>
      <c r="B55" s="9" t="s">
        <v>56</v>
      </c>
      <c r="C55" s="9" t="s">
        <v>57</v>
      </c>
      <c r="D55" s="9" t="s">
        <v>67</v>
      </c>
      <c r="E55" s="9" t="s">
        <v>59</v>
      </c>
      <c r="F55" s="9" t="s">
        <v>60</v>
      </c>
      <c r="G55" s="9" t="s">
        <v>308</v>
      </c>
      <c r="H55" s="9" t="s">
        <v>2276</v>
      </c>
      <c r="I55" s="9" t="s">
        <v>78</v>
      </c>
      <c r="J55" s="9" t="s">
        <v>313</v>
      </c>
      <c r="K55" s="9" t="s">
        <v>73</v>
      </c>
      <c r="L55" s="9" t="s">
        <v>64</v>
      </c>
      <c r="M55" s="9" t="s">
        <v>65</v>
      </c>
      <c r="N55" s="9" t="s">
        <v>66</v>
      </c>
      <c r="O55" s="10" t="e">
        <f>#REF!-#REF!+1</f>
        <v>#REF!</v>
      </c>
      <c r="P55" s="11">
        <f t="shared" si="26"/>
        <v>20686077.463333335</v>
      </c>
      <c r="Q55" s="12">
        <v>2E-3</v>
      </c>
      <c r="R55" s="13">
        <v>0.9</v>
      </c>
      <c r="S55" s="11">
        <f t="shared" si="27"/>
        <v>18617469.717</v>
      </c>
      <c r="T55" s="11">
        <f t="shared" si="28"/>
        <v>41372.15492666667</v>
      </c>
      <c r="U55" s="11">
        <f t="shared" si="29"/>
        <v>4137215.4926666669</v>
      </c>
      <c r="V55" s="152">
        <v>5</v>
      </c>
      <c r="W55" s="15">
        <v>60</v>
      </c>
      <c r="X55" s="16">
        <v>1241164.6478000002</v>
      </c>
      <c r="Y55" s="16">
        <f t="shared" si="25"/>
        <v>60.000000000000007</v>
      </c>
      <c r="Z55" s="16">
        <f t="shared" si="30"/>
        <v>30</v>
      </c>
      <c r="AA55" s="221">
        <f t="shared" si="24"/>
        <v>0.75623661509280948</v>
      </c>
      <c r="AB55" s="11">
        <f>'Audience Sizing'!E5</f>
        <v>5470795</v>
      </c>
      <c r="AC55" s="17">
        <v>45418</v>
      </c>
      <c r="AD55" s="17">
        <v>45473</v>
      </c>
      <c r="AE55" s="17"/>
      <c r="AF55">
        <v>2.13</v>
      </c>
      <c r="AG55" s="262">
        <f>AF55*P55/1000</f>
        <v>44061.344996899999</v>
      </c>
      <c r="AH55" s="262">
        <f>AG55*5%</f>
        <v>2203.0672498449999</v>
      </c>
      <c r="AI55" s="263">
        <f>AG55+AH55</f>
        <v>46264.412246745</v>
      </c>
      <c r="AK55">
        <v>1.43</v>
      </c>
      <c r="AL55" s="262">
        <f>AK55*P55/1000</f>
        <v>29581.090772566669</v>
      </c>
      <c r="AM55" s="262">
        <f>AL55*5%</f>
        <v>1479.0545386283336</v>
      </c>
      <c r="AN55" s="263">
        <f>SUM(AL55:AM55)</f>
        <v>31060.145311195003</v>
      </c>
      <c r="AO55" s="409"/>
      <c r="AP55" s="263"/>
      <c r="AQ55" s="89"/>
      <c r="AT55" s="262"/>
    </row>
    <row r="56" spans="1:46" x14ac:dyDescent="0.3">
      <c r="A56" s="9" t="s">
        <v>87</v>
      </c>
      <c r="B56" s="9" t="s">
        <v>56</v>
      </c>
      <c r="C56" s="9" t="s">
        <v>57</v>
      </c>
      <c r="D56" s="9" t="s">
        <v>67</v>
      </c>
      <c r="E56" s="9" t="s">
        <v>59</v>
      </c>
      <c r="F56" s="9" t="s">
        <v>60</v>
      </c>
      <c r="G56" s="9" t="s">
        <v>307</v>
      </c>
      <c r="H56" s="9" t="s">
        <v>2276</v>
      </c>
      <c r="I56" s="9" t="s">
        <v>78</v>
      </c>
      <c r="J56" s="9" t="s">
        <v>314</v>
      </c>
      <c r="K56" s="9" t="s">
        <v>73</v>
      </c>
      <c r="L56" s="9" t="s">
        <v>64</v>
      </c>
      <c r="M56" s="9" t="s">
        <v>65</v>
      </c>
      <c r="N56" s="9" t="s">
        <v>66</v>
      </c>
      <c r="O56" s="10" t="e">
        <f>#REF!-#REF!+1</f>
        <v>#REF!</v>
      </c>
      <c r="P56" s="11">
        <f t="shared" si="26"/>
        <v>20686077.463333335</v>
      </c>
      <c r="Q56" s="12">
        <v>2E-3</v>
      </c>
      <c r="R56" s="13">
        <v>0.9</v>
      </c>
      <c r="S56" s="11">
        <f t="shared" si="27"/>
        <v>18617469.717</v>
      </c>
      <c r="T56" s="11">
        <f t="shared" si="28"/>
        <v>41372.15492666667</v>
      </c>
      <c r="U56" s="11">
        <f t="shared" si="29"/>
        <v>4137215.4926666669</v>
      </c>
      <c r="V56" s="152">
        <v>5</v>
      </c>
      <c r="W56" s="15">
        <v>60</v>
      </c>
      <c r="X56" s="16">
        <v>1241164.6478000002</v>
      </c>
      <c r="Y56" s="16">
        <f t="shared" si="25"/>
        <v>60.000000000000007</v>
      </c>
      <c r="Z56" s="16">
        <f t="shared" si="30"/>
        <v>30</v>
      </c>
      <c r="AA56" s="221">
        <f t="shared" si="24"/>
        <v>0.75623661509280948</v>
      </c>
      <c r="AB56" s="11">
        <f>'Audience Sizing'!E5</f>
        <v>5470795</v>
      </c>
      <c r="AC56" s="17">
        <v>45418</v>
      </c>
      <c r="AD56" s="17">
        <v>45473</v>
      </c>
      <c r="AE56" s="17"/>
      <c r="AF56">
        <v>2.13</v>
      </c>
      <c r="AG56" s="262">
        <f>AF56*P56/1000</f>
        <v>44061.344996899999</v>
      </c>
      <c r="AH56" s="262">
        <f>AG56*5%</f>
        <v>2203.0672498449999</v>
      </c>
      <c r="AI56" s="263">
        <f>AG56+AH56</f>
        <v>46264.412246745</v>
      </c>
      <c r="AK56">
        <v>1.43</v>
      </c>
      <c r="AL56" s="262">
        <f>AK56*P56/1000</f>
        <v>29581.090772566669</v>
      </c>
      <c r="AM56" s="262">
        <f>AL56*5%</f>
        <v>1479.0545386283336</v>
      </c>
      <c r="AN56" s="263">
        <f>SUM(AL56:AM56)</f>
        <v>31060.145311195003</v>
      </c>
      <c r="AO56" s="409"/>
      <c r="AP56" s="263"/>
      <c r="AQ56" s="89"/>
      <c r="AT56" s="262"/>
    </row>
    <row r="57" spans="1:46" hidden="1" x14ac:dyDescent="0.3">
      <c r="A57" s="230" t="s">
        <v>89</v>
      </c>
      <c r="B57" s="234"/>
      <c r="C57" s="234"/>
      <c r="D57" s="234"/>
      <c r="E57" s="234"/>
      <c r="F57" s="234"/>
      <c r="G57" s="234"/>
      <c r="H57" s="234"/>
      <c r="I57" s="234"/>
      <c r="J57" s="234"/>
      <c r="K57" s="234"/>
      <c r="L57" s="234"/>
      <c r="M57" s="234"/>
      <c r="N57" s="234"/>
      <c r="O57" s="234"/>
      <c r="P57" s="235">
        <f>SUM(P45:P56)</f>
        <v>99792836.82266669</v>
      </c>
      <c r="Q57" s="236">
        <f>T57/P57</f>
        <v>4.2089034746703516E-3</v>
      </c>
      <c r="R57" s="237">
        <f>S57/P57</f>
        <v>0.82097937149524058</v>
      </c>
      <c r="S57" s="235">
        <f>SUM(S45:S56)</f>
        <v>81927860.454400003</v>
      </c>
      <c r="T57" s="235">
        <f>SUM(T45:T56)</f>
        <v>420018.41765013325</v>
      </c>
      <c r="U57" s="235">
        <f>U46+U47*20%+SUM(U48:U50,U45)*50%</f>
        <v>3035680.9046533336</v>
      </c>
      <c r="V57" s="242">
        <f>P57/U57</f>
        <v>32.873295961277179</v>
      </c>
      <c r="W57" s="239"/>
      <c r="X57" s="240">
        <f>SUM(X45:X56)</f>
        <v>9929317.1824000012</v>
      </c>
      <c r="Y57" s="22">
        <f t="shared" si="25"/>
        <v>99.499297730603061</v>
      </c>
      <c r="Z57" s="22">
        <f>X57/T57</f>
        <v>23.64019472753435</v>
      </c>
      <c r="AA57" s="241">
        <f t="shared" si="24"/>
        <v>0.55044078053550927</v>
      </c>
      <c r="AB57" s="235">
        <f>'Audience Sizing'!C5</f>
        <v>5515000</v>
      </c>
      <c r="AC57" s="235"/>
      <c r="AD57" s="235"/>
    </row>
    <row r="58" spans="1:46" hidden="1" x14ac:dyDescent="0.3">
      <c r="A58" s="231" t="s">
        <v>90</v>
      </c>
      <c r="B58" s="243"/>
      <c r="C58" s="243"/>
      <c r="D58" s="243"/>
      <c r="E58" s="243"/>
      <c r="F58" s="243"/>
      <c r="G58" s="243"/>
      <c r="H58" s="243"/>
      <c r="I58" s="243"/>
      <c r="J58" s="243"/>
      <c r="K58" s="243"/>
      <c r="L58" s="243"/>
      <c r="M58" s="243"/>
      <c r="N58" s="243"/>
      <c r="O58" s="243"/>
      <c r="P58" s="244">
        <f>SUM(P57,P44)</f>
        <v>117775321.03680061</v>
      </c>
      <c r="Q58" s="245">
        <f>T58/P58</f>
        <v>3.8075902630978599E-3</v>
      </c>
      <c r="R58" s="246">
        <f>S58/P58</f>
        <v>0.75591312799133281</v>
      </c>
      <c r="S58" s="244">
        <f>SUM(S57,S44)</f>
        <v>89027911.325111374</v>
      </c>
      <c r="T58" s="244">
        <f>SUM(T57,T44)</f>
        <v>448440.16561294656</v>
      </c>
      <c r="U58" s="244">
        <f>U44+U57*5%</f>
        <v>2751781.5586392572</v>
      </c>
      <c r="V58" s="247">
        <f>P58/U58</f>
        <v>42.799662155974303</v>
      </c>
      <c r="W58" s="248"/>
      <c r="X58" s="249">
        <f>SUM(X57,X44)</f>
        <v>13032676.745148184</v>
      </c>
      <c r="Y58" s="106"/>
      <c r="Z58" s="106"/>
      <c r="AA58" s="250">
        <f t="shared" si="24"/>
        <v>0.49896311126731774</v>
      </c>
      <c r="AB58" s="244">
        <f>'Audience Sizing'!C5</f>
        <v>5515000</v>
      </c>
      <c r="AC58" s="244"/>
      <c r="AD58" s="244"/>
    </row>
    <row r="59" spans="1:46" x14ac:dyDescent="0.3">
      <c r="A59" s="9" t="s">
        <v>91</v>
      </c>
      <c r="B59" s="9" t="s">
        <v>56</v>
      </c>
      <c r="C59" s="9" t="s">
        <v>57</v>
      </c>
      <c r="D59" s="9" t="s">
        <v>58</v>
      </c>
      <c r="E59" s="9" t="s">
        <v>59</v>
      </c>
      <c r="F59" s="9" t="s">
        <v>60</v>
      </c>
      <c r="G59" s="9" t="s">
        <v>61</v>
      </c>
      <c r="H59" s="9" t="s">
        <v>2276</v>
      </c>
      <c r="I59" s="9" t="s">
        <v>62</v>
      </c>
      <c r="J59" s="9" t="s">
        <v>312</v>
      </c>
      <c r="K59" s="9" t="s">
        <v>63</v>
      </c>
      <c r="L59" s="9" t="s">
        <v>64</v>
      </c>
      <c r="M59" s="9" t="s">
        <v>65</v>
      </c>
      <c r="N59" s="9" t="s">
        <v>66</v>
      </c>
      <c r="O59" s="10" t="e">
        <f>#REF!-#REF!+1</f>
        <v>#REF!</v>
      </c>
      <c r="P59" s="11">
        <f>S59/R59</f>
        <v>2832384.9272727272</v>
      </c>
      <c r="Q59" s="12"/>
      <c r="R59" s="13">
        <v>0.4</v>
      </c>
      <c r="S59" s="11">
        <f>X59/W59</f>
        <v>1132953.9709090909</v>
      </c>
      <c r="T59" s="11">
        <f>P59*Q59</f>
        <v>0</v>
      </c>
      <c r="U59" s="11">
        <f>P59/V59</f>
        <v>944128.30909090908</v>
      </c>
      <c r="V59" s="152">
        <v>3</v>
      </c>
      <c r="W59" s="154">
        <v>0.55000000000000004</v>
      </c>
      <c r="X59" s="16">
        <v>623124.68400000001</v>
      </c>
      <c r="Y59" s="16">
        <f t="shared" ref="Y59:Y76" si="31">X59/P59*1000</f>
        <v>220</v>
      </c>
      <c r="Z59" s="16">
        <f>IFERROR(X59/T59, 0)</f>
        <v>0</v>
      </c>
      <c r="AA59" s="207">
        <f t="shared" si="24"/>
        <v>0.65778520176833022</v>
      </c>
      <c r="AB59" s="11">
        <f>'Audience Sizing'!F6</f>
        <v>1435314</v>
      </c>
      <c r="AC59" s="17">
        <v>45385</v>
      </c>
      <c r="AD59" s="17">
        <v>45424</v>
      </c>
      <c r="AF59">
        <v>2.13</v>
      </c>
      <c r="AG59" s="262">
        <f>AF59*P59/1000</f>
        <v>6032.9798950909089</v>
      </c>
      <c r="AH59" s="262">
        <f>AG59*5%</f>
        <v>301.64899475454547</v>
      </c>
      <c r="AI59" s="263">
        <f>AG59+AH59</f>
        <v>6334.6288898454541</v>
      </c>
      <c r="AK59">
        <v>1.43</v>
      </c>
      <c r="AL59" s="262">
        <f>AK59*P59/1000</f>
        <v>4050.310446</v>
      </c>
      <c r="AM59" s="262">
        <f>AL59*5%</f>
        <v>202.51552230000001</v>
      </c>
      <c r="AN59" s="263">
        <f>SUM(AL59:AM59)</f>
        <v>4252.8259682999997</v>
      </c>
      <c r="AO59" s="409"/>
      <c r="AP59" s="263"/>
      <c r="AQ59" s="89"/>
      <c r="AT59" s="262"/>
    </row>
    <row r="60" spans="1:46" x14ac:dyDescent="0.3">
      <c r="A60" s="9" t="s">
        <v>91</v>
      </c>
      <c r="B60" s="9" t="s">
        <v>56</v>
      </c>
      <c r="C60" s="9" t="s">
        <v>57</v>
      </c>
      <c r="D60" s="9" t="s">
        <v>67</v>
      </c>
      <c r="E60" s="9" t="s">
        <v>59</v>
      </c>
      <c r="F60" s="9" t="s">
        <v>60</v>
      </c>
      <c r="G60" s="9" t="s">
        <v>68</v>
      </c>
      <c r="H60" s="9" t="s">
        <v>2276</v>
      </c>
      <c r="I60" s="9" t="s">
        <v>62</v>
      </c>
      <c r="J60" s="9" t="s">
        <v>313</v>
      </c>
      <c r="K60" s="9" t="s">
        <v>63</v>
      </c>
      <c r="L60" s="9" t="s">
        <v>64</v>
      </c>
      <c r="M60" s="9" t="s">
        <v>65</v>
      </c>
      <c r="N60" s="9" t="s">
        <v>66</v>
      </c>
      <c r="O60" s="10" t="e">
        <f>#REF!-#REF!+1</f>
        <v>#REF!</v>
      </c>
      <c r="P60" s="11">
        <f>S60/R60</f>
        <v>6093508.9315564437</v>
      </c>
      <c r="Q60" s="12">
        <v>2E-3</v>
      </c>
      <c r="R60" s="13">
        <v>0.37</v>
      </c>
      <c r="S60" s="11">
        <f>X60/W60</f>
        <v>2254598.3046758841</v>
      </c>
      <c r="T60" s="11">
        <f>P60*Q60</f>
        <v>12187.017863112887</v>
      </c>
      <c r="U60" s="11">
        <f>P60/V60</f>
        <v>1417095.1003619637</v>
      </c>
      <c r="V60" s="152">
        <v>4.3</v>
      </c>
      <c r="W60" s="15">
        <v>0.4</v>
      </c>
      <c r="X60" s="16">
        <v>901839.32187035377</v>
      </c>
      <c r="Y60" s="16">
        <f t="shared" si="31"/>
        <v>148.00000000000003</v>
      </c>
      <c r="Z60" s="16">
        <f>IFERROR(X60/T60, 0)</f>
        <v>74.000000000000014</v>
      </c>
      <c r="AA60" s="207">
        <f t="shared" si="24"/>
        <v>0.31961367014834169</v>
      </c>
      <c r="AB60" s="11">
        <f>'Audience Sizing'!E6</f>
        <v>4433775</v>
      </c>
      <c r="AC60" s="17">
        <v>45385</v>
      </c>
      <c r="AD60" s="17">
        <v>45424</v>
      </c>
      <c r="AF60">
        <v>2.13</v>
      </c>
      <c r="AG60" s="262">
        <f>AF60*P60/1000</f>
        <v>12979.174024215225</v>
      </c>
      <c r="AH60" s="262">
        <f>AG60*5%</f>
        <v>648.95870121076132</v>
      </c>
      <c r="AI60" s="263">
        <f>AG60+AH60</f>
        <v>13628.132725425985</v>
      </c>
      <c r="AK60">
        <v>1.43</v>
      </c>
      <c r="AL60" s="262">
        <f>AK60*P60/1000</f>
        <v>8713.717772125714</v>
      </c>
      <c r="AM60" s="262">
        <f>AL60*5%</f>
        <v>435.68588860628574</v>
      </c>
      <c r="AN60" s="263">
        <f>SUM(AL60:AM60)</f>
        <v>9149.4036607319995</v>
      </c>
      <c r="AO60" s="409"/>
      <c r="AP60" s="263"/>
      <c r="AQ60" s="89"/>
      <c r="AT60" s="262"/>
    </row>
    <row r="61" spans="1:46" x14ac:dyDescent="0.3">
      <c r="A61" s="9" t="s">
        <v>91</v>
      </c>
      <c r="B61" s="9" t="s">
        <v>56</v>
      </c>
      <c r="C61" s="9" t="s">
        <v>57</v>
      </c>
      <c r="D61" s="9" t="s">
        <v>67</v>
      </c>
      <c r="E61" s="9" t="s">
        <v>59</v>
      </c>
      <c r="F61" s="9" t="s">
        <v>60</v>
      </c>
      <c r="G61" s="9" t="s">
        <v>69</v>
      </c>
      <c r="H61" s="9" t="s">
        <v>2276</v>
      </c>
      <c r="I61" s="9" t="s">
        <v>62</v>
      </c>
      <c r="J61" s="9" t="s">
        <v>314</v>
      </c>
      <c r="K61" s="9" t="s">
        <v>63</v>
      </c>
      <c r="L61" s="9" t="s">
        <v>64</v>
      </c>
      <c r="M61" s="9" t="s">
        <v>65</v>
      </c>
      <c r="N61" s="9" t="s">
        <v>66</v>
      </c>
      <c r="O61" s="10" t="e">
        <f>#REF!-#REF!+1</f>
        <v>#REF!</v>
      </c>
      <c r="P61" s="11">
        <f>S61/R61</f>
        <v>5859143.2034196574</v>
      </c>
      <c r="Q61" s="12">
        <v>2E-3</v>
      </c>
      <c r="R61" s="13">
        <v>0.37</v>
      </c>
      <c r="S61" s="11">
        <f>X61/W61</f>
        <v>2167882.9852652731</v>
      </c>
      <c r="T61" s="11">
        <f>P61*Q61</f>
        <v>11718.286406839316</v>
      </c>
      <c r="U61" s="11">
        <f>P61/V61</f>
        <v>1464785.8008549144</v>
      </c>
      <c r="V61" s="152">
        <v>4</v>
      </c>
      <c r="W61" s="15">
        <v>0.4</v>
      </c>
      <c r="X61" s="16">
        <v>867153.19410610932</v>
      </c>
      <c r="Y61" s="16">
        <f t="shared" si="31"/>
        <v>148</v>
      </c>
      <c r="Z61" s="16">
        <f>IFERROR(X61/T61, 0)</f>
        <v>74</v>
      </c>
      <c r="AA61" s="207">
        <f t="shared" si="24"/>
        <v>0.33036989943218009</v>
      </c>
      <c r="AB61" s="11">
        <f>'Audience Sizing'!E6</f>
        <v>4433775</v>
      </c>
      <c r="AC61" s="17">
        <v>45385</v>
      </c>
      <c r="AD61" s="17">
        <v>45424</v>
      </c>
      <c r="AF61">
        <v>2.13</v>
      </c>
      <c r="AG61" s="262">
        <f>AF61*P61/1000</f>
        <v>12479.975023283869</v>
      </c>
      <c r="AH61" s="262">
        <f>AG61*5%</f>
        <v>623.99875116419344</v>
      </c>
      <c r="AI61" s="263">
        <f>AG61+AH61</f>
        <v>13103.973774448063</v>
      </c>
      <c r="AK61">
        <v>1.43</v>
      </c>
      <c r="AL61" s="262">
        <f>AK61*P61/1000</f>
        <v>8378.5747808901106</v>
      </c>
      <c r="AM61" s="262">
        <f>AL61*5%</f>
        <v>418.92873904450556</v>
      </c>
      <c r="AN61" s="263">
        <f>SUM(AL61:AM61)</f>
        <v>8797.5035199346166</v>
      </c>
      <c r="AO61" s="409"/>
      <c r="AP61" s="263"/>
      <c r="AQ61" s="89"/>
      <c r="AT61" s="262"/>
    </row>
    <row r="62" spans="1:46" hidden="1" x14ac:dyDescent="0.3">
      <c r="A62" s="9" t="s">
        <v>91</v>
      </c>
      <c r="B62" s="9" t="s">
        <v>56</v>
      </c>
      <c r="C62" s="9" t="s">
        <v>71</v>
      </c>
      <c r="D62" s="9" t="s">
        <v>58</v>
      </c>
      <c r="E62" s="9" t="s">
        <v>72</v>
      </c>
      <c r="F62" s="9" t="s">
        <v>60</v>
      </c>
      <c r="G62" s="9" t="s">
        <v>61</v>
      </c>
      <c r="H62" s="9" t="s">
        <v>2276</v>
      </c>
      <c r="I62" s="9" t="s">
        <v>62</v>
      </c>
      <c r="J62" s="9" t="s">
        <v>315</v>
      </c>
      <c r="K62" s="9" t="s">
        <v>73</v>
      </c>
      <c r="L62" s="9" t="s">
        <v>64</v>
      </c>
      <c r="M62" s="9" t="s">
        <v>65</v>
      </c>
      <c r="N62" s="9" t="s">
        <v>65</v>
      </c>
      <c r="O62" s="10" t="e">
        <f>#REF!-#REF!+1</f>
        <v>#REF!</v>
      </c>
      <c r="P62" s="11">
        <f>X62*1000/W62</f>
        <v>484652.53200000001</v>
      </c>
      <c r="Q62" s="12">
        <v>0</v>
      </c>
      <c r="R62" s="13">
        <v>0.85</v>
      </c>
      <c r="S62" s="11">
        <f>P62*R62</f>
        <v>411954.65220000001</v>
      </c>
      <c r="T62" s="11">
        <f>P62*Q62</f>
        <v>0</v>
      </c>
      <c r="U62" s="11">
        <f>P62/V62</f>
        <v>80775.422000000006</v>
      </c>
      <c r="V62" s="152">
        <v>6</v>
      </c>
      <c r="W62" s="15">
        <v>450</v>
      </c>
      <c r="X62" s="16">
        <v>218093.63940000001</v>
      </c>
      <c r="Y62" s="16">
        <f t="shared" si="31"/>
        <v>450</v>
      </c>
      <c r="Z62" s="16">
        <f>IFERROR(X62/T62, 0)</f>
        <v>0</v>
      </c>
      <c r="AA62" s="207">
        <f t="shared" si="24"/>
        <v>0.15929522363335177</v>
      </c>
      <c r="AB62" s="11">
        <f>'Audience Sizing'!H6</f>
        <v>507079.99999999994</v>
      </c>
      <c r="AC62" s="17">
        <v>45385</v>
      </c>
      <c r="AD62" s="17">
        <v>45424</v>
      </c>
      <c r="AH62" s="262"/>
      <c r="AI62" s="263"/>
      <c r="AK62">
        <v>1.43</v>
      </c>
      <c r="AL62" s="262">
        <f>AK62*P62/1000</f>
        <v>693.05312075999996</v>
      </c>
      <c r="AM62" s="262">
        <f>AL62*5%</f>
        <v>34.652656037999996</v>
      </c>
      <c r="AN62" s="263">
        <f>AL62+AM62</f>
        <v>727.70577679799999</v>
      </c>
      <c r="AP62" s="263"/>
      <c r="AQ62" s="263"/>
      <c r="AT62" s="263"/>
    </row>
    <row r="63" spans="1:46" hidden="1" x14ac:dyDescent="0.3">
      <c r="A63" s="230" t="s">
        <v>92</v>
      </c>
      <c r="B63" s="234"/>
      <c r="C63" s="234"/>
      <c r="D63" s="234"/>
      <c r="E63" s="234"/>
      <c r="F63" s="234"/>
      <c r="G63" s="234"/>
      <c r="H63" s="234"/>
      <c r="I63" s="234"/>
      <c r="J63" s="234"/>
      <c r="K63" s="234"/>
      <c r="L63" s="234"/>
      <c r="M63" s="234"/>
      <c r="N63" s="234"/>
      <c r="O63" s="234"/>
      <c r="P63" s="235">
        <f>SUM(P59:P62)</f>
        <v>15269689.594248828</v>
      </c>
      <c r="Q63" s="236">
        <f>T63/P63</f>
        <v>1.5655396347386062E-3</v>
      </c>
      <c r="R63" s="237">
        <f>S63/P63</f>
        <v>0.39079968693651806</v>
      </c>
      <c r="S63" s="235">
        <f>SUM(S59:S62)</f>
        <v>5967389.9130502492</v>
      </c>
      <c r="T63" s="235">
        <f>SUM(T59:T62)</f>
        <v>23905.304269952205</v>
      </c>
      <c r="U63" s="235">
        <f>U60+U61*20%+SUM(U62:U62,U59)*50%</f>
        <v>2222504.1260784012</v>
      </c>
      <c r="V63" s="238">
        <f>P63/U63</f>
        <v>6.8704887496394118</v>
      </c>
      <c r="W63" s="239"/>
      <c r="X63" s="240">
        <f>SUM(X59:X62)</f>
        <v>2610210.8393764636</v>
      </c>
      <c r="Y63" s="22">
        <f t="shared" si="31"/>
        <v>170.94066144995983</v>
      </c>
      <c r="Z63" s="22">
        <f>X63/T63</f>
        <v>109.1896095485959</v>
      </c>
      <c r="AA63" s="241">
        <f t="shared" si="24"/>
        <v>0.49687103198712301</v>
      </c>
      <c r="AB63" s="235">
        <f>'Audience Sizing'!C6</f>
        <v>4473000</v>
      </c>
      <c r="AC63" s="235"/>
      <c r="AD63" s="235"/>
    </row>
    <row r="64" spans="1:46" x14ac:dyDescent="0.3">
      <c r="A64" s="9" t="s">
        <v>91</v>
      </c>
      <c r="B64" s="9" t="s">
        <v>56</v>
      </c>
      <c r="C64" s="9" t="s">
        <v>57</v>
      </c>
      <c r="D64" s="9" t="s">
        <v>58</v>
      </c>
      <c r="E64" s="9" t="s">
        <v>75</v>
      </c>
      <c r="F64" s="9" t="s">
        <v>60</v>
      </c>
      <c r="G64" s="9" t="s">
        <v>61</v>
      </c>
      <c r="H64" s="9" t="s">
        <v>2276</v>
      </c>
      <c r="I64" s="9" t="s">
        <v>76</v>
      </c>
      <c r="J64" s="9" t="s">
        <v>312</v>
      </c>
      <c r="K64" s="9" t="s">
        <v>77</v>
      </c>
      <c r="L64" s="9" t="s">
        <v>64</v>
      </c>
      <c r="M64" s="9" t="s">
        <v>65</v>
      </c>
      <c r="N64" s="9" t="s">
        <v>66</v>
      </c>
      <c r="O64" s="10" t="e">
        <f>#REF!-#REF!+1</f>
        <v>#REF!</v>
      </c>
      <c r="P64" s="11">
        <f t="shared" ref="P64:P75" si="32">X64*1000/W64</f>
        <v>3855815.4599999995</v>
      </c>
      <c r="Q64" s="12"/>
      <c r="R64" s="13">
        <v>0.75</v>
      </c>
      <c r="S64" s="11">
        <f t="shared" ref="S64:S75" si="33">P64*R64</f>
        <v>2891861.5949999997</v>
      </c>
      <c r="T64" s="11">
        <f t="shared" ref="T64:T75" si="34">P64*Q64</f>
        <v>0</v>
      </c>
      <c r="U64" s="11">
        <f t="shared" ref="U64:U75" si="35">P64/V64</f>
        <v>642635.90999999992</v>
      </c>
      <c r="V64" s="152">
        <v>6</v>
      </c>
      <c r="W64" s="15">
        <v>125</v>
      </c>
      <c r="X64" s="16">
        <v>481976.93249999994</v>
      </c>
      <c r="Y64" s="16">
        <f t="shared" si="31"/>
        <v>125</v>
      </c>
      <c r="Z64" s="16">
        <f t="shared" ref="Z64:Z75" si="36">IFERROR(X64/T64, 0)</f>
        <v>0</v>
      </c>
      <c r="AA64" s="207">
        <f t="shared" si="24"/>
        <v>0.4477319318281574</v>
      </c>
      <c r="AB64" s="11">
        <f>'Audience Sizing'!F6</f>
        <v>1435314</v>
      </c>
      <c r="AC64" s="17">
        <v>45390</v>
      </c>
      <c r="AD64" s="17">
        <v>45473</v>
      </c>
      <c r="AE64" s="17"/>
      <c r="AF64">
        <v>2.13</v>
      </c>
      <c r="AG64" s="262">
        <f>AF64*P64/1000</f>
        <v>8212.8869297999991</v>
      </c>
      <c r="AH64" s="262">
        <f>AG64*5%</f>
        <v>410.64434648999998</v>
      </c>
      <c r="AI64" s="263">
        <f>AG64+AH64</f>
        <v>8623.5312762899994</v>
      </c>
      <c r="AK64">
        <v>1.43</v>
      </c>
      <c r="AL64" s="262">
        <f>AK64*P64/1000</f>
        <v>5513.8161077999994</v>
      </c>
      <c r="AM64" s="262">
        <f>AL64*5%</f>
        <v>275.69080538999998</v>
      </c>
      <c r="AN64" s="263">
        <f>SUM(AL64:AM64)</f>
        <v>5789.5069131899991</v>
      </c>
      <c r="AO64" s="409"/>
      <c r="AP64" s="263"/>
      <c r="AQ64" s="89"/>
      <c r="AT64" s="262"/>
    </row>
    <row r="65" spans="1:46" x14ac:dyDescent="0.3">
      <c r="A65" s="9" t="s">
        <v>91</v>
      </c>
      <c r="B65" s="9" t="s">
        <v>56</v>
      </c>
      <c r="C65" s="9" t="s">
        <v>57</v>
      </c>
      <c r="D65" s="9" t="s">
        <v>67</v>
      </c>
      <c r="E65" s="9" t="s">
        <v>75</v>
      </c>
      <c r="F65" s="9" t="s">
        <v>60</v>
      </c>
      <c r="G65" s="9" t="s">
        <v>68</v>
      </c>
      <c r="H65" s="9" t="s">
        <v>2276</v>
      </c>
      <c r="I65" s="9" t="s">
        <v>76</v>
      </c>
      <c r="J65" s="9" t="s">
        <v>313</v>
      </c>
      <c r="K65" s="9" t="s">
        <v>77</v>
      </c>
      <c r="L65" s="9" t="s">
        <v>64</v>
      </c>
      <c r="M65" s="9" t="s">
        <v>65</v>
      </c>
      <c r="N65" s="9" t="s">
        <v>66</v>
      </c>
      <c r="O65" s="10" t="e">
        <f>#REF!-#REF!+1</f>
        <v>#REF!</v>
      </c>
      <c r="P65" s="11">
        <f t="shared" si="32"/>
        <v>17602635.79565217</v>
      </c>
      <c r="Q65" s="12">
        <v>5.4999999999999997E-3</v>
      </c>
      <c r="R65" s="13">
        <v>0.75</v>
      </c>
      <c r="S65" s="11">
        <f t="shared" si="33"/>
        <v>13201976.846739128</v>
      </c>
      <c r="T65" s="11">
        <f t="shared" si="34"/>
        <v>96814.496876086923</v>
      </c>
      <c r="U65" s="11">
        <f t="shared" si="35"/>
        <v>1466886.3163043475</v>
      </c>
      <c r="V65" s="152">
        <v>12</v>
      </c>
      <c r="W65" s="15">
        <v>115</v>
      </c>
      <c r="X65" s="16">
        <v>2024303.1164999995</v>
      </c>
      <c r="Y65" s="16">
        <f t="shared" si="31"/>
        <v>115</v>
      </c>
      <c r="Z65" s="16">
        <f t="shared" si="36"/>
        <v>20.90909090909091</v>
      </c>
      <c r="AA65" s="221">
        <f t="shared" si="24"/>
        <v>0.33084365271227056</v>
      </c>
      <c r="AB65" s="11">
        <f>'Audience Sizing'!E6</f>
        <v>4433775</v>
      </c>
      <c r="AC65" s="17">
        <v>45390</v>
      </c>
      <c r="AD65" s="17">
        <v>45473</v>
      </c>
      <c r="AE65" s="17"/>
      <c r="AF65">
        <v>2.13</v>
      </c>
      <c r="AG65" s="262">
        <f>AF65*P65/1000</f>
        <v>37493.614244739125</v>
      </c>
      <c r="AH65" s="262">
        <f>AG65*5%</f>
        <v>1874.6807122369564</v>
      </c>
      <c r="AI65" s="263">
        <f>AG65+AH65</f>
        <v>39368.294956976082</v>
      </c>
      <c r="AK65">
        <v>1.43</v>
      </c>
      <c r="AL65" s="262">
        <f>AK65*P65/1000</f>
        <v>25171.7691877826</v>
      </c>
      <c r="AM65" s="262">
        <f>AL65*5%</f>
        <v>1258.5884593891301</v>
      </c>
      <c r="AN65" s="263">
        <f>SUM(AL65:AM65)</f>
        <v>26430.357647171732</v>
      </c>
      <c r="AO65" s="409"/>
      <c r="AP65" s="263"/>
      <c r="AQ65" s="89"/>
      <c r="AT65" s="262"/>
    </row>
    <row r="66" spans="1:46" x14ac:dyDescent="0.3">
      <c r="A66" s="9" t="s">
        <v>91</v>
      </c>
      <c r="B66" s="9" t="s">
        <v>56</v>
      </c>
      <c r="C66" s="9" t="s">
        <v>57</v>
      </c>
      <c r="D66" s="9" t="s">
        <v>67</v>
      </c>
      <c r="E66" s="9" t="s">
        <v>75</v>
      </c>
      <c r="F66" s="9" t="s">
        <v>60</v>
      </c>
      <c r="G66" s="9" t="s">
        <v>69</v>
      </c>
      <c r="H66" s="9" t="s">
        <v>2276</v>
      </c>
      <c r="I66" s="9" t="s">
        <v>76</v>
      </c>
      <c r="J66" s="9" t="s">
        <v>314</v>
      </c>
      <c r="K66" s="9" t="s">
        <v>77</v>
      </c>
      <c r="L66" s="9" t="s">
        <v>64</v>
      </c>
      <c r="M66" s="9" t="s">
        <v>65</v>
      </c>
      <c r="N66" s="9" t="s">
        <v>66</v>
      </c>
      <c r="O66" s="10" t="e">
        <f>#REF!-#REF!+1</f>
        <v>#REF!</v>
      </c>
      <c r="P66" s="11">
        <f t="shared" si="32"/>
        <v>17602635.79565217</v>
      </c>
      <c r="Q66" s="12">
        <v>5.4999999999999997E-3</v>
      </c>
      <c r="R66" s="13">
        <v>0.75</v>
      </c>
      <c r="S66" s="11">
        <f t="shared" si="33"/>
        <v>13201976.846739128</v>
      </c>
      <c r="T66" s="11">
        <f t="shared" si="34"/>
        <v>96814.496876086923</v>
      </c>
      <c r="U66" s="11">
        <f t="shared" si="35"/>
        <v>1466886.3163043475</v>
      </c>
      <c r="V66" s="152">
        <v>12</v>
      </c>
      <c r="W66" s="15">
        <v>115</v>
      </c>
      <c r="X66" s="16">
        <v>2024303.1164999995</v>
      </c>
      <c r="Y66" s="16">
        <f t="shared" si="31"/>
        <v>115</v>
      </c>
      <c r="Z66" s="16">
        <f t="shared" si="36"/>
        <v>20.90909090909091</v>
      </c>
      <c r="AA66" s="221">
        <f t="shared" si="24"/>
        <v>0.33084365271227056</v>
      </c>
      <c r="AB66" s="11">
        <f>'Audience Sizing'!E6</f>
        <v>4433775</v>
      </c>
      <c r="AC66" s="17">
        <v>45390</v>
      </c>
      <c r="AD66" s="17">
        <v>45473</v>
      </c>
      <c r="AE66" s="17"/>
      <c r="AF66">
        <v>2.13</v>
      </c>
      <c r="AG66" s="262">
        <f>AF66*P66/1000</f>
        <v>37493.614244739125</v>
      </c>
      <c r="AH66" s="262">
        <f>AG66*5%</f>
        <v>1874.6807122369564</v>
      </c>
      <c r="AI66" s="263">
        <f>AG66+AH66</f>
        <v>39368.294956976082</v>
      </c>
      <c r="AK66">
        <v>1.43</v>
      </c>
      <c r="AL66" s="262">
        <f>AK66*P66/1000</f>
        <v>25171.7691877826</v>
      </c>
      <c r="AM66" s="262">
        <f>AL66*5%</f>
        <v>1258.5884593891301</v>
      </c>
      <c r="AN66" s="263">
        <f>SUM(AL66:AM66)</f>
        <v>26430.357647171732</v>
      </c>
      <c r="AO66" s="409"/>
      <c r="AP66" s="263"/>
      <c r="AQ66" s="89"/>
      <c r="AT66" s="262"/>
    </row>
    <row r="67" spans="1:46" hidden="1" x14ac:dyDescent="0.3">
      <c r="A67" s="9" t="s">
        <v>91</v>
      </c>
      <c r="B67" s="9" t="s">
        <v>56</v>
      </c>
      <c r="C67" s="9" t="s">
        <v>71</v>
      </c>
      <c r="D67" s="9" t="s">
        <v>58</v>
      </c>
      <c r="E67" s="9" t="s">
        <v>72</v>
      </c>
      <c r="F67" s="9" t="s">
        <v>60</v>
      </c>
      <c r="G67" s="9" t="s">
        <v>61</v>
      </c>
      <c r="H67" s="9" t="s">
        <v>2276</v>
      </c>
      <c r="I67" s="9" t="s">
        <v>76</v>
      </c>
      <c r="J67" s="9" t="s">
        <v>315</v>
      </c>
      <c r="K67" s="9" t="s">
        <v>73</v>
      </c>
      <c r="L67" s="9" t="s">
        <v>64</v>
      </c>
      <c r="M67" s="9" t="s">
        <v>65</v>
      </c>
      <c r="N67" s="9" t="s">
        <v>65</v>
      </c>
      <c r="O67" s="10" t="e">
        <f>#REF!-#REF!+1</f>
        <v>#REF!</v>
      </c>
      <c r="P67" s="11">
        <f t="shared" si="32"/>
        <v>1156744.6379999998</v>
      </c>
      <c r="Q67" s="12">
        <v>0</v>
      </c>
      <c r="R67" s="13">
        <v>0.85</v>
      </c>
      <c r="S67" s="11">
        <f t="shared" si="33"/>
        <v>983232.94229999976</v>
      </c>
      <c r="T67" s="11">
        <f t="shared" si="34"/>
        <v>0</v>
      </c>
      <c r="U67" s="11">
        <f t="shared" si="35"/>
        <v>192790.77299999996</v>
      </c>
      <c r="V67" s="152">
        <v>6</v>
      </c>
      <c r="W67" s="15">
        <v>250</v>
      </c>
      <c r="X67" s="16">
        <v>289186.15949999995</v>
      </c>
      <c r="Y67" s="16">
        <f t="shared" si="31"/>
        <v>250</v>
      </c>
      <c r="Z67" s="16">
        <f t="shared" si="36"/>
        <v>0</v>
      </c>
      <c r="AA67" s="221">
        <f t="shared" si="24"/>
        <v>0.38019794312534505</v>
      </c>
      <c r="AB67" s="11">
        <f>'Audience Sizing'!H6</f>
        <v>507079.99999999994</v>
      </c>
      <c r="AC67" s="17">
        <v>45390</v>
      </c>
      <c r="AD67" s="17">
        <v>45473</v>
      </c>
      <c r="AE67" s="17"/>
      <c r="AG67" s="262"/>
      <c r="AH67" s="263"/>
      <c r="AK67">
        <v>1.43</v>
      </c>
      <c r="AL67" s="262">
        <f>AK67*P67/1000</f>
        <v>1654.1448323399998</v>
      </c>
      <c r="AM67" s="262">
        <f>AL67*5%</f>
        <v>82.707241616999994</v>
      </c>
      <c r="AN67" s="263">
        <f>AL67+AM67</f>
        <v>1736.8520739569997</v>
      </c>
      <c r="AO67" s="409"/>
      <c r="AP67" s="263"/>
      <c r="AQ67" s="263"/>
      <c r="AR67" s="262"/>
      <c r="AS67" s="263"/>
      <c r="AT67" s="263"/>
    </row>
    <row r="68" spans="1:46" hidden="1" x14ac:dyDescent="0.3">
      <c r="A68" s="9" t="s">
        <v>91</v>
      </c>
      <c r="B68" s="9" t="s">
        <v>56</v>
      </c>
      <c r="C68" s="9" t="s">
        <v>71</v>
      </c>
      <c r="D68" s="9" t="s">
        <v>67</v>
      </c>
      <c r="E68" s="9" t="s">
        <v>72</v>
      </c>
      <c r="F68" s="9" t="s">
        <v>60</v>
      </c>
      <c r="G68" s="9" t="s">
        <v>68</v>
      </c>
      <c r="H68" s="9" t="s">
        <v>2276</v>
      </c>
      <c r="I68" s="9" t="s">
        <v>76</v>
      </c>
      <c r="J68" s="9" t="s">
        <v>2335</v>
      </c>
      <c r="K68" s="9" t="s">
        <v>73</v>
      </c>
      <c r="L68" s="9" t="s">
        <v>64</v>
      </c>
      <c r="M68" s="9" t="s">
        <v>65</v>
      </c>
      <c r="N68" s="9" t="s">
        <v>65</v>
      </c>
      <c r="O68" s="10" t="e">
        <f>#REF!-#REF!+1</f>
        <v>#REF!</v>
      </c>
      <c r="P68" s="11">
        <f t="shared" si="32"/>
        <v>704420</v>
      </c>
      <c r="Q68" s="12">
        <v>1.2E-2</v>
      </c>
      <c r="R68" s="13">
        <v>0.85</v>
      </c>
      <c r="S68" s="11">
        <f t="shared" si="33"/>
        <v>598757</v>
      </c>
      <c r="T68" s="11">
        <f t="shared" si="34"/>
        <v>8453.0400000000009</v>
      </c>
      <c r="U68" s="11">
        <f t="shared" si="35"/>
        <v>140884</v>
      </c>
      <c r="V68" s="152">
        <v>5</v>
      </c>
      <c r="W68" s="15">
        <v>200</v>
      </c>
      <c r="X68" s="16">
        <v>140884</v>
      </c>
      <c r="Y68" s="16">
        <f t="shared" si="31"/>
        <v>200</v>
      </c>
      <c r="Z68" s="16">
        <f t="shared" si="36"/>
        <v>16.666666666666664</v>
      </c>
      <c r="AA68" s="221">
        <f t="shared" si="24"/>
        <v>3.3963714244249259E-2</v>
      </c>
      <c r="AB68" s="11">
        <f>'Audience Sizing'!G6</f>
        <v>4148074</v>
      </c>
      <c r="AC68" s="17">
        <v>45390</v>
      </c>
      <c r="AD68" s="17">
        <v>45404</v>
      </c>
      <c r="AG68" s="262"/>
      <c r="AH68" s="263"/>
      <c r="AL68" s="262"/>
      <c r="AM68" s="262"/>
      <c r="AN68" s="263"/>
      <c r="AP68" s="263"/>
      <c r="AQ68" s="263"/>
    </row>
    <row r="69" spans="1:46" hidden="1" x14ac:dyDescent="0.3">
      <c r="A69" s="9" t="s">
        <v>91</v>
      </c>
      <c r="B69" s="9" t="s">
        <v>56</v>
      </c>
      <c r="C69" s="9" t="s">
        <v>71</v>
      </c>
      <c r="D69" s="9" t="s">
        <v>67</v>
      </c>
      <c r="E69" s="9" t="s">
        <v>72</v>
      </c>
      <c r="F69" s="9" t="s">
        <v>60</v>
      </c>
      <c r="G69" s="9" t="s">
        <v>68</v>
      </c>
      <c r="H69" s="9" t="s">
        <v>2276</v>
      </c>
      <c r="I69" s="9" t="s">
        <v>76</v>
      </c>
      <c r="J69" s="9" t="s">
        <v>2298</v>
      </c>
      <c r="K69" s="9" t="s">
        <v>73</v>
      </c>
      <c r="L69" s="9" t="s">
        <v>64</v>
      </c>
      <c r="M69" s="9" t="s">
        <v>65</v>
      </c>
      <c r="N69" s="9" t="s">
        <v>65</v>
      </c>
      <c r="O69" s="10" t="e">
        <f>#REF!-#REF!+1</f>
        <v>#REF!</v>
      </c>
      <c r="P69" s="11">
        <f t="shared" si="32"/>
        <v>1749953.2759999996</v>
      </c>
      <c r="Q69" s="12">
        <v>1.2E-2</v>
      </c>
      <c r="R69" s="13">
        <v>0.85</v>
      </c>
      <c r="S69" s="11">
        <f t="shared" si="33"/>
        <v>1487460.2845999997</v>
      </c>
      <c r="T69" s="11">
        <f t="shared" si="34"/>
        <v>20999.439311999995</v>
      </c>
      <c r="U69" s="11">
        <f t="shared" si="35"/>
        <v>349990.65519999992</v>
      </c>
      <c r="V69" s="152">
        <v>5</v>
      </c>
      <c r="W69" s="15">
        <v>200</v>
      </c>
      <c r="X69" s="16">
        <v>349990.65519999992</v>
      </c>
      <c r="Y69" s="16">
        <f t="shared" si="31"/>
        <v>200</v>
      </c>
      <c r="Z69" s="16">
        <f t="shared" si="36"/>
        <v>16.666666666666668</v>
      </c>
      <c r="AA69" s="221">
        <f t="shared" ref="AA69:AA100" si="37">U69/AB69</f>
        <v>8.4374255425529995E-2</v>
      </c>
      <c r="AB69" s="11">
        <f>'Audience Sizing'!G6</f>
        <v>4148074</v>
      </c>
      <c r="AC69" s="17">
        <v>45390</v>
      </c>
      <c r="AD69" s="17">
        <v>45473</v>
      </c>
      <c r="AE69" s="17"/>
      <c r="AG69" s="262"/>
      <c r="AH69" s="263"/>
      <c r="AK69">
        <v>1.43</v>
      </c>
      <c r="AL69" s="262">
        <f>AK69*P69/1000</f>
        <v>2502.4331846799996</v>
      </c>
      <c r="AM69" s="262">
        <f>AL69*5%</f>
        <v>125.12165923399999</v>
      </c>
      <c r="AN69" s="263">
        <f>AL69+AM69</f>
        <v>2627.5548439139998</v>
      </c>
      <c r="AO69" s="409"/>
      <c r="AP69" s="263"/>
      <c r="AQ69" s="263"/>
      <c r="AR69" s="262"/>
      <c r="AS69" s="263"/>
      <c r="AT69" s="263"/>
    </row>
    <row r="70" spans="1:46" hidden="1" x14ac:dyDescent="0.3">
      <c r="A70" s="9" t="s">
        <v>91</v>
      </c>
      <c r="B70" s="9" t="s">
        <v>56</v>
      </c>
      <c r="C70" s="9" t="s">
        <v>71</v>
      </c>
      <c r="D70" s="9" t="s">
        <v>67</v>
      </c>
      <c r="E70" s="9" t="s">
        <v>72</v>
      </c>
      <c r="F70" s="9" t="s">
        <v>60</v>
      </c>
      <c r="G70" s="9" t="s">
        <v>68</v>
      </c>
      <c r="H70" s="9" t="s">
        <v>2276</v>
      </c>
      <c r="I70" s="9" t="s">
        <v>76</v>
      </c>
      <c r="J70" s="9" t="s">
        <v>2299</v>
      </c>
      <c r="K70" s="9" t="s">
        <v>73</v>
      </c>
      <c r="L70" s="9" t="s">
        <v>64</v>
      </c>
      <c r="M70" s="9" t="s">
        <v>65</v>
      </c>
      <c r="N70" s="9" t="s">
        <v>65</v>
      </c>
      <c r="O70" s="10" t="e">
        <f>#REF!-#REF!+1</f>
        <v>#REF!</v>
      </c>
      <c r="P70" s="11">
        <f t="shared" si="32"/>
        <v>729147.19833333313</v>
      </c>
      <c r="Q70" s="12">
        <v>1.2E-2</v>
      </c>
      <c r="R70" s="13">
        <v>0.85</v>
      </c>
      <c r="S70" s="11">
        <f t="shared" si="33"/>
        <v>619775.1185833331</v>
      </c>
      <c r="T70" s="11">
        <f t="shared" si="34"/>
        <v>8749.7663799999973</v>
      </c>
      <c r="U70" s="11">
        <f t="shared" si="35"/>
        <v>145829.43966666661</v>
      </c>
      <c r="V70" s="152">
        <v>5</v>
      </c>
      <c r="W70" s="15">
        <f>200*60%</f>
        <v>120</v>
      </c>
      <c r="X70" s="16">
        <v>87497.66379999998</v>
      </c>
      <c r="Y70" s="16">
        <f t="shared" si="31"/>
        <v>120.00000000000001</v>
      </c>
      <c r="Z70" s="16">
        <f t="shared" si="36"/>
        <v>10</v>
      </c>
      <c r="AA70" s="221">
        <f t="shared" si="37"/>
        <v>3.5155939760637495E-2</v>
      </c>
      <c r="AB70" s="11">
        <f>'Audience Sizing'!G6</f>
        <v>4148074</v>
      </c>
      <c r="AC70" s="17">
        <v>45406</v>
      </c>
      <c r="AD70" s="17">
        <v>45473</v>
      </c>
      <c r="AE70" s="17"/>
      <c r="AG70" s="262"/>
      <c r="AH70" s="263"/>
      <c r="AK70">
        <v>1.43</v>
      </c>
      <c r="AL70" s="262">
        <f>AK70*P70/1000</f>
        <v>1042.6804936166664</v>
      </c>
      <c r="AM70" s="262">
        <f>AL70*5%</f>
        <v>52.134024680833321</v>
      </c>
      <c r="AN70" s="263">
        <f>AL70+AM70</f>
        <v>1094.8145182974997</v>
      </c>
      <c r="AO70" s="409"/>
      <c r="AP70" s="263"/>
      <c r="AQ70" s="263"/>
      <c r="AR70" s="262"/>
      <c r="AS70" s="263"/>
      <c r="AT70" s="263"/>
    </row>
    <row r="71" spans="1:46" hidden="1" x14ac:dyDescent="0.3">
      <c r="A71" s="9" t="s">
        <v>91</v>
      </c>
      <c r="B71" s="9" t="s">
        <v>56</v>
      </c>
      <c r="C71" s="9" t="s">
        <v>71</v>
      </c>
      <c r="D71" s="9" t="s">
        <v>67</v>
      </c>
      <c r="E71" s="9" t="s">
        <v>72</v>
      </c>
      <c r="F71" s="9" t="s">
        <v>60</v>
      </c>
      <c r="G71" s="9" t="s">
        <v>69</v>
      </c>
      <c r="H71" s="9" t="s">
        <v>2276</v>
      </c>
      <c r="I71" s="9" t="s">
        <v>76</v>
      </c>
      <c r="J71" s="9" t="s">
        <v>2336</v>
      </c>
      <c r="K71" s="9" t="s">
        <v>73</v>
      </c>
      <c r="L71" s="9" t="s">
        <v>64</v>
      </c>
      <c r="M71" s="9" t="s">
        <v>65</v>
      </c>
      <c r="N71" s="9" t="s">
        <v>65</v>
      </c>
      <c r="O71" s="10" t="e">
        <f>#REF!-#REF!+1</f>
        <v>#REF!</v>
      </c>
      <c r="P71" s="11">
        <f t="shared" si="32"/>
        <v>667120</v>
      </c>
      <c r="Q71" s="12">
        <v>1.2E-2</v>
      </c>
      <c r="R71" s="13">
        <v>0.85</v>
      </c>
      <c r="S71" s="11">
        <f t="shared" si="33"/>
        <v>567052</v>
      </c>
      <c r="T71" s="11">
        <f t="shared" si="34"/>
        <v>8005.4400000000005</v>
      </c>
      <c r="U71" s="11">
        <f t="shared" si="35"/>
        <v>133424</v>
      </c>
      <c r="V71" s="152">
        <v>5</v>
      </c>
      <c r="W71" s="15">
        <v>200</v>
      </c>
      <c r="X71" s="16">
        <v>133424</v>
      </c>
      <c r="Y71" s="16">
        <f t="shared" si="31"/>
        <v>200</v>
      </c>
      <c r="Z71" s="16">
        <f t="shared" si="36"/>
        <v>16.666666666666664</v>
      </c>
      <c r="AA71" s="221">
        <f t="shared" si="37"/>
        <v>3.2165289240259458E-2</v>
      </c>
      <c r="AB71" s="11">
        <f>'Audience Sizing'!G6</f>
        <v>4148074</v>
      </c>
      <c r="AC71" s="17">
        <v>45390</v>
      </c>
      <c r="AD71" s="17">
        <v>45404</v>
      </c>
      <c r="AG71" s="262"/>
      <c r="AH71" s="263"/>
      <c r="AL71" s="262"/>
      <c r="AM71" s="262"/>
      <c r="AN71" s="263"/>
      <c r="AP71" s="263"/>
      <c r="AQ71" s="263"/>
    </row>
    <row r="72" spans="1:46" hidden="1" x14ac:dyDescent="0.3">
      <c r="A72" s="9" t="s">
        <v>91</v>
      </c>
      <c r="B72" s="9" t="s">
        <v>56</v>
      </c>
      <c r="C72" s="9" t="s">
        <v>71</v>
      </c>
      <c r="D72" s="9" t="s">
        <v>67</v>
      </c>
      <c r="E72" s="9" t="s">
        <v>72</v>
      </c>
      <c r="F72" s="9" t="s">
        <v>60</v>
      </c>
      <c r="G72" s="9" t="s">
        <v>69</v>
      </c>
      <c r="H72" s="9" t="s">
        <v>2276</v>
      </c>
      <c r="I72" s="9" t="s">
        <v>76</v>
      </c>
      <c r="J72" s="9" t="s">
        <v>2334</v>
      </c>
      <c r="K72" s="9" t="s">
        <v>73</v>
      </c>
      <c r="L72" s="9" t="s">
        <v>64</v>
      </c>
      <c r="M72" s="9" t="s">
        <v>65</v>
      </c>
      <c r="N72" s="9" t="s">
        <v>65</v>
      </c>
      <c r="O72" s="10" t="e">
        <f>#REF!-#REF!+1</f>
        <v>#REF!</v>
      </c>
      <c r="P72" s="11">
        <f t="shared" si="32"/>
        <v>1779793.2759999996</v>
      </c>
      <c r="Q72" s="12">
        <v>1.2E-2</v>
      </c>
      <c r="R72" s="13">
        <v>0.85</v>
      </c>
      <c r="S72" s="11">
        <f t="shared" si="33"/>
        <v>1512824.2845999997</v>
      </c>
      <c r="T72" s="11">
        <f t="shared" si="34"/>
        <v>21357.519311999997</v>
      </c>
      <c r="U72" s="11">
        <f t="shared" si="35"/>
        <v>355958.65519999992</v>
      </c>
      <c r="V72" s="152">
        <v>5</v>
      </c>
      <c r="W72" s="15">
        <v>200</v>
      </c>
      <c r="X72" s="16">
        <v>355958.65519999992</v>
      </c>
      <c r="Y72" s="16">
        <f t="shared" si="31"/>
        <v>200</v>
      </c>
      <c r="Z72" s="16">
        <f t="shared" si="36"/>
        <v>16.666666666666664</v>
      </c>
      <c r="AA72" s="221">
        <f t="shared" si="37"/>
        <v>8.5812995428721839E-2</v>
      </c>
      <c r="AB72" s="11">
        <f>'Audience Sizing'!G6</f>
        <v>4148074</v>
      </c>
      <c r="AC72" s="17">
        <v>45390</v>
      </c>
      <c r="AD72" s="17">
        <v>45473</v>
      </c>
      <c r="AE72" s="17"/>
      <c r="AG72" s="262"/>
      <c r="AH72" s="263"/>
      <c r="AK72">
        <v>1.43</v>
      </c>
      <c r="AL72" s="262">
        <f>AK72*P72/1000</f>
        <v>2545.1043846799994</v>
      </c>
      <c r="AM72" s="262">
        <f>AL72*5%</f>
        <v>127.25521923399998</v>
      </c>
      <c r="AN72" s="263">
        <f>AL72+AM72</f>
        <v>2672.3596039139993</v>
      </c>
      <c r="AO72" s="409"/>
      <c r="AP72" s="263"/>
      <c r="AQ72" s="263"/>
      <c r="AR72" s="262"/>
      <c r="AS72" s="263"/>
      <c r="AT72" s="263"/>
    </row>
    <row r="73" spans="1:46" hidden="1" x14ac:dyDescent="0.3">
      <c r="A73" s="9" t="s">
        <v>91</v>
      </c>
      <c r="B73" s="9" t="s">
        <v>56</v>
      </c>
      <c r="C73" s="9" t="s">
        <v>71</v>
      </c>
      <c r="D73" s="9" t="s">
        <v>67</v>
      </c>
      <c r="E73" s="9" t="s">
        <v>72</v>
      </c>
      <c r="F73" s="9" t="s">
        <v>60</v>
      </c>
      <c r="G73" s="9" t="s">
        <v>69</v>
      </c>
      <c r="H73" s="9" t="s">
        <v>2276</v>
      </c>
      <c r="I73" s="9" t="s">
        <v>76</v>
      </c>
      <c r="J73" s="9" t="s">
        <v>2300</v>
      </c>
      <c r="K73" s="9" t="s">
        <v>73</v>
      </c>
      <c r="L73" s="9" t="s">
        <v>64</v>
      </c>
      <c r="M73" s="9" t="s">
        <v>65</v>
      </c>
      <c r="N73" s="9" t="s">
        <v>65</v>
      </c>
      <c r="O73" s="10" t="e">
        <f>#REF!-#REF!+1</f>
        <v>#REF!</v>
      </c>
      <c r="P73" s="11">
        <f t="shared" si="32"/>
        <v>741580.5316666665</v>
      </c>
      <c r="Q73" s="12">
        <v>1.2E-2</v>
      </c>
      <c r="R73" s="13">
        <v>0.85</v>
      </c>
      <c r="S73" s="11">
        <f t="shared" si="33"/>
        <v>630343.45191666647</v>
      </c>
      <c r="T73" s="11">
        <f t="shared" si="34"/>
        <v>8898.966379999998</v>
      </c>
      <c r="U73" s="11">
        <f t="shared" si="35"/>
        <v>148316.1063333333</v>
      </c>
      <c r="V73" s="152">
        <v>5</v>
      </c>
      <c r="W73" s="15">
        <f>200*60%</f>
        <v>120</v>
      </c>
      <c r="X73" s="16">
        <v>88989.66379999998</v>
      </c>
      <c r="Y73" s="16">
        <f t="shared" si="31"/>
        <v>120</v>
      </c>
      <c r="Z73" s="16">
        <f t="shared" si="36"/>
        <v>10</v>
      </c>
      <c r="AA73" s="221">
        <f t="shared" si="37"/>
        <v>3.5755414761967433E-2</v>
      </c>
      <c r="AB73" s="11">
        <f>'Audience Sizing'!G6</f>
        <v>4148074</v>
      </c>
      <c r="AC73" s="17">
        <v>45406</v>
      </c>
      <c r="AD73" s="17">
        <v>45473</v>
      </c>
      <c r="AE73" s="17"/>
      <c r="AG73" s="262"/>
      <c r="AH73" s="263"/>
      <c r="AK73">
        <v>1.43</v>
      </c>
      <c r="AL73" s="262">
        <f>AK73*P73/1000</f>
        <v>1060.4601602833332</v>
      </c>
      <c r="AM73" s="262">
        <f>AL73*5%</f>
        <v>53.023008014166663</v>
      </c>
      <c r="AN73" s="263">
        <f>AL73+AM73</f>
        <v>1113.4831682974998</v>
      </c>
      <c r="AO73" s="409"/>
      <c r="AP73" s="263"/>
      <c r="AQ73" s="263"/>
      <c r="AR73" s="262"/>
      <c r="AS73" s="263"/>
      <c r="AT73" s="263"/>
    </row>
    <row r="74" spans="1:46" x14ac:dyDescent="0.3">
      <c r="A74" s="9" t="s">
        <v>91</v>
      </c>
      <c r="B74" s="9" t="s">
        <v>56</v>
      </c>
      <c r="C74" s="9" t="s">
        <v>57</v>
      </c>
      <c r="D74" s="9" t="s">
        <v>67</v>
      </c>
      <c r="E74" s="9" t="s">
        <v>59</v>
      </c>
      <c r="F74" s="9" t="s">
        <v>60</v>
      </c>
      <c r="G74" s="9" t="s">
        <v>308</v>
      </c>
      <c r="H74" s="9" t="s">
        <v>2276</v>
      </c>
      <c r="I74" s="9" t="s">
        <v>78</v>
      </c>
      <c r="J74" s="9" t="s">
        <v>313</v>
      </c>
      <c r="K74" s="9" t="s">
        <v>73</v>
      </c>
      <c r="L74" s="9" t="s">
        <v>64</v>
      </c>
      <c r="M74" s="9" t="s">
        <v>65</v>
      </c>
      <c r="N74" s="9" t="s">
        <v>66</v>
      </c>
      <c r="O74" s="10" t="e">
        <f>#REF!-#REF!+1</f>
        <v>#REF!</v>
      </c>
      <c r="P74" s="11">
        <f t="shared" si="32"/>
        <v>20885667.074999996</v>
      </c>
      <c r="Q74" s="12">
        <v>2E-3</v>
      </c>
      <c r="R74" s="13">
        <v>0.9</v>
      </c>
      <c r="S74" s="11">
        <f t="shared" si="33"/>
        <v>18797100.367499996</v>
      </c>
      <c r="T74" s="11">
        <f t="shared" si="34"/>
        <v>41771.334149999995</v>
      </c>
      <c r="U74" s="11">
        <f t="shared" si="35"/>
        <v>4177133.4149999991</v>
      </c>
      <c r="V74" s="152">
        <v>5</v>
      </c>
      <c r="W74" s="15">
        <v>60</v>
      </c>
      <c r="X74" s="16">
        <v>1253140.0244999998</v>
      </c>
      <c r="Y74" s="16">
        <f t="shared" si="31"/>
        <v>60.000000000000007</v>
      </c>
      <c r="Z74" s="16">
        <f t="shared" si="36"/>
        <v>30</v>
      </c>
      <c r="AA74" s="221">
        <f t="shared" si="37"/>
        <v>0.94211668724732289</v>
      </c>
      <c r="AB74" s="11">
        <f>'Audience Sizing'!E6</f>
        <v>4433775</v>
      </c>
      <c r="AC74" s="17">
        <v>45418</v>
      </c>
      <c r="AD74" s="17">
        <v>45473</v>
      </c>
      <c r="AE74" s="17"/>
      <c r="AF74">
        <v>2.13</v>
      </c>
      <c r="AG74" s="262">
        <f>AF74*P74/1000</f>
        <v>44486.470869749988</v>
      </c>
      <c r="AH74" s="262">
        <f>AG74*5%</f>
        <v>2224.3235434874996</v>
      </c>
      <c r="AI74" s="263">
        <f>AG74+AH74</f>
        <v>46710.794413237491</v>
      </c>
      <c r="AK74">
        <v>1.43</v>
      </c>
      <c r="AL74" s="262">
        <f>AK74*P74/1000</f>
        <v>29866.503917249993</v>
      </c>
      <c r="AM74" s="262">
        <f>AL74*5%</f>
        <v>1493.3251958624996</v>
      </c>
      <c r="AN74" s="263">
        <f>SUM(AL74:AM74)</f>
        <v>31359.829113112493</v>
      </c>
      <c r="AO74" s="409"/>
      <c r="AP74" s="263"/>
      <c r="AQ74" s="89"/>
      <c r="AT74" s="262"/>
    </row>
    <row r="75" spans="1:46" x14ac:dyDescent="0.3">
      <c r="A75" s="9" t="s">
        <v>91</v>
      </c>
      <c r="B75" s="9" t="s">
        <v>56</v>
      </c>
      <c r="C75" s="9" t="s">
        <v>57</v>
      </c>
      <c r="D75" s="9" t="s">
        <v>67</v>
      </c>
      <c r="E75" s="9" t="s">
        <v>59</v>
      </c>
      <c r="F75" s="9" t="s">
        <v>60</v>
      </c>
      <c r="G75" s="9" t="s">
        <v>307</v>
      </c>
      <c r="H75" s="9" t="s">
        <v>2276</v>
      </c>
      <c r="I75" s="9" t="s">
        <v>78</v>
      </c>
      <c r="J75" s="9" t="s">
        <v>314</v>
      </c>
      <c r="K75" s="9" t="s">
        <v>73</v>
      </c>
      <c r="L75" s="9" t="s">
        <v>64</v>
      </c>
      <c r="M75" s="9" t="s">
        <v>65</v>
      </c>
      <c r="N75" s="9" t="s">
        <v>66</v>
      </c>
      <c r="O75" s="10" t="e">
        <f>#REF!-#REF!+1</f>
        <v>#REF!</v>
      </c>
      <c r="P75" s="11">
        <f t="shared" si="32"/>
        <v>20885667.074999996</v>
      </c>
      <c r="Q75" s="12">
        <v>2E-3</v>
      </c>
      <c r="R75" s="13">
        <v>0.9</v>
      </c>
      <c r="S75" s="11">
        <f t="shared" si="33"/>
        <v>18797100.367499996</v>
      </c>
      <c r="T75" s="11">
        <f t="shared" si="34"/>
        <v>41771.334149999995</v>
      </c>
      <c r="U75" s="11">
        <f t="shared" si="35"/>
        <v>4177133.4149999991</v>
      </c>
      <c r="V75" s="152">
        <v>5</v>
      </c>
      <c r="W75" s="15">
        <v>60</v>
      </c>
      <c r="X75" s="16">
        <v>1253140.0244999998</v>
      </c>
      <c r="Y75" s="16">
        <f t="shared" si="31"/>
        <v>60.000000000000007</v>
      </c>
      <c r="Z75" s="16">
        <f t="shared" si="36"/>
        <v>30</v>
      </c>
      <c r="AA75" s="221">
        <f t="shared" si="37"/>
        <v>0.94211668724732289</v>
      </c>
      <c r="AB75" s="11">
        <f>'Audience Sizing'!E6</f>
        <v>4433775</v>
      </c>
      <c r="AC75" s="17">
        <v>45418</v>
      </c>
      <c r="AD75" s="17">
        <v>45473</v>
      </c>
      <c r="AE75" s="17"/>
      <c r="AF75">
        <v>2.13</v>
      </c>
      <c r="AG75" s="262">
        <f>AF75*P75/1000</f>
        <v>44486.470869749988</v>
      </c>
      <c r="AH75" s="262">
        <f>AG75*5%</f>
        <v>2224.3235434874996</v>
      </c>
      <c r="AI75" s="263">
        <f>AG75+AH75</f>
        <v>46710.794413237491</v>
      </c>
      <c r="AK75">
        <v>1.43</v>
      </c>
      <c r="AL75" s="262">
        <f>AK75*P75/1000</f>
        <v>29866.503917249993</v>
      </c>
      <c r="AM75" s="262">
        <f>AL75*5%</f>
        <v>1493.3251958624996</v>
      </c>
      <c r="AN75" s="263">
        <f>SUM(AL75:AM75)</f>
        <v>31359.829113112493</v>
      </c>
      <c r="AO75" s="409"/>
      <c r="AP75" s="263"/>
      <c r="AQ75" s="89"/>
      <c r="AT75" s="262"/>
    </row>
    <row r="76" spans="1:46" hidden="1" x14ac:dyDescent="0.3">
      <c r="A76" s="230" t="s">
        <v>93</v>
      </c>
      <c r="B76" s="234"/>
      <c r="C76" s="234"/>
      <c r="D76" s="234"/>
      <c r="E76" s="234"/>
      <c r="F76" s="234"/>
      <c r="G76" s="234"/>
      <c r="H76" s="234"/>
      <c r="I76" s="234"/>
      <c r="J76" s="234"/>
      <c r="K76" s="234"/>
      <c r="L76" s="234"/>
      <c r="M76" s="234"/>
      <c r="N76" s="234"/>
      <c r="O76" s="234"/>
      <c r="P76" s="235">
        <f>SUM(P64:P75)</f>
        <v>88361180.121304333</v>
      </c>
      <c r="Q76" s="236">
        <f>T76/P76</f>
        <v>4.0021628610063167E-3</v>
      </c>
      <c r="R76" s="237">
        <f>S76/P76</f>
        <v>0.82943053731134786</v>
      </c>
      <c r="S76" s="235">
        <f>SUM(S64:S75)</f>
        <v>73289461.105478242</v>
      </c>
      <c r="T76" s="235">
        <f>SUM(T64:T75)</f>
        <v>353635.83343617385</v>
      </c>
      <c r="U76" s="235">
        <f>U65+U66*20%+SUM(U67:U69,U64)*50%</f>
        <v>2423414.2486652168</v>
      </c>
      <c r="V76" s="242">
        <f>P76/U76</f>
        <v>36.461442846584092</v>
      </c>
      <c r="W76" s="239"/>
      <c r="X76" s="240">
        <f>SUM(X64:X75)</f>
        <v>8482794.0119999982</v>
      </c>
      <c r="Y76" s="22">
        <f t="shared" si="31"/>
        <v>96.001366214831179</v>
      </c>
      <c r="Z76" s="22">
        <f>X76/T76</f>
        <v>23.987371216245879</v>
      </c>
      <c r="AA76" s="241">
        <f t="shared" si="37"/>
        <v>0.54178722304163129</v>
      </c>
      <c r="AB76" s="235">
        <f>'Audience Sizing'!C6</f>
        <v>4473000</v>
      </c>
      <c r="AC76" s="235"/>
      <c r="AD76" s="235"/>
    </row>
    <row r="77" spans="1:46" hidden="1" x14ac:dyDescent="0.3">
      <c r="A77" s="231" t="s">
        <v>94</v>
      </c>
      <c r="B77" s="243"/>
      <c r="C77" s="243"/>
      <c r="D77" s="243"/>
      <c r="E77" s="243"/>
      <c r="F77" s="243"/>
      <c r="G77" s="243"/>
      <c r="H77" s="243"/>
      <c r="I77" s="243"/>
      <c r="J77" s="243"/>
      <c r="K77" s="243"/>
      <c r="L77" s="243"/>
      <c r="M77" s="243"/>
      <c r="N77" s="243"/>
      <c r="O77" s="243"/>
      <c r="P77" s="244">
        <f>SUM(P76,P63)</f>
        <v>103630869.71555316</v>
      </c>
      <c r="Q77" s="245">
        <f>T77/P77</f>
        <v>3.6431339304823359E-3</v>
      </c>
      <c r="R77" s="246">
        <f>S77/P77</f>
        <v>0.76479963196365452</v>
      </c>
      <c r="S77" s="244">
        <f>SUM(S76,S63)</f>
        <v>79256851.018528491</v>
      </c>
      <c r="T77" s="244">
        <f>SUM(T76,T63)</f>
        <v>377541.13770612609</v>
      </c>
      <c r="U77" s="244">
        <f>U63+U76*5%</f>
        <v>2343674.8385116621</v>
      </c>
      <c r="V77" s="247">
        <f>P77/U77</f>
        <v>44.217255744130178</v>
      </c>
      <c r="W77" s="248"/>
      <c r="X77" s="249">
        <f>SUM(X76,X63)</f>
        <v>11093004.851376463</v>
      </c>
      <c r="Y77" s="106"/>
      <c r="Z77" s="106"/>
      <c r="AA77" s="250">
        <f t="shared" si="37"/>
        <v>0.52396039313920462</v>
      </c>
      <c r="AB77" s="244">
        <f>'Audience Sizing'!C6</f>
        <v>4473000</v>
      </c>
      <c r="AC77" s="244"/>
      <c r="AD77" s="244"/>
    </row>
    <row r="78" spans="1:46" x14ac:dyDescent="0.3">
      <c r="A78" s="9" t="s">
        <v>95</v>
      </c>
      <c r="B78" s="9" t="s">
        <v>56</v>
      </c>
      <c r="C78" s="9" t="s">
        <v>57</v>
      </c>
      <c r="D78" s="9" t="s">
        <v>58</v>
      </c>
      <c r="E78" s="9" t="s">
        <v>59</v>
      </c>
      <c r="F78" s="9" t="s">
        <v>60</v>
      </c>
      <c r="G78" s="9" t="s">
        <v>61</v>
      </c>
      <c r="H78" s="9" t="s">
        <v>2279</v>
      </c>
      <c r="I78" s="9" t="s">
        <v>62</v>
      </c>
      <c r="J78" s="9" t="s">
        <v>312</v>
      </c>
      <c r="K78" s="9" t="s">
        <v>63</v>
      </c>
      <c r="L78" s="9" t="s">
        <v>64</v>
      </c>
      <c r="M78" s="9" t="s">
        <v>65</v>
      </c>
      <c r="N78" s="9" t="s">
        <v>66</v>
      </c>
      <c r="O78" s="10" t="e">
        <f>#REF!-#REF!+1</f>
        <v>#REF!</v>
      </c>
      <c r="P78" s="11">
        <f>S78/R78</f>
        <v>1738995.3409090908</v>
      </c>
      <c r="Q78" s="12"/>
      <c r="R78" s="13">
        <v>0.4</v>
      </c>
      <c r="S78" s="11">
        <f>X78/W78</f>
        <v>695598.13636363635</v>
      </c>
      <c r="T78" s="11">
        <f>P78*Q78</f>
        <v>0</v>
      </c>
      <c r="U78" s="11">
        <f>P78/V78</f>
        <v>579665.11363636365</v>
      </c>
      <c r="V78" s="152">
        <v>3</v>
      </c>
      <c r="W78" s="154">
        <v>0.55000000000000004</v>
      </c>
      <c r="X78" s="16">
        <v>382578.97500000003</v>
      </c>
      <c r="Y78" s="16">
        <f t="shared" ref="Y78:Y95" si="38">X78/P78*1000</f>
        <v>220.00000000000003</v>
      </c>
      <c r="Z78" s="16">
        <f>IFERROR(X78/T78, 0)</f>
        <v>0</v>
      </c>
      <c r="AA78" s="207">
        <f t="shared" si="37"/>
        <v>0.75006484515975735</v>
      </c>
      <c r="AB78" s="11">
        <f>'Audience Sizing'!F7</f>
        <v>772820</v>
      </c>
      <c r="AC78" s="17">
        <v>45385</v>
      </c>
      <c r="AD78" s="17">
        <v>45424</v>
      </c>
      <c r="AF78">
        <v>2.13</v>
      </c>
      <c r="AG78" s="262">
        <f>AF78*P78/1000</f>
        <v>3704.060076136363</v>
      </c>
      <c r="AH78" s="262">
        <f>AG78*5%</f>
        <v>185.20300380681817</v>
      </c>
      <c r="AI78" s="263">
        <f>AG78+AH78</f>
        <v>3889.2630799431813</v>
      </c>
      <c r="AK78">
        <v>1.43</v>
      </c>
      <c r="AL78" s="262">
        <f>AK78*P78/1000</f>
        <v>2486.7633375</v>
      </c>
      <c r="AM78" s="262">
        <f>AL78*5%</f>
        <v>124.33816687500001</v>
      </c>
      <c r="AN78" s="263">
        <f>SUM(AL78:AM78)</f>
        <v>2611.1015043749999</v>
      </c>
      <c r="AO78" s="409"/>
      <c r="AP78" s="263"/>
      <c r="AQ78" s="89"/>
      <c r="AT78" s="262"/>
    </row>
    <row r="79" spans="1:46" x14ac:dyDescent="0.3">
      <c r="A79" s="9" t="s">
        <v>95</v>
      </c>
      <c r="B79" s="9" t="s">
        <v>56</v>
      </c>
      <c r="C79" s="9" t="s">
        <v>57</v>
      </c>
      <c r="D79" s="9" t="s">
        <v>67</v>
      </c>
      <c r="E79" s="9" t="s">
        <v>59</v>
      </c>
      <c r="F79" s="9" t="s">
        <v>60</v>
      </c>
      <c r="G79" s="9" t="s">
        <v>68</v>
      </c>
      <c r="H79" s="9" t="s">
        <v>2279</v>
      </c>
      <c r="I79" s="9" t="s">
        <v>62</v>
      </c>
      <c r="J79" s="9" t="s">
        <v>313</v>
      </c>
      <c r="K79" s="9" t="s">
        <v>63</v>
      </c>
      <c r="L79" s="9" t="s">
        <v>64</v>
      </c>
      <c r="M79" s="9" t="s">
        <v>65</v>
      </c>
      <c r="N79" s="9" t="s">
        <v>66</v>
      </c>
      <c r="O79" s="10" t="e">
        <f>#REF!-#REF!+1</f>
        <v>#REF!</v>
      </c>
      <c r="P79" s="11">
        <f>S79/R79</f>
        <v>2647634.7402101746</v>
      </c>
      <c r="Q79" s="12">
        <v>2E-3</v>
      </c>
      <c r="R79" s="13">
        <v>0.37</v>
      </c>
      <c r="S79" s="11">
        <f>X79/W79</f>
        <v>979624.85387776454</v>
      </c>
      <c r="T79" s="11">
        <f>P79*Q79</f>
        <v>5295.2694804203493</v>
      </c>
      <c r="U79" s="11">
        <f>P79/V79</f>
        <v>615729.00935120345</v>
      </c>
      <c r="V79" s="152">
        <v>4.3</v>
      </c>
      <c r="W79" s="15">
        <v>0.4</v>
      </c>
      <c r="X79" s="16">
        <v>391849.94155110582</v>
      </c>
      <c r="Y79" s="16">
        <f t="shared" si="38"/>
        <v>148</v>
      </c>
      <c r="Z79" s="16">
        <f>IFERROR(X79/T79, 0)</f>
        <v>74</v>
      </c>
      <c r="AA79" s="207">
        <f t="shared" si="37"/>
        <v>0.31273519903294028</v>
      </c>
      <c r="AB79" s="11">
        <f>'Audience Sizing'!E7</f>
        <v>1968851</v>
      </c>
      <c r="AC79" s="17">
        <v>45385</v>
      </c>
      <c r="AD79" s="17">
        <v>45424</v>
      </c>
      <c r="AF79">
        <v>2.13</v>
      </c>
      <c r="AG79" s="262">
        <f>AF79*P79/1000</f>
        <v>5639.4619966476721</v>
      </c>
      <c r="AH79" s="262">
        <f>AG79*5%</f>
        <v>281.97309983238364</v>
      </c>
      <c r="AI79" s="263">
        <f>AG79+AH79</f>
        <v>5921.435096480056</v>
      </c>
      <c r="AK79">
        <v>1.43</v>
      </c>
      <c r="AL79" s="262">
        <f>AK79*P79/1000</f>
        <v>3786.1176785005496</v>
      </c>
      <c r="AM79" s="262">
        <f>AL79*5%</f>
        <v>189.3058839250275</v>
      </c>
      <c r="AN79" s="263">
        <f>SUM(AL79:AM79)</f>
        <v>3975.4235624255771</v>
      </c>
      <c r="AO79" s="409"/>
      <c r="AP79" s="263"/>
      <c r="AQ79" s="89"/>
      <c r="AT79" s="262"/>
    </row>
    <row r="80" spans="1:46" x14ac:dyDescent="0.3">
      <c r="A80" s="9" t="s">
        <v>95</v>
      </c>
      <c r="B80" s="9" t="s">
        <v>56</v>
      </c>
      <c r="C80" s="9" t="s">
        <v>57</v>
      </c>
      <c r="D80" s="9" t="s">
        <v>67</v>
      </c>
      <c r="E80" s="9" t="s">
        <v>59</v>
      </c>
      <c r="F80" s="9" t="s">
        <v>60</v>
      </c>
      <c r="G80" s="9" t="s">
        <v>69</v>
      </c>
      <c r="H80" s="9" t="s">
        <v>2279</v>
      </c>
      <c r="I80" s="9" t="s">
        <v>62</v>
      </c>
      <c r="J80" s="9" t="s">
        <v>314</v>
      </c>
      <c r="K80" s="9" t="s">
        <v>63</v>
      </c>
      <c r="L80" s="9" t="s">
        <v>64</v>
      </c>
      <c r="M80" s="9" t="s">
        <v>65</v>
      </c>
      <c r="N80" s="9" t="s">
        <v>66</v>
      </c>
      <c r="O80" s="10" t="e">
        <f>#REF!-#REF!+1</f>
        <v>#REF!</v>
      </c>
      <c r="P80" s="11">
        <f>S80/R80</f>
        <v>2532520.1862879922</v>
      </c>
      <c r="Q80" s="12">
        <v>2E-3</v>
      </c>
      <c r="R80" s="13">
        <v>0.37</v>
      </c>
      <c r="S80" s="11">
        <f>X80/W80</f>
        <v>937032.46892655711</v>
      </c>
      <c r="T80" s="11">
        <f>P80*Q80</f>
        <v>5065.0403725759843</v>
      </c>
      <c r="U80" s="11">
        <f>P80/V80</f>
        <v>633130.04657199804</v>
      </c>
      <c r="V80" s="152">
        <v>4</v>
      </c>
      <c r="W80" s="15">
        <v>0.4</v>
      </c>
      <c r="X80" s="16">
        <v>374812.98757062288</v>
      </c>
      <c r="Y80" s="16">
        <f t="shared" si="38"/>
        <v>148.00000000000003</v>
      </c>
      <c r="Z80" s="16">
        <f>IFERROR(X80/T80, 0)</f>
        <v>74.000000000000014</v>
      </c>
      <c r="AA80" s="207">
        <f t="shared" si="37"/>
        <v>0.32157336770126232</v>
      </c>
      <c r="AB80" s="11">
        <f>'Audience Sizing'!E7</f>
        <v>1968851</v>
      </c>
      <c r="AC80" s="17">
        <v>45385</v>
      </c>
      <c r="AD80" s="17">
        <v>45424</v>
      </c>
      <c r="AF80">
        <v>2.13</v>
      </c>
      <c r="AG80" s="262">
        <f>AF80*P80/1000</f>
        <v>5394.2679967934228</v>
      </c>
      <c r="AH80" s="262">
        <f>AG80*5%</f>
        <v>269.71339983967113</v>
      </c>
      <c r="AI80" s="263">
        <f>AG80+AH80</f>
        <v>5663.9813966330939</v>
      </c>
      <c r="AK80">
        <v>1.43</v>
      </c>
      <c r="AL80" s="262">
        <f>AK80*P80/1000</f>
        <v>3621.5038663918285</v>
      </c>
      <c r="AM80" s="262">
        <f>AL80*5%</f>
        <v>181.07519331959145</v>
      </c>
      <c r="AN80" s="263">
        <f>SUM(AL80:AM80)</f>
        <v>3802.5790597114201</v>
      </c>
      <c r="AO80" s="409"/>
      <c r="AP80" s="263"/>
      <c r="AQ80" s="89"/>
      <c r="AT80" s="262"/>
    </row>
    <row r="81" spans="1:46" hidden="1" x14ac:dyDescent="0.3">
      <c r="A81" s="9" t="s">
        <v>95</v>
      </c>
      <c r="B81" s="9" t="s">
        <v>56</v>
      </c>
      <c r="C81" s="9" t="s">
        <v>71</v>
      </c>
      <c r="D81" s="9" t="s">
        <v>58</v>
      </c>
      <c r="E81" s="9" t="s">
        <v>72</v>
      </c>
      <c r="F81" s="9" t="s">
        <v>60</v>
      </c>
      <c r="G81" s="9" t="s">
        <v>61</v>
      </c>
      <c r="H81" s="9" t="s">
        <v>2279</v>
      </c>
      <c r="I81" s="9" t="s">
        <v>62</v>
      </c>
      <c r="J81" s="9" t="s">
        <v>315</v>
      </c>
      <c r="K81" s="9" t="s">
        <v>73</v>
      </c>
      <c r="L81" s="9" t="s">
        <v>64</v>
      </c>
      <c r="M81" s="9" t="s">
        <v>65</v>
      </c>
      <c r="N81" s="9" t="s">
        <v>65</v>
      </c>
      <c r="O81" s="10" t="e">
        <f>#REF!-#REF!+1</f>
        <v>#REF!</v>
      </c>
      <c r="P81" s="11">
        <f>X81*1000/W81</f>
        <v>476098.28000000014</v>
      </c>
      <c r="Q81" s="12">
        <v>0</v>
      </c>
      <c r="R81" s="13">
        <v>0.85</v>
      </c>
      <c r="S81" s="11">
        <f>P81*R81</f>
        <v>404683.53800000012</v>
      </c>
      <c r="T81" s="11">
        <f>P81*Q81</f>
        <v>0</v>
      </c>
      <c r="U81" s="11">
        <f>P81/V81</f>
        <v>79349.713333333362</v>
      </c>
      <c r="V81" s="152">
        <v>6</v>
      </c>
      <c r="W81" s="15">
        <v>450</v>
      </c>
      <c r="X81" s="16">
        <v>214244.22600000005</v>
      </c>
      <c r="Y81" s="16">
        <f t="shared" si="38"/>
        <v>449.99999999999994</v>
      </c>
      <c r="Z81" s="16">
        <f>IFERROR(X81/T81, 0)</f>
        <v>0</v>
      </c>
      <c r="AA81" s="207">
        <f t="shared" si="37"/>
        <v>0.13923322892996792</v>
      </c>
      <c r="AB81" s="11">
        <f>'Audience Sizing'!H7</f>
        <v>569905</v>
      </c>
      <c r="AC81" s="17">
        <v>45385</v>
      </c>
      <c r="AD81" s="17">
        <v>45424</v>
      </c>
      <c r="AH81" s="262"/>
      <c r="AI81" s="263"/>
      <c r="AK81">
        <v>1.43</v>
      </c>
      <c r="AL81" s="262">
        <f>AK81*P81/1000</f>
        <v>680.82054040000014</v>
      </c>
      <c r="AM81" s="262">
        <f>AL81*5%</f>
        <v>34.041027020000008</v>
      </c>
      <c r="AN81" s="263">
        <f>AL81+AM81</f>
        <v>714.86156742000014</v>
      </c>
      <c r="AP81" s="263"/>
      <c r="AQ81" s="263"/>
      <c r="AT81" s="263"/>
    </row>
    <row r="82" spans="1:46" hidden="1" x14ac:dyDescent="0.3">
      <c r="A82" s="230" t="s">
        <v>96</v>
      </c>
      <c r="B82" s="234"/>
      <c r="C82" s="234"/>
      <c r="D82" s="234"/>
      <c r="E82" s="234"/>
      <c r="F82" s="234"/>
      <c r="G82" s="234"/>
      <c r="H82" s="234"/>
      <c r="I82" s="234"/>
      <c r="J82" s="234"/>
      <c r="K82" s="234"/>
      <c r="L82" s="234"/>
      <c r="M82" s="234"/>
      <c r="N82" s="234"/>
      <c r="O82" s="234"/>
      <c r="P82" s="235">
        <f>SUM(P78:P81)</f>
        <v>7395248.5474072574</v>
      </c>
      <c r="Q82" s="236">
        <f>T82/P82</f>
        <v>1.4009413999518129E-3</v>
      </c>
      <c r="R82" s="237">
        <f>S82/P82</f>
        <v>0.40795640306446285</v>
      </c>
      <c r="S82" s="235">
        <f>SUM(S78:S81)</f>
        <v>3016938.9971679584</v>
      </c>
      <c r="T82" s="235">
        <f>SUM(T78:T81)</f>
        <v>10360.309852996334</v>
      </c>
      <c r="U82" s="235">
        <f>U79+U80*20%+SUM(U81:U81,U78)*50%</f>
        <v>1071862.4321504517</v>
      </c>
      <c r="V82" s="238">
        <f>P82/U82</f>
        <v>6.8994381420480879</v>
      </c>
      <c r="W82" s="239"/>
      <c r="X82" s="240">
        <f>SUM(X78:X81)</f>
        <v>1363486.1301217289</v>
      </c>
      <c r="Y82" s="22">
        <f t="shared" si="38"/>
        <v>184.3732663454241</v>
      </c>
      <c r="Z82" s="22">
        <f>X82/T82</f>
        <v>131.60669414992364</v>
      </c>
      <c r="AA82" s="241">
        <f t="shared" si="37"/>
        <v>0.53998107413120988</v>
      </c>
      <c r="AB82" s="235">
        <f>'Audience Sizing'!C7</f>
        <v>1985000</v>
      </c>
      <c r="AC82" s="235"/>
      <c r="AD82" s="235"/>
    </row>
    <row r="83" spans="1:46" x14ac:dyDescent="0.3">
      <c r="A83" s="9" t="s">
        <v>95</v>
      </c>
      <c r="B83" s="9" t="s">
        <v>56</v>
      </c>
      <c r="C83" s="9" t="s">
        <v>57</v>
      </c>
      <c r="D83" s="9" t="s">
        <v>58</v>
      </c>
      <c r="E83" s="9" t="s">
        <v>75</v>
      </c>
      <c r="F83" s="9" t="s">
        <v>60</v>
      </c>
      <c r="G83" s="9" t="s">
        <v>61</v>
      </c>
      <c r="H83" s="9" t="s">
        <v>2279</v>
      </c>
      <c r="I83" s="9" t="s">
        <v>76</v>
      </c>
      <c r="J83" s="9" t="s">
        <v>312</v>
      </c>
      <c r="K83" s="9" t="s">
        <v>77</v>
      </c>
      <c r="L83" s="9" t="s">
        <v>64</v>
      </c>
      <c r="M83" s="9" t="s">
        <v>65</v>
      </c>
      <c r="N83" s="9" t="s">
        <v>66</v>
      </c>
      <c r="O83" s="10" t="e">
        <f>#REF!-#REF!+1</f>
        <v>#REF!</v>
      </c>
      <c r="P83" s="11">
        <f t="shared" ref="P83:P94" si="39">X83*1000/W83</f>
        <v>2354435.4960000007</v>
      </c>
      <c r="Q83" s="12"/>
      <c r="R83" s="13">
        <v>0.75</v>
      </c>
      <c r="S83" s="11">
        <f t="shared" ref="S83:S94" si="40">P83*R83</f>
        <v>1765826.6220000004</v>
      </c>
      <c r="T83" s="11">
        <f t="shared" ref="T83:T94" si="41">P83*Q83</f>
        <v>0</v>
      </c>
      <c r="U83" s="11">
        <f t="shared" ref="U83:U94" si="42">P83/V83</f>
        <v>392405.91600000014</v>
      </c>
      <c r="V83" s="152">
        <v>6</v>
      </c>
      <c r="W83" s="15">
        <v>125</v>
      </c>
      <c r="X83" s="16">
        <v>294304.43700000009</v>
      </c>
      <c r="Y83" s="16">
        <f t="shared" si="38"/>
        <v>125</v>
      </c>
      <c r="Z83" s="16">
        <f t="shared" ref="Z83:Z94" si="43">IFERROR(X83/T83, 0)</f>
        <v>0</v>
      </c>
      <c r="AA83" s="207">
        <f t="shared" si="37"/>
        <v>0.50775848968712012</v>
      </c>
      <c r="AB83" s="11">
        <f>'Audience Sizing'!F7</f>
        <v>772820</v>
      </c>
      <c r="AC83" s="17">
        <v>45390</v>
      </c>
      <c r="AD83" s="17">
        <v>45473</v>
      </c>
      <c r="AE83" s="17"/>
      <c r="AF83">
        <v>2.13</v>
      </c>
      <c r="AG83" s="262">
        <f>AF83*P83/1000</f>
        <v>5014.9476064800019</v>
      </c>
      <c r="AH83" s="262">
        <f>AG83*5%</f>
        <v>250.74738032400012</v>
      </c>
      <c r="AI83" s="263">
        <f>AG83+AH83</f>
        <v>5265.6949868040019</v>
      </c>
      <c r="AK83">
        <v>1.43</v>
      </c>
      <c r="AL83" s="262">
        <f>AK83*P83/1000</f>
        <v>3366.8427592800008</v>
      </c>
      <c r="AM83" s="262">
        <f>AL83*5%</f>
        <v>168.34213796400005</v>
      </c>
      <c r="AN83" s="263">
        <f>SUM(AL83:AM83)</f>
        <v>3535.1848972440007</v>
      </c>
      <c r="AO83" s="409"/>
      <c r="AP83" s="263"/>
      <c r="AQ83" s="89"/>
      <c r="AT83" s="262"/>
    </row>
    <row r="84" spans="1:46" x14ac:dyDescent="0.3">
      <c r="A84" s="9" t="s">
        <v>95</v>
      </c>
      <c r="B84" s="9" t="s">
        <v>56</v>
      </c>
      <c r="C84" s="9" t="s">
        <v>57</v>
      </c>
      <c r="D84" s="9" t="s">
        <v>67</v>
      </c>
      <c r="E84" s="9" t="s">
        <v>75</v>
      </c>
      <c r="F84" s="9" t="s">
        <v>60</v>
      </c>
      <c r="G84" s="9" t="s">
        <v>68</v>
      </c>
      <c r="H84" s="9" t="s">
        <v>2279</v>
      </c>
      <c r="I84" s="9" t="s">
        <v>76</v>
      </c>
      <c r="J84" s="9" t="s">
        <v>313</v>
      </c>
      <c r="K84" s="9" t="s">
        <v>77</v>
      </c>
      <c r="L84" s="9" t="s">
        <v>64</v>
      </c>
      <c r="M84" s="9" t="s">
        <v>65</v>
      </c>
      <c r="N84" s="9" t="s">
        <v>66</v>
      </c>
      <c r="O84" s="10" t="e">
        <f>#REF!-#REF!+1</f>
        <v>#REF!</v>
      </c>
      <c r="P84" s="11">
        <f t="shared" si="39"/>
        <v>7311911.478260872</v>
      </c>
      <c r="Q84" s="12">
        <v>5.4999999999999997E-3</v>
      </c>
      <c r="R84" s="13">
        <v>0.75</v>
      </c>
      <c r="S84" s="11">
        <f t="shared" si="40"/>
        <v>5483933.6086956542</v>
      </c>
      <c r="T84" s="11">
        <f t="shared" si="41"/>
        <v>40215.513130434796</v>
      </c>
      <c r="U84" s="11">
        <f t="shared" si="42"/>
        <v>609325.95652173937</v>
      </c>
      <c r="V84" s="152">
        <v>12</v>
      </c>
      <c r="W84" s="15">
        <v>115</v>
      </c>
      <c r="X84" s="16">
        <v>840869.82000000018</v>
      </c>
      <c r="Y84" s="16">
        <f t="shared" si="38"/>
        <v>114.99999999999999</v>
      </c>
      <c r="Z84" s="16">
        <f t="shared" si="43"/>
        <v>20.909090909090907</v>
      </c>
      <c r="AA84" s="207">
        <f t="shared" si="37"/>
        <v>0.3094830215804748</v>
      </c>
      <c r="AB84" s="11">
        <f>'Audience Sizing'!E7</f>
        <v>1968851</v>
      </c>
      <c r="AC84" s="17">
        <v>45390</v>
      </c>
      <c r="AD84" s="17">
        <v>45473</v>
      </c>
      <c r="AE84" s="17"/>
      <c r="AF84">
        <v>2.13</v>
      </c>
      <c r="AG84" s="262">
        <f>AF84*P84/1000</f>
        <v>15574.371448695656</v>
      </c>
      <c r="AH84" s="262">
        <f>AG84*5%</f>
        <v>778.7185724347828</v>
      </c>
      <c r="AI84" s="263">
        <f>AG84+AH84</f>
        <v>16353.09002113044</v>
      </c>
      <c r="AK84">
        <v>1.43</v>
      </c>
      <c r="AL84" s="262">
        <f>AK84*P84/1000</f>
        <v>10456.033413913046</v>
      </c>
      <c r="AM84" s="262">
        <f>AL84*5%</f>
        <v>522.80167069565232</v>
      </c>
      <c r="AN84" s="263">
        <f>SUM(AL84:AM84)</f>
        <v>10978.835084608698</v>
      </c>
      <c r="AO84" s="409"/>
      <c r="AP84" s="263"/>
      <c r="AQ84" s="89"/>
      <c r="AT84" s="262"/>
    </row>
    <row r="85" spans="1:46" x14ac:dyDescent="0.3">
      <c r="A85" s="9" t="s">
        <v>95</v>
      </c>
      <c r="B85" s="9" t="s">
        <v>56</v>
      </c>
      <c r="C85" s="9" t="s">
        <v>57</v>
      </c>
      <c r="D85" s="9" t="s">
        <v>67</v>
      </c>
      <c r="E85" s="9" t="s">
        <v>75</v>
      </c>
      <c r="F85" s="9" t="s">
        <v>60</v>
      </c>
      <c r="G85" s="9" t="s">
        <v>69</v>
      </c>
      <c r="H85" s="9" t="s">
        <v>2279</v>
      </c>
      <c r="I85" s="9" t="s">
        <v>76</v>
      </c>
      <c r="J85" s="9" t="s">
        <v>314</v>
      </c>
      <c r="K85" s="9" t="s">
        <v>77</v>
      </c>
      <c r="L85" s="9" t="s">
        <v>64</v>
      </c>
      <c r="M85" s="9" t="s">
        <v>65</v>
      </c>
      <c r="N85" s="9" t="s">
        <v>66</v>
      </c>
      <c r="O85" s="10" t="e">
        <f>#REF!-#REF!+1</f>
        <v>#REF!</v>
      </c>
      <c r="P85" s="11">
        <f t="shared" si="39"/>
        <v>7311911.478260872</v>
      </c>
      <c r="Q85" s="12">
        <v>5.4999999999999997E-3</v>
      </c>
      <c r="R85" s="13">
        <v>0.75</v>
      </c>
      <c r="S85" s="11">
        <f t="shared" si="40"/>
        <v>5483933.6086956542</v>
      </c>
      <c r="T85" s="11">
        <f t="shared" si="41"/>
        <v>40215.513130434796</v>
      </c>
      <c r="U85" s="11">
        <f t="shared" si="42"/>
        <v>609325.95652173937</v>
      </c>
      <c r="V85" s="152">
        <v>12</v>
      </c>
      <c r="W85" s="15">
        <v>115</v>
      </c>
      <c r="X85" s="16">
        <v>840869.82000000018</v>
      </c>
      <c r="Y85" s="16">
        <f t="shared" si="38"/>
        <v>114.99999999999999</v>
      </c>
      <c r="Z85" s="16">
        <f t="shared" si="43"/>
        <v>20.909090909090907</v>
      </c>
      <c r="AA85" s="221">
        <f t="shared" si="37"/>
        <v>0.3094830215804748</v>
      </c>
      <c r="AB85" s="11">
        <f>'Audience Sizing'!E7</f>
        <v>1968851</v>
      </c>
      <c r="AC85" s="17">
        <v>45390</v>
      </c>
      <c r="AD85" s="17">
        <v>45473</v>
      </c>
      <c r="AE85" s="17"/>
      <c r="AF85">
        <v>2.13</v>
      </c>
      <c r="AG85" s="262">
        <f>AF85*P85/1000</f>
        <v>15574.371448695656</v>
      </c>
      <c r="AH85" s="262">
        <f>AG85*5%</f>
        <v>778.7185724347828</v>
      </c>
      <c r="AI85" s="263">
        <f>AG85+AH85</f>
        <v>16353.09002113044</v>
      </c>
      <c r="AK85">
        <v>1.43</v>
      </c>
      <c r="AL85" s="262">
        <f>AK85*P85/1000</f>
        <v>10456.033413913046</v>
      </c>
      <c r="AM85" s="262">
        <f>AL85*5%</f>
        <v>522.80167069565232</v>
      </c>
      <c r="AN85" s="263">
        <f>SUM(AL85:AM85)</f>
        <v>10978.835084608698</v>
      </c>
      <c r="AO85" s="409"/>
      <c r="AP85" s="263"/>
      <c r="AQ85" s="89"/>
      <c r="AT85" s="262"/>
    </row>
    <row r="86" spans="1:46" hidden="1" x14ac:dyDescent="0.3">
      <c r="A86" s="9" t="s">
        <v>95</v>
      </c>
      <c r="B86" s="9" t="s">
        <v>56</v>
      </c>
      <c r="C86" s="9" t="s">
        <v>71</v>
      </c>
      <c r="D86" s="9" t="s">
        <v>58</v>
      </c>
      <c r="E86" s="9" t="s">
        <v>72</v>
      </c>
      <c r="F86" s="9" t="s">
        <v>60</v>
      </c>
      <c r="G86" s="9" t="s">
        <v>61</v>
      </c>
      <c r="H86" s="9" t="s">
        <v>2279</v>
      </c>
      <c r="I86" s="9" t="s">
        <v>76</v>
      </c>
      <c r="J86" s="9" t="s">
        <v>315</v>
      </c>
      <c r="K86" s="9" t="s">
        <v>73</v>
      </c>
      <c r="L86" s="9" t="s">
        <v>64</v>
      </c>
      <c r="M86" s="9" t="s">
        <v>65</v>
      </c>
      <c r="N86" s="9" t="s">
        <v>65</v>
      </c>
      <c r="O86" s="10" t="e">
        <f>#REF!-#REF!+1</f>
        <v>#REF!</v>
      </c>
      <c r="P86" s="11">
        <f t="shared" si="39"/>
        <v>504521.89200000005</v>
      </c>
      <c r="Q86" s="12">
        <v>0</v>
      </c>
      <c r="R86" s="13">
        <v>0.85</v>
      </c>
      <c r="S86" s="11">
        <f t="shared" si="40"/>
        <v>428843.60820000002</v>
      </c>
      <c r="T86" s="11">
        <f t="shared" si="41"/>
        <v>0</v>
      </c>
      <c r="U86" s="11">
        <f t="shared" si="42"/>
        <v>84086.982000000004</v>
      </c>
      <c r="V86" s="152">
        <v>6</v>
      </c>
      <c r="W86" s="15">
        <v>250</v>
      </c>
      <c r="X86" s="16">
        <v>126130.47300000001</v>
      </c>
      <c r="Y86" s="16">
        <f t="shared" si="38"/>
        <v>250</v>
      </c>
      <c r="Z86" s="16">
        <f t="shared" si="43"/>
        <v>0</v>
      </c>
      <c r="AA86" s="221">
        <f t="shared" si="37"/>
        <v>0.1475456119879629</v>
      </c>
      <c r="AB86" s="11">
        <f>'Audience Sizing'!H7</f>
        <v>569905</v>
      </c>
      <c r="AC86" s="17">
        <v>45390</v>
      </c>
      <c r="AD86" s="17">
        <v>45473</v>
      </c>
      <c r="AE86" s="17"/>
      <c r="AG86" s="262"/>
      <c r="AH86" s="263"/>
      <c r="AK86">
        <v>1.43</v>
      </c>
      <c r="AL86" s="262">
        <f>AK86*P86/1000</f>
        <v>721.46630556000002</v>
      </c>
      <c r="AM86" s="262">
        <f>AL86*5%</f>
        <v>36.073315278000003</v>
      </c>
      <c r="AN86" s="263">
        <f>AL86+AM86</f>
        <v>757.53962083800002</v>
      </c>
      <c r="AO86" s="409"/>
      <c r="AP86" s="263"/>
      <c r="AQ86" s="263"/>
      <c r="AR86" s="262"/>
      <c r="AS86" s="263"/>
      <c r="AT86" s="263"/>
    </row>
    <row r="87" spans="1:46" hidden="1" x14ac:dyDescent="0.3">
      <c r="A87" s="9" t="s">
        <v>95</v>
      </c>
      <c r="B87" s="9" t="s">
        <v>56</v>
      </c>
      <c r="C87" s="9" t="s">
        <v>71</v>
      </c>
      <c r="D87" s="9" t="s">
        <v>67</v>
      </c>
      <c r="E87" s="9" t="s">
        <v>72</v>
      </c>
      <c r="F87" s="9" t="s">
        <v>60</v>
      </c>
      <c r="G87" s="9" t="s">
        <v>68</v>
      </c>
      <c r="H87" s="9" t="s">
        <v>2279</v>
      </c>
      <c r="I87" s="9" t="s">
        <v>76</v>
      </c>
      <c r="J87" s="9" t="s">
        <v>2335</v>
      </c>
      <c r="K87" s="9" t="s">
        <v>73</v>
      </c>
      <c r="L87" s="9" t="s">
        <v>64</v>
      </c>
      <c r="M87" s="9" t="s">
        <v>65</v>
      </c>
      <c r="N87" s="9" t="s">
        <v>65</v>
      </c>
      <c r="O87" s="10" t="e">
        <f>#REF!-#REF!+1</f>
        <v>#REF!</v>
      </c>
      <c r="P87" s="11">
        <f t="shared" si="39"/>
        <v>298305</v>
      </c>
      <c r="Q87" s="12">
        <v>1.2E-2</v>
      </c>
      <c r="R87" s="13">
        <v>0.85</v>
      </c>
      <c r="S87" s="11">
        <f t="shared" si="40"/>
        <v>253559.25</v>
      </c>
      <c r="T87" s="11">
        <f t="shared" si="41"/>
        <v>3579.66</v>
      </c>
      <c r="U87" s="11">
        <f t="shared" si="42"/>
        <v>59661</v>
      </c>
      <c r="V87" s="152">
        <v>5</v>
      </c>
      <c r="W87" s="15">
        <v>200</v>
      </c>
      <c r="X87" s="16">
        <v>59661</v>
      </c>
      <c r="Y87" s="16">
        <f t="shared" si="38"/>
        <v>200</v>
      </c>
      <c r="Z87" s="16">
        <f t="shared" si="43"/>
        <v>16.666666666666668</v>
      </c>
      <c r="AA87" s="221">
        <f t="shared" si="37"/>
        <v>1.338590379811362E-2</v>
      </c>
      <c r="AB87" s="11">
        <f>'Audience Sizing'!G7</f>
        <v>4457002</v>
      </c>
      <c r="AC87" s="17">
        <v>45390</v>
      </c>
      <c r="AD87" s="17">
        <v>45404</v>
      </c>
      <c r="AG87" s="262"/>
      <c r="AH87" s="263"/>
      <c r="AL87" s="262"/>
      <c r="AM87" s="262"/>
      <c r="AN87" s="263"/>
      <c r="AP87" s="263"/>
      <c r="AQ87" s="263"/>
    </row>
    <row r="88" spans="1:46" hidden="1" x14ac:dyDescent="0.3">
      <c r="A88" s="9" t="s">
        <v>95</v>
      </c>
      <c r="B88" s="9" t="s">
        <v>56</v>
      </c>
      <c r="C88" s="9" t="s">
        <v>71</v>
      </c>
      <c r="D88" s="9" t="s">
        <v>67</v>
      </c>
      <c r="E88" s="9" t="s">
        <v>72</v>
      </c>
      <c r="F88" s="9" t="s">
        <v>60</v>
      </c>
      <c r="G88" s="9" t="s">
        <v>68</v>
      </c>
      <c r="H88" s="9" t="s">
        <v>2279</v>
      </c>
      <c r="I88" s="9" t="s">
        <v>76</v>
      </c>
      <c r="J88" s="9" t="s">
        <v>2298</v>
      </c>
      <c r="K88" s="9" t="s">
        <v>73</v>
      </c>
      <c r="L88" s="9" t="s">
        <v>64</v>
      </c>
      <c r="M88" s="9" t="s">
        <v>65</v>
      </c>
      <c r="N88" s="9" t="s">
        <v>65</v>
      </c>
      <c r="O88" s="10" t="e">
        <f>#REF!-#REF!+1</f>
        <v>#REF!</v>
      </c>
      <c r="P88" s="11">
        <f t="shared" si="39"/>
        <v>770399.7840000001</v>
      </c>
      <c r="Q88" s="12">
        <v>1.2E-2</v>
      </c>
      <c r="R88" s="13">
        <v>0.85</v>
      </c>
      <c r="S88" s="11">
        <f t="shared" si="40"/>
        <v>654839.81640000013</v>
      </c>
      <c r="T88" s="11">
        <f t="shared" si="41"/>
        <v>9244.7974080000022</v>
      </c>
      <c r="U88" s="11">
        <f t="shared" si="42"/>
        <v>154079.95680000001</v>
      </c>
      <c r="V88" s="152">
        <v>5</v>
      </c>
      <c r="W88" s="15">
        <v>200</v>
      </c>
      <c r="X88" s="16">
        <v>154079.95680000001</v>
      </c>
      <c r="Y88" s="16">
        <f t="shared" si="38"/>
        <v>199.99999999999997</v>
      </c>
      <c r="Z88" s="16">
        <f t="shared" si="43"/>
        <v>16.666666666666664</v>
      </c>
      <c r="AA88" s="221">
        <f t="shared" si="37"/>
        <v>3.4570313587474276E-2</v>
      </c>
      <c r="AB88" s="11">
        <f>'Audience Sizing'!G7</f>
        <v>4457002</v>
      </c>
      <c r="AC88" s="17">
        <v>45390</v>
      </c>
      <c r="AD88" s="17">
        <v>45473</v>
      </c>
      <c r="AE88" s="17"/>
      <c r="AG88" s="262"/>
      <c r="AH88" s="263"/>
      <c r="AK88">
        <v>1.43</v>
      </c>
      <c r="AL88" s="262">
        <f>AK88*P88/1000</f>
        <v>1101.6716911200001</v>
      </c>
      <c r="AM88" s="262">
        <f>AL88*5%</f>
        <v>55.083584556000005</v>
      </c>
      <c r="AN88" s="263">
        <f>AL88+AM88</f>
        <v>1156.7552756760001</v>
      </c>
      <c r="AO88" s="409"/>
      <c r="AP88" s="263"/>
      <c r="AQ88" s="263"/>
      <c r="AR88" s="262"/>
      <c r="AS88" s="263"/>
      <c r="AT88" s="263"/>
    </row>
    <row r="89" spans="1:46" hidden="1" x14ac:dyDescent="0.3">
      <c r="A89" s="9" t="s">
        <v>95</v>
      </c>
      <c r="B89" s="9" t="s">
        <v>56</v>
      </c>
      <c r="C89" s="9" t="s">
        <v>71</v>
      </c>
      <c r="D89" s="9" t="s">
        <v>67</v>
      </c>
      <c r="E89" s="9" t="s">
        <v>72</v>
      </c>
      <c r="F89" s="9" t="s">
        <v>60</v>
      </c>
      <c r="G89" s="9" t="s">
        <v>68</v>
      </c>
      <c r="H89" s="9" t="s">
        <v>2279</v>
      </c>
      <c r="I89" s="9" t="s">
        <v>76</v>
      </c>
      <c r="J89" s="9" t="s">
        <v>2299</v>
      </c>
      <c r="K89" s="9" t="s">
        <v>73</v>
      </c>
      <c r="L89" s="9" t="s">
        <v>64</v>
      </c>
      <c r="M89" s="9" t="s">
        <v>65</v>
      </c>
      <c r="N89" s="9" t="s">
        <v>65</v>
      </c>
      <c r="O89" s="10" t="e">
        <f>#REF!-#REF!+1</f>
        <v>#REF!</v>
      </c>
      <c r="P89" s="11">
        <f t="shared" si="39"/>
        <v>320999.91000000009</v>
      </c>
      <c r="Q89" s="12">
        <v>1.2E-2</v>
      </c>
      <c r="R89" s="13">
        <v>0.85</v>
      </c>
      <c r="S89" s="11">
        <f t="shared" si="40"/>
        <v>272849.92350000009</v>
      </c>
      <c r="T89" s="11">
        <f t="shared" si="41"/>
        <v>3851.9989200000014</v>
      </c>
      <c r="U89" s="11">
        <f t="shared" si="42"/>
        <v>64199.982000000018</v>
      </c>
      <c r="V89" s="152">
        <v>5</v>
      </c>
      <c r="W89" s="15">
        <f>200*60%</f>
        <v>120</v>
      </c>
      <c r="X89" s="16">
        <v>38519.989200000011</v>
      </c>
      <c r="Y89" s="16">
        <f t="shared" si="38"/>
        <v>120</v>
      </c>
      <c r="Z89" s="16">
        <f t="shared" si="43"/>
        <v>10</v>
      </c>
      <c r="AA89" s="221">
        <f t="shared" si="37"/>
        <v>1.4404297328114284E-2</v>
      </c>
      <c r="AB89" s="11">
        <f>'Audience Sizing'!G7</f>
        <v>4457002</v>
      </c>
      <c r="AC89" s="17">
        <v>45406</v>
      </c>
      <c r="AD89" s="17">
        <v>45473</v>
      </c>
      <c r="AE89" s="17"/>
      <c r="AG89" s="262"/>
      <c r="AH89" s="263"/>
      <c r="AK89">
        <v>1.43</v>
      </c>
      <c r="AL89" s="262">
        <f>AK89*P89/1000</f>
        <v>459.02987130000014</v>
      </c>
      <c r="AM89" s="262">
        <f>AL89*5%</f>
        <v>22.951493565000007</v>
      </c>
      <c r="AN89" s="263">
        <f>AL89+AM89</f>
        <v>481.98136486500016</v>
      </c>
      <c r="AO89" s="409"/>
      <c r="AP89" s="263"/>
      <c r="AQ89" s="263"/>
      <c r="AR89" s="262"/>
      <c r="AS89" s="263"/>
      <c r="AT89" s="263"/>
    </row>
    <row r="90" spans="1:46" hidden="1" x14ac:dyDescent="0.3">
      <c r="A90" s="9" t="s">
        <v>95</v>
      </c>
      <c r="B90" s="9" t="s">
        <v>56</v>
      </c>
      <c r="C90" s="9" t="s">
        <v>71</v>
      </c>
      <c r="D90" s="9" t="s">
        <v>67</v>
      </c>
      <c r="E90" s="9" t="s">
        <v>72</v>
      </c>
      <c r="F90" s="9" t="s">
        <v>60</v>
      </c>
      <c r="G90" s="9" t="s">
        <v>69</v>
      </c>
      <c r="H90" s="9" t="s">
        <v>2279</v>
      </c>
      <c r="I90" s="9" t="s">
        <v>76</v>
      </c>
      <c r="J90" s="9" t="s">
        <v>2336</v>
      </c>
      <c r="K90" s="9" t="s">
        <v>73</v>
      </c>
      <c r="L90" s="9" t="s">
        <v>64</v>
      </c>
      <c r="M90" s="9" t="s">
        <v>65</v>
      </c>
      <c r="N90" s="9" t="s">
        <v>65</v>
      </c>
      <c r="O90" s="10" t="e">
        <f>#REF!-#REF!+1</f>
        <v>#REF!</v>
      </c>
      <c r="P90" s="11">
        <f t="shared" si="39"/>
        <v>297970</v>
      </c>
      <c r="Q90" s="12">
        <v>1.2E-2</v>
      </c>
      <c r="R90" s="13">
        <v>0.85</v>
      </c>
      <c r="S90" s="11">
        <f t="shared" si="40"/>
        <v>253274.5</v>
      </c>
      <c r="T90" s="11">
        <f t="shared" si="41"/>
        <v>3575.64</v>
      </c>
      <c r="U90" s="11">
        <f t="shared" si="42"/>
        <v>59594</v>
      </c>
      <c r="V90" s="152">
        <v>5</v>
      </c>
      <c r="W90" s="15">
        <v>200</v>
      </c>
      <c r="X90" s="16">
        <v>59594</v>
      </c>
      <c r="Y90" s="16">
        <f t="shared" si="38"/>
        <v>200</v>
      </c>
      <c r="Z90" s="16">
        <f t="shared" si="43"/>
        <v>16.666666666666668</v>
      </c>
      <c r="AA90" s="221">
        <f t="shared" si="37"/>
        <v>1.3370871271765191E-2</v>
      </c>
      <c r="AB90" s="11">
        <f>'Audience Sizing'!G7</f>
        <v>4457002</v>
      </c>
      <c r="AC90" s="17">
        <v>45390</v>
      </c>
      <c r="AD90" s="17">
        <v>45404</v>
      </c>
      <c r="AG90" s="262"/>
      <c r="AH90" s="263"/>
      <c r="AL90" s="262"/>
      <c r="AM90" s="262"/>
      <c r="AN90" s="263"/>
      <c r="AP90" s="263"/>
      <c r="AQ90" s="263"/>
    </row>
    <row r="91" spans="1:46" hidden="1" x14ac:dyDescent="0.3">
      <c r="A91" s="9" t="s">
        <v>95</v>
      </c>
      <c r="B91" s="9" t="s">
        <v>56</v>
      </c>
      <c r="C91" s="9" t="s">
        <v>71</v>
      </c>
      <c r="D91" s="9" t="s">
        <v>67</v>
      </c>
      <c r="E91" s="9" t="s">
        <v>72</v>
      </c>
      <c r="F91" s="9" t="s">
        <v>60</v>
      </c>
      <c r="G91" s="9" t="s">
        <v>69</v>
      </c>
      <c r="H91" s="9" t="s">
        <v>2279</v>
      </c>
      <c r="I91" s="9" t="s">
        <v>76</v>
      </c>
      <c r="J91" s="9" t="s">
        <v>2334</v>
      </c>
      <c r="K91" s="9" t="s">
        <v>73</v>
      </c>
      <c r="L91" s="9" t="s">
        <v>64</v>
      </c>
      <c r="M91" s="9" t="s">
        <v>65</v>
      </c>
      <c r="N91" s="9" t="s">
        <v>65</v>
      </c>
      <c r="O91" s="10" t="e">
        <f>#REF!-#REF!+1</f>
        <v>#REF!</v>
      </c>
      <c r="P91" s="11">
        <f t="shared" si="39"/>
        <v>770667.7840000001</v>
      </c>
      <c r="Q91" s="12">
        <v>1.2E-2</v>
      </c>
      <c r="R91" s="13">
        <v>0.85</v>
      </c>
      <c r="S91" s="11">
        <f t="shared" si="40"/>
        <v>655067.61640000006</v>
      </c>
      <c r="T91" s="11">
        <f t="shared" si="41"/>
        <v>9248.0134080000007</v>
      </c>
      <c r="U91" s="11">
        <f t="shared" si="42"/>
        <v>154133.55680000002</v>
      </c>
      <c r="V91" s="152">
        <v>5</v>
      </c>
      <c r="W91" s="15">
        <v>200</v>
      </c>
      <c r="X91" s="16">
        <v>154133.55680000002</v>
      </c>
      <c r="Y91" s="16">
        <f t="shared" si="38"/>
        <v>200</v>
      </c>
      <c r="Z91" s="16">
        <f t="shared" si="43"/>
        <v>16.666666666666668</v>
      </c>
      <c r="AA91" s="221">
        <f t="shared" si="37"/>
        <v>3.4582339608553017E-2</v>
      </c>
      <c r="AB91" s="11">
        <f>'Audience Sizing'!G7</f>
        <v>4457002</v>
      </c>
      <c r="AC91" s="17">
        <v>45390</v>
      </c>
      <c r="AD91" s="17">
        <v>45473</v>
      </c>
      <c r="AE91" s="17"/>
      <c r="AG91" s="262"/>
      <c r="AH91" s="263"/>
      <c r="AK91">
        <v>1.43</v>
      </c>
      <c r="AL91" s="262">
        <f>AK91*P91/1000</f>
        <v>1102.05493112</v>
      </c>
      <c r="AM91" s="262">
        <f>AL91*5%</f>
        <v>55.102746556</v>
      </c>
      <c r="AN91" s="263">
        <f>AL91+AM91</f>
        <v>1157.157677676</v>
      </c>
      <c r="AO91" s="409"/>
      <c r="AP91" s="263"/>
      <c r="AQ91" s="263"/>
      <c r="AR91" s="262"/>
      <c r="AS91" s="263"/>
      <c r="AT91" s="263"/>
    </row>
    <row r="92" spans="1:46" hidden="1" x14ac:dyDescent="0.3">
      <c r="A92" s="9" t="s">
        <v>95</v>
      </c>
      <c r="B92" s="9" t="s">
        <v>56</v>
      </c>
      <c r="C92" s="9" t="s">
        <v>71</v>
      </c>
      <c r="D92" s="9" t="s">
        <v>67</v>
      </c>
      <c r="E92" s="9" t="s">
        <v>72</v>
      </c>
      <c r="F92" s="9" t="s">
        <v>60</v>
      </c>
      <c r="G92" s="9" t="s">
        <v>69</v>
      </c>
      <c r="H92" s="9" t="s">
        <v>2279</v>
      </c>
      <c r="I92" s="9" t="s">
        <v>76</v>
      </c>
      <c r="J92" s="9" t="s">
        <v>2300</v>
      </c>
      <c r="K92" s="9" t="s">
        <v>73</v>
      </c>
      <c r="L92" s="9" t="s">
        <v>64</v>
      </c>
      <c r="M92" s="9" t="s">
        <v>65</v>
      </c>
      <c r="N92" s="9" t="s">
        <v>65</v>
      </c>
      <c r="O92" s="10" t="e">
        <f>#REF!-#REF!+1</f>
        <v>#REF!</v>
      </c>
      <c r="P92" s="11">
        <f t="shared" si="39"/>
        <v>321111.57666666672</v>
      </c>
      <c r="Q92" s="12">
        <v>1.2E-2</v>
      </c>
      <c r="R92" s="13">
        <v>0.85</v>
      </c>
      <c r="S92" s="11">
        <f t="shared" si="40"/>
        <v>272944.84016666672</v>
      </c>
      <c r="T92" s="11">
        <f t="shared" si="41"/>
        <v>3853.3389200000006</v>
      </c>
      <c r="U92" s="11">
        <f t="shared" si="42"/>
        <v>64222.315333333347</v>
      </c>
      <c r="V92" s="152">
        <v>5</v>
      </c>
      <c r="W92" s="15">
        <f>200*60%</f>
        <v>120</v>
      </c>
      <c r="X92" s="16">
        <v>38533.389200000005</v>
      </c>
      <c r="Y92" s="16">
        <f t="shared" si="38"/>
        <v>120</v>
      </c>
      <c r="Z92" s="16">
        <f t="shared" si="43"/>
        <v>10</v>
      </c>
      <c r="AA92" s="221">
        <f t="shared" si="37"/>
        <v>1.4409308170230426E-2</v>
      </c>
      <c r="AB92" s="11">
        <f>'Audience Sizing'!G7</f>
        <v>4457002</v>
      </c>
      <c r="AC92" s="17">
        <v>45406</v>
      </c>
      <c r="AD92" s="17">
        <v>45473</v>
      </c>
      <c r="AE92" s="17"/>
      <c r="AG92" s="262"/>
      <c r="AH92" s="263"/>
      <c r="AK92">
        <v>1.43</v>
      </c>
      <c r="AL92" s="262">
        <f>AK92*P92/1000</f>
        <v>459.18955463333339</v>
      </c>
      <c r="AM92" s="262">
        <f>AL92*5%</f>
        <v>22.95947773166667</v>
      </c>
      <c r="AN92" s="263">
        <f>AL92+AM92</f>
        <v>482.14903236500004</v>
      </c>
      <c r="AO92" s="409"/>
      <c r="AP92" s="263"/>
      <c r="AQ92" s="263"/>
      <c r="AR92" s="262"/>
      <c r="AS92" s="263"/>
      <c r="AT92" s="263"/>
    </row>
    <row r="93" spans="1:46" x14ac:dyDescent="0.3">
      <c r="A93" s="9" t="s">
        <v>95</v>
      </c>
      <c r="B93" s="9" t="s">
        <v>56</v>
      </c>
      <c r="C93" s="9" t="s">
        <v>57</v>
      </c>
      <c r="D93" s="9" t="s">
        <v>67</v>
      </c>
      <c r="E93" s="9" t="s">
        <v>59</v>
      </c>
      <c r="F93" s="9" t="s">
        <v>60</v>
      </c>
      <c r="G93" s="9" t="s">
        <v>308</v>
      </c>
      <c r="H93" s="9" t="s">
        <v>2279</v>
      </c>
      <c r="I93" s="9" t="s">
        <v>78</v>
      </c>
      <c r="J93" s="9" t="s">
        <v>313</v>
      </c>
      <c r="K93" s="9" t="s">
        <v>73</v>
      </c>
      <c r="L93" s="9" t="s">
        <v>64</v>
      </c>
      <c r="M93" s="9" t="s">
        <v>65</v>
      </c>
      <c r="N93" s="9" t="s">
        <v>66</v>
      </c>
      <c r="O93" s="10" t="e">
        <f>#REF!-#REF!+1</f>
        <v>#REF!</v>
      </c>
      <c r="P93" s="11">
        <f t="shared" si="39"/>
        <v>9109423.0500000026</v>
      </c>
      <c r="Q93" s="12">
        <v>2E-3</v>
      </c>
      <c r="R93" s="13">
        <v>0.9</v>
      </c>
      <c r="S93" s="11">
        <f t="shared" si="40"/>
        <v>8198480.7450000029</v>
      </c>
      <c r="T93" s="11">
        <f t="shared" si="41"/>
        <v>18218.846100000006</v>
      </c>
      <c r="U93" s="11">
        <f t="shared" si="42"/>
        <v>1821884.6100000006</v>
      </c>
      <c r="V93" s="152">
        <v>5</v>
      </c>
      <c r="W93" s="15">
        <v>60</v>
      </c>
      <c r="X93" s="16">
        <v>546565.38300000015</v>
      </c>
      <c r="Y93" s="16">
        <f t="shared" si="38"/>
        <v>60</v>
      </c>
      <c r="Z93" s="16">
        <f t="shared" si="43"/>
        <v>29.999999999999996</v>
      </c>
      <c r="AA93" s="221">
        <f t="shared" si="37"/>
        <v>0.9253542345256196</v>
      </c>
      <c r="AB93" s="11">
        <f>'Audience Sizing'!E7</f>
        <v>1968851</v>
      </c>
      <c r="AC93" s="17">
        <v>45418</v>
      </c>
      <c r="AD93" s="17">
        <v>45473</v>
      </c>
      <c r="AE93" s="17"/>
      <c r="AF93">
        <v>2.13</v>
      </c>
      <c r="AG93" s="262">
        <f>AF93*P93/1000</f>
        <v>19403.071096500007</v>
      </c>
      <c r="AH93" s="262">
        <f>AG93*5%</f>
        <v>970.15355482500036</v>
      </c>
      <c r="AI93" s="263">
        <f>AG93+AH93</f>
        <v>20373.224651325007</v>
      </c>
      <c r="AK93">
        <v>1.43</v>
      </c>
      <c r="AL93" s="262">
        <f>AK93*P93/1000</f>
        <v>13026.474961500004</v>
      </c>
      <c r="AM93" s="262">
        <f>AL93*5%</f>
        <v>651.32374807500025</v>
      </c>
      <c r="AN93" s="263">
        <f>SUM(AL93:AM93)</f>
        <v>13677.798709575003</v>
      </c>
      <c r="AO93" s="409"/>
      <c r="AP93" s="263"/>
      <c r="AQ93" s="89"/>
      <c r="AT93" s="262"/>
    </row>
    <row r="94" spans="1:46" x14ac:dyDescent="0.3">
      <c r="A94" s="9" t="s">
        <v>95</v>
      </c>
      <c r="B94" s="9" t="s">
        <v>56</v>
      </c>
      <c r="C94" s="9" t="s">
        <v>57</v>
      </c>
      <c r="D94" s="9" t="s">
        <v>67</v>
      </c>
      <c r="E94" s="9" t="s">
        <v>59</v>
      </c>
      <c r="F94" s="9" t="s">
        <v>60</v>
      </c>
      <c r="G94" s="9" t="s">
        <v>307</v>
      </c>
      <c r="H94" s="9" t="s">
        <v>2279</v>
      </c>
      <c r="I94" s="9" t="s">
        <v>78</v>
      </c>
      <c r="J94" s="9" t="s">
        <v>314</v>
      </c>
      <c r="K94" s="9" t="s">
        <v>73</v>
      </c>
      <c r="L94" s="9" t="s">
        <v>64</v>
      </c>
      <c r="M94" s="9" t="s">
        <v>65</v>
      </c>
      <c r="N94" s="9" t="s">
        <v>66</v>
      </c>
      <c r="O94" s="10" t="e">
        <f>#REF!-#REF!+1</f>
        <v>#REF!</v>
      </c>
      <c r="P94" s="11">
        <f t="shared" si="39"/>
        <v>9109423.0500000026</v>
      </c>
      <c r="Q94" s="12">
        <v>2E-3</v>
      </c>
      <c r="R94" s="13">
        <v>0.9</v>
      </c>
      <c r="S94" s="11">
        <f t="shared" si="40"/>
        <v>8198480.7450000029</v>
      </c>
      <c r="T94" s="11">
        <f t="shared" si="41"/>
        <v>18218.846100000006</v>
      </c>
      <c r="U94" s="11">
        <f t="shared" si="42"/>
        <v>1821884.6100000006</v>
      </c>
      <c r="V94" s="152">
        <v>5</v>
      </c>
      <c r="W94" s="15">
        <v>60</v>
      </c>
      <c r="X94" s="16">
        <v>546565.38300000015</v>
      </c>
      <c r="Y94" s="16">
        <f t="shared" si="38"/>
        <v>60</v>
      </c>
      <c r="Z94" s="16">
        <f t="shared" si="43"/>
        <v>29.999999999999996</v>
      </c>
      <c r="AA94" s="221">
        <f t="shared" si="37"/>
        <v>0.9253542345256196</v>
      </c>
      <c r="AB94" s="11">
        <f>'Audience Sizing'!E7</f>
        <v>1968851</v>
      </c>
      <c r="AC94" s="17">
        <v>45418</v>
      </c>
      <c r="AD94" s="17">
        <v>45473</v>
      </c>
      <c r="AE94" s="17"/>
      <c r="AF94">
        <v>2.13</v>
      </c>
      <c r="AG94" s="262">
        <f>AF94*P94/1000</f>
        <v>19403.071096500007</v>
      </c>
      <c r="AH94" s="262">
        <f>AG94*5%</f>
        <v>970.15355482500036</v>
      </c>
      <c r="AI94" s="263">
        <f>AG94+AH94</f>
        <v>20373.224651325007</v>
      </c>
      <c r="AK94">
        <v>1.43</v>
      </c>
      <c r="AL94" s="262">
        <f>AK94*P94/1000</f>
        <v>13026.474961500004</v>
      </c>
      <c r="AM94" s="262">
        <f>AL94*5%</f>
        <v>651.32374807500025</v>
      </c>
      <c r="AN94" s="263">
        <f>SUM(AL94:AM94)</f>
        <v>13677.798709575003</v>
      </c>
      <c r="AO94" s="409"/>
      <c r="AP94" s="263"/>
      <c r="AQ94" s="89"/>
      <c r="AT94" s="262"/>
    </row>
    <row r="95" spans="1:46" hidden="1" x14ac:dyDescent="0.3">
      <c r="A95" s="230" t="s">
        <v>97</v>
      </c>
      <c r="B95" s="234"/>
      <c r="C95" s="234"/>
      <c r="D95" s="234"/>
      <c r="E95" s="234"/>
      <c r="F95" s="234"/>
      <c r="G95" s="234"/>
      <c r="H95" s="234"/>
      <c r="I95" s="234"/>
      <c r="J95" s="234"/>
      <c r="K95" s="234"/>
      <c r="L95" s="234"/>
      <c r="M95" s="234"/>
      <c r="N95" s="234"/>
      <c r="O95" s="234"/>
      <c r="P95" s="235">
        <f>SUM(P83:P94)</f>
        <v>38481080.499188423</v>
      </c>
      <c r="Q95" s="236">
        <f>T95/P95</f>
        <v>3.9037928552977563E-3</v>
      </c>
      <c r="R95" s="237">
        <f>S95/P95</f>
        <v>0.8295514177345209</v>
      </c>
      <c r="S95" s="235">
        <f>SUM(S83:S94)</f>
        <v>31922034.884057984</v>
      </c>
      <c r="T95" s="235">
        <f>SUM(T83:T94)</f>
        <v>150222.16711686959</v>
      </c>
      <c r="U95" s="235">
        <f>U84+U85*20%+SUM(U86:U88,U83)*50%</f>
        <v>1076308.0752260871</v>
      </c>
      <c r="V95" s="242">
        <f>P95/U95</f>
        <v>35.752849379212513</v>
      </c>
      <c r="W95" s="239"/>
      <c r="X95" s="240">
        <f>SUM(X83:X94)</f>
        <v>3699827.2080000015</v>
      </c>
      <c r="Y95" s="22">
        <f t="shared" si="38"/>
        <v>96.146655967158509</v>
      </c>
      <c r="Z95" s="22">
        <f>X95/T95</f>
        <v>24.629036306749697</v>
      </c>
      <c r="AA95" s="241">
        <f t="shared" si="37"/>
        <v>0.54222069280911189</v>
      </c>
      <c r="AB95" s="235">
        <f>'Audience Sizing'!C7</f>
        <v>1985000</v>
      </c>
      <c r="AC95" s="235"/>
      <c r="AD95" s="235"/>
    </row>
    <row r="96" spans="1:46" hidden="1" x14ac:dyDescent="0.3">
      <c r="A96" s="231" t="s">
        <v>98</v>
      </c>
      <c r="B96" s="243"/>
      <c r="C96" s="243"/>
      <c r="D96" s="243"/>
      <c r="E96" s="243"/>
      <c r="F96" s="243"/>
      <c r="G96" s="243"/>
      <c r="H96" s="243"/>
      <c r="I96" s="243"/>
      <c r="J96" s="243"/>
      <c r="K96" s="243"/>
      <c r="L96" s="243"/>
      <c r="M96" s="243"/>
      <c r="N96" s="243"/>
      <c r="O96" s="243"/>
      <c r="P96" s="244">
        <f>SUM(P95,P82)</f>
        <v>45876329.046595678</v>
      </c>
      <c r="Q96" s="245">
        <f>T96/P96</f>
        <v>3.5003340569548513E-3</v>
      </c>
      <c r="R96" s="246">
        <f>S96/P96</f>
        <v>0.7615904456029845</v>
      </c>
      <c r="S96" s="244">
        <f>SUM(S95,S82)</f>
        <v>34938973.881225944</v>
      </c>
      <c r="T96" s="244">
        <f>SUM(T95,T82)</f>
        <v>160582.47696986594</v>
      </c>
      <c r="U96" s="244">
        <f>U82+U95*5%</f>
        <v>1125677.8359117561</v>
      </c>
      <c r="V96" s="247">
        <f>P96/U96</f>
        <v>40.75440377613689</v>
      </c>
      <c r="W96" s="248"/>
      <c r="X96" s="249">
        <f>SUM(X95,X82)</f>
        <v>5063313.3381217308</v>
      </c>
      <c r="Y96" s="106"/>
      <c r="Z96" s="106"/>
      <c r="AA96" s="250">
        <f t="shared" si="37"/>
        <v>0.5670921087716656</v>
      </c>
      <c r="AB96" s="244">
        <f>'Audience Sizing'!C7</f>
        <v>1985000</v>
      </c>
      <c r="AC96" s="244"/>
      <c r="AD96" s="244"/>
    </row>
    <row r="97" spans="1:46" x14ac:dyDescent="0.3">
      <c r="A97" s="9" t="s">
        <v>99</v>
      </c>
      <c r="B97" s="9" t="s">
        <v>56</v>
      </c>
      <c r="C97" s="9" t="s">
        <v>57</v>
      </c>
      <c r="D97" s="9" t="s">
        <v>58</v>
      </c>
      <c r="E97" s="9" t="s">
        <v>59</v>
      </c>
      <c r="F97" s="9" t="s">
        <v>60</v>
      </c>
      <c r="G97" s="9" t="s">
        <v>61</v>
      </c>
      <c r="H97" s="9" t="s">
        <v>2278</v>
      </c>
      <c r="I97" s="9" t="s">
        <v>62</v>
      </c>
      <c r="J97" s="9" t="s">
        <v>312</v>
      </c>
      <c r="K97" s="9" t="s">
        <v>63</v>
      </c>
      <c r="L97" s="9" t="s">
        <v>64</v>
      </c>
      <c r="M97" s="9" t="s">
        <v>65</v>
      </c>
      <c r="N97" s="9" t="s">
        <v>66</v>
      </c>
      <c r="O97" s="10" t="e">
        <f>#REF!-#REF!+1</f>
        <v>#REF!</v>
      </c>
      <c r="P97" s="11">
        <f>S97/R97</f>
        <v>1421716.2283636364</v>
      </c>
      <c r="Q97" s="12"/>
      <c r="R97" s="13">
        <v>0.4</v>
      </c>
      <c r="S97" s="11">
        <f>X97/W97</f>
        <v>568686.49134545459</v>
      </c>
      <c r="T97" s="11">
        <f>P97*Q97</f>
        <v>0</v>
      </c>
      <c r="U97" s="11">
        <f>P97/V97</f>
        <v>473905.40945454547</v>
      </c>
      <c r="V97" s="152">
        <v>3</v>
      </c>
      <c r="W97" s="154">
        <v>0.55000000000000004</v>
      </c>
      <c r="X97" s="16">
        <v>312777.57024000003</v>
      </c>
      <c r="Y97" s="16">
        <f t="shared" ref="Y97:Y114" si="44">X97/P97*1000</f>
        <v>220</v>
      </c>
      <c r="Z97" s="16">
        <f>IFERROR(X97/T97, 0)</f>
        <v>0</v>
      </c>
      <c r="AA97" s="207">
        <f t="shared" si="37"/>
        <v>0.84979998718687944</v>
      </c>
      <c r="AB97" s="11">
        <f>'Audience Sizing'!F8</f>
        <v>557667</v>
      </c>
      <c r="AC97" s="17">
        <v>45383</v>
      </c>
      <c r="AD97" s="17">
        <v>45424</v>
      </c>
      <c r="AF97">
        <v>2.13</v>
      </c>
      <c r="AG97" s="262">
        <f>AF97*P97/1000</f>
        <v>3028.2555664145452</v>
      </c>
      <c r="AH97" s="262">
        <f>AG97*5%</f>
        <v>151.41277832072726</v>
      </c>
      <c r="AI97" s="263">
        <f>AG97+AH97</f>
        <v>3179.6683447352725</v>
      </c>
      <c r="AK97">
        <v>1.43</v>
      </c>
      <c r="AL97" s="262">
        <f>AK97*P97/1000</f>
        <v>2033.05420656</v>
      </c>
      <c r="AM97" s="262">
        <f>AL97*5%</f>
        <v>101.65271032800001</v>
      </c>
      <c r="AN97" s="263">
        <f>SUM(AL97:AM97)</f>
        <v>2134.7069168879998</v>
      </c>
      <c r="AO97" s="409"/>
      <c r="AP97" s="263"/>
      <c r="AQ97" s="89"/>
      <c r="AT97" s="262"/>
    </row>
    <row r="98" spans="1:46" x14ac:dyDescent="0.3">
      <c r="A98" s="9" t="s">
        <v>99</v>
      </c>
      <c r="B98" s="9" t="s">
        <v>56</v>
      </c>
      <c r="C98" s="9" t="s">
        <v>57</v>
      </c>
      <c r="D98" s="9" t="s">
        <v>67</v>
      </c>
      <c r="E98" s="9" t="s">
        <v>59</v>
      </c>
      <c r="F98" s="9" t="s">
        <v>60</v>
      </c>
      <c r="G98" s="9" t="s">
        <v>68</v>
      </c>
      <c r="H98" s="9" t="s">
        <v>2278</v>
      </c>
      <c r="I98" s="9" t="s">
        <v>62</v>
      </c>
      <c r="J98" s="9" t="s">
        <v>313</v>
      </c>
      <c r="K98" s="9" t="s">
        <v>63</v>
      </c>
      <c r="L98" s="9" t="s">
        <v>64</v>
      </c>
      <c r="M98" s="9" t="s">
        <v>65</v>
      </c>
      <c r="N98" s="9" t="s">
        <v>66</v>
      </c>
      <c r="O98" s="10" t="e">
        <f>#REF!-#REF!+1</f>
        <v>#REF!</v>
      </c>
      <c r="P98" s="11">
        <f>S98/R98</f>
        <v>2352798.5610710434</v>
      </c>
      <c r="Q98" s="12">
        <v>2E-3</v>
      </c>
      <c r="R98" s="13">
        <v>0.37</v>
      </c>
      <c r="S98" s="11">
        <f>X98/W98</f>
        <v>870535.46759628598</v>
      </c>
      <c r="T98" s="11">
        <f>P98*Q98</f>
        <v>4705.5971221420868</v>
      </c>
      <c r="U98" s="11">
        <f>P98/V98</f>
        <v>547162.45606303331</v>
      </c>
      <c r="V98" s="152">
        <v>4.3</v>
      </c>
      <c r="W98" s="15">
        <v>0.4</v>
      </c>
      <c r="X98" s="16">
        <v>348214.18703851441</v>
      </c>
      <c r="Y98" s="16">
        <f t="shared" si="44"/>
        <v>148</v>
      </c>
      <c r="Z98" s="16">
        <f>IFERROR(X98/T98, 0)</f>
        <v>74</v>
      </c>
      <c r="AA98" s="207">
        <f t="shared" si="37"/>
        <v>0.32309544314590505</v>
      </c>
      <c r="AB98" s="11">
        <f>'Audience Sizing'!E8</f>
        <v>1693501</v>
      </c>
      <c r="AC98" s="17">
        <v>45383</v>
      </c>
      <c r="AD98" s="17">
        <v>45424</v>
      </c>
      <c r="AF98">
        <v>2.13</v>
      </c>
      <c r="AG98" s="262">
        <f>AF98*P98/1000</f>
        <v>5011.4609350813216</v>
      </c>
      <c r="AH98" s="262">
        <f>AG98*5%</f>
        <v>250.5730467540661</v>
      </c>
      <c r="AI98" s="263">
        <f>AG98+AH98</f>
        <v>5262.0339818353877</v>
      </c>
      <c r="AK98">
        <v>1.43</v>
      </c>
      <c r="AL98" s="262">
        <f>AK98*P98/1000</f>
        <v>3364.5019423315921</v>
      </c>
      <c r="AM98" s="262">
        <f>AL98*5%</f>
        <v>168.2250971165796</v>
      </c>
      <c r="AN98" s="263">
        <f>SUM(AL98:AM98)</f>
        <v>3532.7270394481716</v>
      </c>
      <c r="AO98" s="409"/>
      <c r="AP98" s="263"/>
      <c r="AQ98" s="89"/>
      <c r="AT98" s="262"/>
    </row>
    <row r="99" spans="1:46" x14ac:dyDescent="0.3">
      <c r="A99" s="9" t="s">
        <v>99</v>
      </c>
      <c r="B99" s="9" t="s">
        <v>56</v>
      </c>
      <c r="C99" s="9" t="s">
        <v>57</v>
      </c>
      <c r="D99" s="9" t="s">
        <v>67</v>
      </c>
      <c r="E99" s="9" t="s">
        <v>59</v>
      </c>
      <c r="F99" s="9" t="s">
        <v>60</v>
      </c>
      <c r="G99" s="9" t="s">
        <v>69</v>
      </c>
      <c r="H99" s="9" t="s">
        <v>2278</v>
      </c>
      <c r="I99" s="9" t="s">
        <v>62</v>
      </c>
      <c r="J99" s="9" t="s">
        <v>314</v>
      </c>
      <c r="K99" s="9" t="s">
        <v>63</v>
      </c>
      <c r="L99" s="9" t="s">
        <v>64</v>
      </c>
      <c r="M99" s="9" t="s">
        <v>65</v>
      </c>
      <c r="N99" s="9" t="s">
        <v>66</v>
      </c>
      <c r="O99" s="10" t="e">
        <f>#REF!-#REF!+1</f>
        <v>#REF!</v>
      </c>
      <c r="P99" s="11">
        <f>S99/R99</f>
        <v>2254765.2876930833</v>
      </c>
      <c r="Q99" s="12">
        <v>2E-3</v>
      </c>
      <c r="R99" s="13">
        <v>0.37</v>
      </c>
      <c r="S99" s="11">
        <f>X99/W99</f>
        <v>834263.15644644084</v>
      </c>
      <c r="T99" s="11">
        <f>P99*Q99</f>
        <v>4509.5305753861667</v>
      </c>
      <c r="U99" s="11">
        <f>P99/V99</f>
        <v>563691.32192327082</v>
      </c>
      <c r="V99" s="152">
        <v>4</v>
      </c>
      <c r="W99" s="15">
        <v>0.4</v>
      </c>
      <c r="X99" s="16">
        <v>333705.26257857634</v>
      </c>
      <c r="Y99" s="16">
        <f t="shared" si="44"/>
        <v>148</v>
      </c>
      <c r="Z99" s="16">
        <f>IFERROR(X99/T99, 0)</f>
        <v>74</v>
      </c>
      <c r="AA99" s="207">
        <f t="shared" si="37"/>
        <v>0.3328556179909376</v>
      </c>
      <c r="AB99" s="11">
        <f>'Audience Sizing'!E8</f>
        <v>1693501</v>
      </c>
      <c r="AC99" s="17">
        <v>45383</v>
      </c>
      <c r="AD99" s="17">
        <v>45424</v>
      </c>
      <c r="AF99">
        <v>2.13</v>
      </c>
      <c r="AG99" s="262">
        <f>AF99*P99/1000</f>
        <v>4802.650062786267</v>
      </c>
      <c r="AH99" s="262">
        <f>AG99*5%</f>
        <v>240.13250313931337</v>
      </c>
      <c r="AI99" s="263">
        <f>AG99+AH99</f>
        <v>5042.7825659255805</v>
      </c>
      <c r="AK99">
        <v>1.43</v>
      </c>
      <c r="AL99" s="262">
        <f>AK99*P99/1000</f>
        <v>3224.3143614011092</v>
      </c>
      <c r="AM99" s="262">
        <f>AL99*5%</f>
        <v>161.21571807005546</v>
      </c>
      <c r="AN99" s="263">
        <f>SUM(AL99:AM99)</f>
        <v>3385.5300794711648</v>
      </c>
      <c r="AO99" s="409"/>
      <c r="AP99" s="263"/>
      <c r="AQ99" s="89"/>
      <c r="AT99" s="262"/>
    </row>
    <row r="100" spans="1:46" hidden="1" x14ac:dyDescent="0.3">
      <c r="A100" s="9" t="s">
        <v>99</v>
      </c>
      <c r="B100" s="9" t="s">
        <v>56</v>
      </c>
      <c r="C100" s="9" t="s">
        <v>71</v>
      </c>
      <c r="D100" s="9" t="s">
        <v>58</v>
      </c>
      <c r="E100" s="9" t="s">
        <v>72</v>
      </c>
      <c r="F100" s="9" t="s">
        <v>60</v>
      </c>
      <c r="G100" s="9" t="s">
        <v>61</v>
      </c>
      <c r="H100" s="9" t="s">
        <v>2278</v>
      </c>
      <c r="I100" s="9" t="s">
        <v>62</v>
      </c>
      <c r="J100" s="9" t="s">
        <v>315</v>
      </c>
      <c r="K100" s="9" t="s">
        <v>73</v>
      </c>
      <c r="L100" s="9" t="s">
        <v>64</v>
      </c>
      <c r="M100" s="9" t="s">
        <v>65</v>
      </c>
      <c r="N100" s="9" t="s">
        <v>65</v>
      </c>
      <c r="O100" s="10" t="e">
        <f>#REF!-#REF!+1</f>
        <v>#REF!</v>
      </c>
      <c r="P100" s="11">
        <f>X100*1000/W100</f>
        <v>318569.74746666674</v>
      </c>
      <c r="Q100" s="12">
        <v>0</v>
      </c>
      <c r="R100" s="13">
        <v>0.85</v>
      </c>
      <c r="S100" s="11">
        <f>P100*R100</f>
        <v>270784.2853466667</v>
      </c>
      <c r="T100" s="11">
        <f>P100*Q100</f>
        <v>0</v>
      </c>
      <c r="U100" s="11">
        <f>P100/V100</f>
        <v>53094.957911111123</v>
      </c>
      <c r="V100" s="152">
        <v>6</v>
      </c>
      <c r="W100" s="15">
        <v>450</v>
      </c>
      <c r="X100" s="16">
        <v>143356.38636000003</v>
      </c>
      <c r="Y100" s="16">
        <f t="shared" si="44"/>
        <v>450</v>
      </c>
      <c r="Z100" s="16">
        <f>IFERROR(X100/T100, 0)</f>
        <v>0</v>
      </c>
      <c r="AA100" s="207">
        <f t="shared" si="37"/>
        <v>0.25333981253512322</v>
      </c>
      <c r="AB100" s="11">
        <f>'Audience Sizing'!H8</f>
        <v>209580</v>
      </c>
      <c r="AC100" s="17">
        <v>45385</v>
      </c>
      <c r="AD100" s="17">
        <v>45424</v>
      </c>
      <c r="AH100" s="262"/>
      <c r="AI100" s="263"/>
      <c r="AK100">
        <v>1.43</v>
      </c>
      <c r="AL100" s="262">
        <f>AK100*P100/1000</f>
        <v>455.55473887733342</v>
      </c>
      <c r="AM100" s="262">
        <f>AL100*5%</f>
        <v>22.777736943866671</v>
      </c>
      <c r="AN100" s="263">
        <f>AL100+AM100</f>
        <v>478.33247582120009</v>
      </c>
      <c r="AP100" s="263"/>
      <c r="AQ100" s="263"/>
      <c r="AT100" s="263"/>
    </row>
    <row r="101" spans="1:46" hidden="1" x14ac:dyDescent="0.3">
      <c r="A101" s="230" t="s">
        <v>100</v>
      </c>
      <c r="B101" s="234"/>
      <c r="C101" s="234"/>
      <c r="D101" s="234"/>
      <c r="E101" s="234"/>
      <c r="F101" s="234"/>
      <c r="G101" s="234"/>
      <c r="H101" s="234"/>
      <c r="I101" s="234"/>
      <c r="J101" s="234"/>
      <c r="K101" s="234"/>
      <c r="L101" s="234"/>
      <c r="M101" s="234"/>
      <c r="N101" s="234"/>
      <c r="O101" s="234"/>
      <c r="P101" s="235">
        <f>SUM(P97:P100)</f>
        <v>6347849.8245944297</v>
      </c>
      <c r="Q101" s="236">
        <f>T101/P101</f>
        <v>1.4516927703337745E-3</v>
      </c>
      <c r="R101" s="237">
        <f>S101/P101</f>
        <v>0.40080806431135185</v>
      </c>
      <c r="S101" s="235">
        <f>SUM(S97:S100)</f>
        <v>2544269.4007348479</v>
      </c>
      <c r="T101" s="235">
        <f>SUM(T97:T100)</f>
        <v>9215.1276975282526</v>
      </c>
      <c r="U101" s="235">
        <f>U98+U99*20%+SUM(U100:U100,U97)*50%</f>
        <v>923400.90413051576</v>
      </c>
      <c r="V101" s="238">
        <f>P101/U101</f>
        <v>6.8744245280673981</v>
      </c>
      <c r="W101" s="239"/>
      <c r="X101" s="240">
        <f>SUM(X97:X100)</f>
        <v>1138053.4062170908</v>
      </c>
      <c r="Y101" s="22">
        <f t="shared" si="44"/>
        <v>179.28171548856736</v>
      </c>
      <c r="Z101" s="22">
        <f>X101/T101</f>
        <v>123.49838695369871</v>
      </c>
      <c r="AA101" s="241">
        <f t="shared" ref="AA101:AA132" si="45">U101/AB101</f>
        <v>0.54094956305244035</v>
      </c>
      <c r="AB101" s="235">
        <f>'Audience Sizing'!C8</f>
        <v>1707000</v>
      </c>
      <c r="AC101" s="235"/>
      <c r="AD101" s="235"/>
    </row>
    <row r="102" spans="1:46" x14ac:dyDescent="0.3">
      <c r="A102" s="9" t="s">
        <v>99</v>
      </c>
      <c r="B102" s="9" t="s">
        <v>56</v>
      </c>
      <c r="C102" s="9" t="s">
        <v>57</v>
      </c>
      <c r="D102" s="9" t="s">
        <v>58</v>
      </c>
      <c r="E102" s="9" t="s">
        <v>75</v>
      </c>
      <c r="F102" s="9" t="s">
        <v>60</v>
      </c>
      <c r="G102" s="9" t="s">
        <v>61</v>
      </c>
      <c r="H102" s="9" t="s">
        <v>2278</v>
      </c>
      <c r="I102" s="9" t="s">
        <v>76</v>
      </c>
      <c r="J102" s="9" t="s">
        <v>312</v>
      </c>
      <c r="K102" s="9" t="s">
        <v>77</v>
      </c>
      <c r="L102" s="9" t="s">
        <v>64</v>
      </c>
      <c r="M102" s="9" t="s">
        <v>65</v>
      </c>
      <c r="N102" s="9" t="s">
        <v>66</v>
      </c>
      <c r="O102" s="10" t="e">
        <f>#REF!-#REF!+1</f>
        <v>#REF!</v>
      </c>
      <c r="P102" s="11">
        <f t="shared" ref="P102:P113" si="46">X102*1000/W102</f>
        <v>1412658.5759999999</v>
      </c>
      <c r="Q102" s="12"/>
      <c r="R102" s="13">
        <v>0.75</v>
      </c>
      <c r="S102" s="11">
        <f t="shared" ref="S102:S113" si="47">P102*R102</f>
        <v>1059493.932</v>
      </c>
      <c r="T102" s="11">
        <f t="shared" ref="T102:T113" si="48">P102*Q102</f>
        <v>0</v>
      </c>
      <c r="U102" s="11">
        <f t="shared" ref="U102:U113" si="49">P102/V102</f>
        <v>235443.09599999999</v>
      </c>
      <c r="V102" s="152">
        <v>6</v>
      </c>
      <c r="W102" s="15">
        <v>125</v>
      </c>
      <c r="X102" s="16">
        <v>176582.32200000001</v>
      </c>
      <c r="Y102" s="16">
        <f t="shared" si="44"/>
        <v>125.00000000000003</v>
      </c>
      <c r="Z102" s="16">
        <f t="shared" ref="Z102:Z113" si="50">IFERROR(X102/T102, 0)</f>
        <v>0</v>
      </c>
      <c r="AA102" s="207">
        <f t="shared" si="45"/>
        <v>0.4221929861368881</v>
      </c>
      <c r="AB102" s="11">
        <f>'Audience Sizing'!F8</f>
        <v>557667</v>
      </c>
      <c r="AC102" s="17">
        <v>45390</v>
      </c>
      <c r="AD102" s="17">
        <v>45473</v>
      </c>
      <c r="AE102" s="17"/>
      <c r="AF102">
        <v>2.13</v>
      </c>
      <c r="AG102" s="262">
        <f>AF102*P102/1000</f>
        <v>3008.9627668799994</v>
      </c>
      <c r="AH102" s="262">
        <f>AG102*5%</f>
        <v>150.44813834399997</v>
      </c>
      <c r="AI102" s="263">
        <f>AG102+AH102</f>
        <v>3159.4109052239992</v>
      </c>
      <c r="AK102">
        <v>1.43</v>
      </c>
      <c r="AL102" s="262">
        <f>AK102*P102/1000</f>
        <v>2020.1017636799997</v>
      </c>
      <c r="AM102" s="262">
        <f>AL102*5%</f>
        <v>101.00508818399999</v>
      </c>
      <c r="AN102" s="263">
        <f>SUM(AL102:AM102)</f>
        <v>2121.1068518639995</v>
      </c>
      <c r="AO102" s="409"/>
      <c r="AP102" s="263"/>
      <c r="AQ102" s="89"/>
      <c r="AT102" s="262"/>
    </row>
    <row r="103" spans="1:46" x14ac:dyDescent="0.3">
      <c r="A103" s="9" t="s">
        <v>99</v>
      </c>
      <c r="B103" s="9" t="s">
        <v>56</v>
      </c>
      <c r="C103" s="9" t="s">
        <v>57</v>
      </c>
      <c r="D103" s="9" t="s">
        <v>67</v>
      </c>
      <c r="E103" s="9" t="s">
        <v>75</v>
      </c>
      <c r="F103" s="9" t="s">
        <v>60</v>
      </c>
      <c r="G103" s="9" t="s">
        <v>68</v>
      </c>
      <c r="H103" s="9" t="s">
        <v>2278</v>
      </c>
      <c r="I103" s="9" t="s">
        <v>76</v>
      </c>
      <c r="J103" s="9" t="s">
        <v>313</v>
      </c>
      <c r="K103" s="9" t="s">
        <v>77</v>
      </c>
      <c r="L103" s="9" t="s">
        <v>64</v>
      </c>
      <c r="M103" s="9" t="s">
        <v>65</v>
      </c>
      <c r="N103" s="9" t="s">
        <v>66</v>
      </c>
      <c r="O103" s="10" t="e">
        <f>#REF!-#REF!+1</f>
        <v>#REF!</v>
      </c>
      <c r="P103" s="11">
        <f t="shared" si="46"/>
        <v>7063292.8800000008</v>
      </c>
      <c r="Q103" s="12">
        <v>5.4999999999999997E-3</v>
      </c>
      <c r="R103" s="13">
        <v>0.75</v>
      </c>
      <c r="S103" s="11">
        <f t="shared" si="47"/>
        <v>5297469.66</v>
      </c>
      <c r="T103" s="11">
        <f t="shared" si="48"/>
        <v>38848.110840000001</v>
      </c>
      <c r="U103" s="11">
        <f t="shared" si="49"/>
        <v>588607.74000000011</v>
      </c>
      <c r="V103" s="152">
        <v>12</v>
      </c>
      <c r="W103" s="15">
        <v>115</v>
      </c>
      <c r="X103" s="16">
        <v>812278.68119999999</v>
      </c>
      <c r="Y103" s="16">
        <f t="shared" si="44"/>
        <v>114.99999999999999</v>
      </c>
      <c r="Z103" s="16">
        <f t="shared" si="50"/>
        <v>20.909090909090907</v>
      </c>
      <c r="AA103" s="207">
        <f t="shared" si="45"/>
        <v>0.34756858129992252</v>
      </c>
      <c r="AB103" s="11">
        <f>'Audience Sizing'!E8</f>
        <v>1693501</v>
      </c>
      <c r="AC103" s="17">
        <v>45390</v>
      </c>
      <c r="AD103" s="17">
        <v>45473</v>
      </c>
      <c r="AE103" s="17"/>
      <c r="AF103">
        <v>2.13</v>
      </c>
      <c r="AG103" s="262">
        <f>AF103*P103/1000</f>
        <v>15044.813834400002</v>
      </c>
      <c r="AH103" s="262">
        <f>AG103*5%</f>
        <v>752.24069172000009</v>
      </c>
      <c r="AI103" s="263">
        <f>AG103+AH103</f>
        <v>15797.054526120002</v>
      </c>
      <c r="AK103">
        <v>1.43</v>
      </c>
      <c r="AL103" s="262">
        <f>AK103*P103/1000</f>
        <v>10100.508818400001</v>
      </c>
      <c r="AM103" s="262">
        <f>AL103*5%</f>
        <v>505.02544092000011</v>
      </c>
      <c r="AN103" s="263">
        <f>SUM(AL103:AM103)</f>
        <v>10605.534259320002</v>
      </c>
      <c r="AO103" s="409"/>
      <c r="AP103" s="263"/>
      <c r="AQ103" s="89"/>
      <c r="AT103" s="262"/>
    </row>
    <row r="104" spans="1:46" x14ac:dyDescent="0.3">
      <c r="A104" s="9" t="s">
        <v>99</v>
      </c>
      <c r="B104" s="9" t="s">
        <v>56</v>
      </c>
      <c r="C104" s="9" t="s">
        <v>57</v>
      </c>
      <c r="D104" s="9" t="s">
        <v>67</v>
      </c>
      <c r="E104" s="9" t="s">
        <v>75</v>
      </c>
      <c r="F104" s="9" t="s">
        <v>60</v>
      </c>
      <c r="G104" s="9" t="s">
        <v>69</v>
      </c>
      <c r="H104" s="9" t="s">
        <v>2278</v>
      </c>
      <c r="I104" s="9" t="s">
        <v>76</v>
      </c>
      <c r="J104" s="9" t="s">
        <v>314</v>
      </c>
      <c r="K104" s="9" t="s">
        <v>77</v>
      </c>
      <c r="L104" s="9" t="s">
        <v>64</v>
      </c>
      <c r="M104" s="9" t="s">
        <v>65</v>
      </c>
      <c r="N104" s="9" t="s">
        <v>66</v>
      </c>
      <c r="O104" s="10" t="e">
        <f>#REF!-#REF!+1</f>
        <v>#REF!</v>
      </c>
      <c r="P104" s="11">
        <f t="shared" si="46"/>
        <v>7063292.8800000008</v>
      </c>
      <c r="Q104" s="12">
        <v>5.4999999999999997E-3</v>
      </c>
      <c r="R104" s="13">
        <v>0.75</v>
      </c>
      <c r="S104" s="11">
        <f t="shared" si="47"/>
        <v>5297469.66</v>
      </c>
      <c r="T104" s="11">
        <f t="shared" si="48"/>
        <v>38848.110840000001</v>
      </c>
      <c r="U104" s="11">
        <f t="shared" si="49"/>
        <v>588607.74000000011</v>
      </c>
      <c r="V104" s="152">
        <v>12</v>
      </c>
      <c r="W104" s="15">
        <v>115</v>
      </c>
      <c r="X104" s="16">
        <v>812278.68119999999</v>
      </c>
      <c r="Y104" s="16">
        <f t="shared" si="44"/>
        <v>114.99999999999999</v>
      </c>
      <c r="Z104" s="16">
        <f t="shared" si="50"/>
        <v>20.909090909090907</v>
      </c>
      <c r="AA104" s="221">
        <f t="shared" si="45"/>
        <v>0.34756858129992252</v>
      </c>
      <c r="AB104" s="11">
        <f>'Audience Sizing'!E8</f>
        <v>1693501</v>
      </c>
      <c r="AC104" s="17">
        <v>45390</v>
      </c>
      <c r="AD104" s="17">
        <v>45473</v>
      </c>
      <c r="AE104" s="17"/>
      <c r="AF104">
        <v>2.13</v>
      </c>
      <c r="AG104" s="262">
        <f>AF104*P104/1000</f>
        <v>15044.813834400002</v>
      </c>
      <c r="AH104" s="262">
        <f>AG104*5%</f>
        <v>752.24069172000009</v>
      </c>
      <c r="AI104" s="263">
        <f>AG104+AH104</f>
        <v>15797.054526120002</v>
      </c>
      <c r="AK104">
        <v>1.43</v>
      </c>
      <c r="AL104" s="262">
        <f>AK104*P104/1000</f>
        <v>10100.508818400001</v>
      </c>
      <c r="AM104" s="262">
        <f>AL104*5%</f>
        <v>505.02544092000011</v>
      </c>
      <c r="AN104" s="263">
        <f>SUM(AL104:AM104)</f>
        <v>10605.534259320002</v>
      </c>
      <c r="AO104" s="409"/>
      <c r="AP104" s="263"/>
      <c r="AQ104" s="89"/>
      <c r="AT104" s="262"/>
    </row>
    <row r="105" spans="1:46" hidden="1" x14ac:dyDescent="0.3">
      <c r="A105" s="9" t="s">
        <v>99</v>
      </c>
      <c r="B105" s="9" t="s">
        <v>56</v>
      </c>
      <c r="C105" s="9" t="s">
        <v>71</v>
      </c>
      <c r="D105" s="9" t="s">
        <v>58</v>
      </c>
      <c r="E105" s="9" t="s">
        <v>72</v>
      </c>
      <c r="F105" s="9" t="s">
        <v>60</v>
      </c>
      <c r="G105" s="9" t="s">
        <v>61</v>
      </c>
      <c r="H105" s="9" t="s">
        <v>2278</v>
      </c>
      <c r="I105" s="9" t="s">
        <v>76</v>
      </c>
      <c r="J105" s="9" t="s">
        <v>315</v>
      </c>
      <c r="K105" s="9" t="s">
        <v>73</v>
      </c>
      <c r="L105" s="9" t="s">
        <v>64</v>
      </c>
      <c r="M105" s="9" t="s">
        <v>65</v>
      </c>
      <c r="N105" s="9" t="s">
        <v>65</v>
      </c>
      <c r="O105" s="10" t="e">
        <f>#REF!-#REF!+1</f>
        <v>#REF!</v>
      </c>
      <c r="P105" s="11">
        <f t="shared" si="46"/>
        <v>423797.57279999997</v>
      </c>
      <c r="Q105" s="12">
        <v>0</v>
      </c>
      <c r="R105" s="13">
        <v>0.85</v>
      </c>
      <c r="S105" s="11">
        <f t="shared" si="47"/>
        <v>360227.93687999994</v>
      </c>
      <c r="T105" s="11">
        <f t="shared" si="48"/>
        <v>0</v>
      </c>
      <c r="U105" s="11">
        <f t="shared" si="49"/>
        <v>70632.928799999994</v>
      </c>
      <c r="V105" s="152">
        <v>6</v>
      </c>
      <c r="W105" s="15">
        <v>250</v>
      </c>
      <c r="X105" s="16">
        <v>105949.39319999999</v>
      </c>
      <c r="Y105" s="16">
        <f t="shared" si="44"/>
        <v>250</v>
      </c>
      <c r="Z105" s="16">
        <f t="shared" si="50"/>
        <v>0</v>
      </c>
      <c r="AA105" s="221">
        <f t="shared" si="45"/>
        <v>0.33702132264529056</v>
      </c>
      <c r="AB105" s="11">
        <f>'Audience Sizing'!H8</f>
        <v>209580</v>
      </c>
      <c r="AC105" s="17">
        <v>45390</v>
      </c>
      <c r="AD105" s="17">
        <v>45473</v>
      </c>
      <c r="AE105" s="17"/>
      <c r="AG105" s="262"/>
      <c r="AH105" s="263"/>
      <c r="AK105">
        <v>1.43</v>
      </c>
      <c r="AL105" s="262">
        <f>AK105*P105/1000</f>
        <v>606.03052910399992</v>
      </c>
      <c r="AM105" s="262">
        <f>AL105*5%</f>
        <v>30.301526455199998</v>
      </c>
      <c r="AN105" s="263">
        <f>AL105+AM105</f>
        <v>636.33205555919994</v>
      </c>
      <c r="AO105" s="409"/>
      <c r="AP105" s="263"/>
      <c r="AQ105" s="263"/>
      <c r="AR105" s="262"/>
      <c r="AS105" s="263"/>
      <c r="AT105" s="263"/>
    </row>
    <row r="106" spans="1:46" hidden="1" x14ac:dyDescent="0.3">
      <c r="A106" s="9" t="s">
        <v>99</v>
      </c>
      <c r="B106" s="9" t="s">
        <v>56</v>
      </c>
      <c r="C106" s="9" t="s">
        <v>71</v>
      </c>
      <c r="D106" s="9" t="s">
        <v>67</v>
      </c>
      <c r="E106" s="9" t="s">
        <v>72</v>
      </c>
      <c r="F106" s="9" t="s">
        <v>60</v>
      </c>
      <c r="G106" s="9" t="s">
        <v>68</v>
      </c>
      <c r="H106" s="9" t="s">
        <v>2278</v>
      </c>
      <c r="I106" s="9" t="s">
        <v>76</v>
      </c>
      <c r="J106" s="9" t="s">
        <v>2335</v>
      </c>
      <c r="K106" s="9" t="s">
        <v>73</v>
      </c>
      <c r="L106" s="9" t="s">
        <v>64</v>
      </c>
      <c r="M106" s="9" t="s">
        <v>65</v>
      </c>
      <c r="N106" s="9" t="s">
        <v>65</v>
      </c>
      <c r="O106" s="10" t="e">
        <f>#REF!-#REF!+1</f>
        <v>#REF!</v>
      </c>
      <c r="P106" s="11">
        <f t="shared" si="46"/>
        <v>278050</v>
      </c>
      <c r="Q106" s="12">
        <v>1.2E-2</v>
      </c>
      <c r="R106" s="13">
        <v>0.85</v>
      </c>
      <c r="S106" s="11">
        <f t="shared" si="47"/>
        <v>236342.5</v>
      </c>
      <c r="T106" s="11">
        <f t="shared" si="48"/>
        <v>3336.6</v>
      </c>
      <c r="U106" s="11">
        <f t="shared" si="49"/>
        <v>55610</v>
      </c>
      <c r="V106" s="152">
        <v>5</v>
      </c>
      <c r="W106" s="15">
        <v>200</v>
      </c>
      <c r="X106" s="16">
        <v>55610</v>
      </c>
      <c r="Y106" s="16">
        <f t="shared" si="44"/>
        <v>200</v>
      </c>
      <c r="Z106" s="16">
        <f t="shared" si="50"/>
        <v>16.666666666666668</v>
      </c>
      <c r="AA106" s="221">
        <f t="shared" si="45"/>
        <v>1.5551377573520878E-2</v>
      </c>
      <c r="AB106" s="11">
        <f>'Audience Sizing'!G8</f>
        <v>3575889</v>
      </c>
      <c r="AC106" s="17">
        <v>45390</v>
      </c>
      <c r="AD106" s="17">
        <v>45404</v>
      </c>
      <c r="AG106" s="262"/>
      <c r="AH106" s="263"/>
      <c r="AL106" s="262"/>
      <c r="AM106" s="262"/>
      <c r="AN106" s="263"/>
      <c r="AP106" s="263"/>
      <c r="AQ106" s="263"/>
    </row>
    <row r="107" spans="1:46" hidden="1" x14ac:dyDescent="0.3">
      <c r="A107" s="9" t="s">
        <v>99</v>
      </c>
      <c r="B107" s="9" t="s">
        <v>56</v>
      </c>
      <c r="C107" s="9" t="s">
        <v>71</v>
      </c>
      <c r="D107" s="9" t="s">
        <v>67</v>
      </c>
      <c r="E107" s="9" t="s">
        <v>72</v>
      </c>
      <c r="F107" s="9" t="s">
        <v>60</v>
      </c>
      <c r="G107" s="9" t="s">
        <v>68</v>
      </c>
      <c r="H107" s="9" t="s">
        <v>2278</v>
      </c>
      <c r="I107" s="9" t="s">
        <v>76</v>
      </c>
      <c r="J107" s="9" t="s">
        <v>2298</v>
      </c>
      <c r="K107" s="9" t="s">
        <v>73</v>
      </c>
      <c r="L107" s="9" t="s">
        <v>64</v>
      </c>
      <c r="M107" s="9" t="s">
        <v>65</v>
      </c>
      <c r="N107" s="9" t="s">
        <v>65</v>
      </c>
      <c r="O107" s="10" t="e">
        <f>#REF!-#REF!+1</f>
        <v>#REF!</v>
      </c>
      <c r="P107" s="11">
        <f t="shared" si="46"/>
        <v>625155.14559999993</v>
      </c>
      <c r="Q107" s="12">
        <v>1.2E-2</v>
      </c>
      <c r="R107" s="13">
        <v>0.85</v>
      </c>
      <c r="S107" s="11">
        <f t="shared" si="47"/>
        <v>531381.87375999987</v>
      </c>
      <c r="T107" s="11">
        <f t="shared" si="48"/>
        <v>7501.8617471999996</v>
      </c>
      <c r="U107" s="11">
        <f t="shared" si="49"/>
        <v>125031.02911999999</v>
      </c>
      <c r="V107" s="152">
        <v>5</v>
      </c>
      <c r="W107" s="15">
        <v>200</v>
      </c>
      <c r="X107" s="16">
        <v>125031.02911999999</v>
      </c>
      <c r="Y107" s="16">
        <f t="shared" si="44"/>
        <v>200</v>
      </c>
      <c r="Z107" s="16">
        <f t="shared" si="50"/>
        <v>16.666666666666668</v>
      </c>
      <c r="AA107" s="221">
        <f t="shared" si="45"/>
        <v>3.4965019641269621E-2</v>
      </c>
      <c r="AB107" s="11">
        <f>'Audience Sizing'!G8</f>
        <v>3575889</v>
      </c>
      <c r="AC107" s="17">
        <v>45390</v>
      </c>
      <c r="AD107" s="17">
        <v>45473</v>
      </c>
      <c r="AE107" s="17"/>
      <c r="AG107" s="262"/>
      <c r="AH107" s="263"/>
      <c r="AK107">
        <v>1.43</v>
      </c>
      <c r="AL107" s="262">
        <f>AK107*P107/1000</f>
        <v>893.97185820799984</v>
      </c>
      <c r="AM107" s="262">
        <f>AL107*5%</f>
        <v>44.698592910399995</v>
      </c>
      <c r="AN107" s="263">
        <f>AL107+AM107</f>
        <v>938.6704511183998</v>
      </c>
      <c r="AO107" s="409"/>
      <c r="AP107" s="263"/>
      <c r="AQ107" s="263"/>
      <c r="AR107" s="262"/>
      <c r="AS107" s="263"/>
      <c r="AT107" s="263"/>
    </row>
    <row r="108" spans="1:46" hidden="1" x14ac:dyDescent="0.3">
      <c r="A108" s="9" t="s">
        <v>99</v>
      </c>
      <c r="B108" s="9" t="s">
        <v>56</v>
      </c>
      <c r="C108" s="9" t="s">
        <v>71</v>
      </c>
      <c r="D108" s="9" t="s">
        <v>67</v>
      </c>
      <c r="E108" s="9" t="s">
        <v>72</v>
      </c>
      <c r="F108" s="9" t="s">
        <v>60</v>
      </c>
      <c r="G108" s="9" t="s">
        <v>68</v>
      </c>
      <c r="H108" s="9" t="s">
        <v>2278</v>
      </c>
      <c r="I108" s="9" t="s">
        <v>76</v>
      </c>
      <c r="J108" s="9" t="s">
        <v>2299</v>
      </c>
      <c r="K108" s="9" t="s">
        <v>73</v>
      </c>
      <c r="L108" s="9" t="s">
        <v>64</v>
      </c>
      <c r="M108" s="9" t="s">
        <v>65</v>
      </c>
      <c r="N108" s="9" t="s">
        <v>65</v>
      </c>
      <c r="O108" s="10" t="e">
        <f>#REF!-#REF!+1</f>
        <v>#REF!</v>
      </c>
      <c r="P108" s="11">
        <f t="shared" si="46"/>
        <v>260481.31066666657</v>
      </c>
      <c r="Q108" s="12">
        <v>1.2E-2</v>
      </c>
      <c r="R108" s="13">
        <v>0.85</v>
      </c>
      <c r="S108" s="11">
        <f t="shared" si="47"/>
        <v>221409.11406666657</v>
      </c>
      <c r="T108" s="11">
        <f t="shared" si="48"/>
        <v>3125.7757279999987</v>
      </c>
      <c r="U108" s="11">
        <f t="shared" si="49"/>
        <v>52096.262133333315</v>
      </c>
      <c r="V108" s="152">
        <v>5</v>
      </c>
      <c r="W108" s="15">
        <f>200*60%</f>
        <v>120</v>
      </c>
      <c r="X108" s="16">
        <v>31257.757279999991</v>
      </c>
      <c r="Y108" s="16">
        <f t="shared" si="44"/>
        <v>120.00000000000001</v>
      </c>
      <c r="Z108" s="16">
        <f t="shared" si="50"/>
        <v>10.000000000000002</v>
      </c>
      <c r="AA108" s="221">
        <f t="shared" si="45"/>
        <v>1.456875818386234E-2</v>
      </c>
      <c r="AB108" s="11">
        <f>'Audience Sizing'!G8</f>
        <v>3575889</v>
      </c>
      <c r="AC108" s="17">
        <v>45406</v>
      </c>
      <c r="AD108" s="17">
        <v>45473</v>
      </c>
      <c r="AE108" s="17"/>
      <c r="AG108" s="262"/>
      <c r="AH108" s="263"/>
      <c r="AK108">
        <v>1.43</v>
      </c>
      <c r="AL108" s="262">
        <f>AK108*P108/1000</f>
        <v>372.48827425333315</v>
      </c>
      <c r="AM108" s="262">
        <f>AL108*5%</f>
        <v>18.624413712666659</v>
      </c>
      <c r="AN108" s="263">
        <f>AL108+AM108</f>
        <v>391.11268796599978</v>
      </c>
      <c r="AO108" s="409"/>
      <c r="AP108" s="263"/>
      <c r="AQ108" s="263"/>
      <c r="AR108" s="262"/>
      <c r="AS108" s="263"/>
      <c r="AT108" s="263"/>
    </row>
    <row r="109" spans="1:46" hidden="1" x14ac:dyDescent="0.3">
      <c r="A109" s="9" t="s">
        <v>99</v>
      </c>
      <c r="B109" s="9" t="s">
        <v>56</v>
      </c>
      <c r="C109" s="9" t="s">
        <v>71</v>
      </c>
      <c r="D109" s="9" t="s">
        <v>67</v>
      </c>
      <c r="E109" s="9" t="s">
        <v>72</v>
      </c>
      <c r="F109" s="9" t="s">
        <v>60</v>
      </c>
      <c r="G109" s="9" t="s">
        <v>69</v>
      </c>
      <c r="H109" s="9" t="s">
        <v>2278</v>
      </c>
      <c r="I109" s="9" t="s">
        <v>76</v>
      </c>
      <c r="J109" s="9" t="s">
        <v>2336</v>
      </c>
      <c r="K109" s="9" t="s">
        <v>73</v>
      </c>
      <c r="L109" s="9" t="s">
        <v>64</v>
      </c>
      <c r="M109" s="9" t="s">
        <v>65</v>
      </c>
      <c r="N109" s="9" t="s">
        <v>65</v>
      </c>
      <c r="O109" s="10" t="e">
        <f>#REF!-#REF!+1</f>
        <v>#REF!</v>
      </c>
      <c r="P109" s="11">
        <f t="shared" si="46"/>
        <v>261635</v>
      </c>
      <c r="Q109" s="12">
        <v>1.2E-2</v>
      </c>
      <c r="R109" s="13">
        <v>0.85</v>
      </c>
      <c r="S109" s="11">
        <f t="shared" si="47"/>
        <v>222389.75</v>
      </c>
      <c r="T109" s="11">
        <f t="shared" si="48"/>
        <v>3139.62</v>
      </c>
      <c r="U109" s="11">
        <f t="shared" si="49"/>
        <v>52327</v>
      </c>
      <c r="V109" s="152">
        <v>5</v>
      </c>
      <c r="W109" s="15">
        <v>200</v>
      </c>
      <c r="X109" s="16">
        <v>52327</v>
      </c>
      <c r="Y109" s="16">
        <f t="shared" si="44"/>
        <v>200</v>
      </c>
      <c r="Z109" s="16">
        <f t="shared" si="50"/>
        <v>16.666666666666668</v>
      </c>
      <c r="AA109" s="221">
        <f t="shared" si="45"/>
        <v>1.4633284198698561E-2</v>
      </c>
      <c r="AB109" s="11">
        <f>'Audience Sizing'!G8</f>
        <v>3575889</v>
      </c>
      <c r="AC109" s="17">
        <v>45390</v>
      </c>
      <c r="AD109" s="17">
        <v>45404</v>
      </c>
      <c r="AG109" s="262"/>
      <c r="AH109" s="263"/>
      <c r="AL109" s="262"/>
      <c r="AM109" s="262"/>
      <c r="AN109" s="263"/>
      <c r="AP109" s="263"/>
      <c r="AQ109" s="263"/>
    </row>
    <row r="110" spans="1:46" hidden="1" x14ac:dyDescent="0.3">
      <c r="A110" s="9" t="s">
        <v>99</v>
      </c>
      <c r="B110" s="9" t="s">
        <v>56</v>
      </c>
      <c r="C110" s="9" t="s">
        <v>71</v>
      </c>
      <c r="D110" s="9" t="s">
        <v>67</v>
      </c>
      <c r="E110" s="9" t="s">
        <v>72</v>
      </c>
      <c r="F110" s="9" t="s">
        <v>60</v>
      </c>
      <c r="G110" s="9" t="s">
        <v>69</v>
      </c>
      <c r="H110" s="9" t="s">
        <v>2278</v>
      </c>
      <c r="I110" s="9" t="s">
        <v>76</v>
      </c>
      <c r="J110" s="9" t="s">
        <v>2334</v>
      </c>
      <c r="K110" s="9" t="s">
        <v>73</v>
      </c>
      <c r="L110" s="9" t="s">
        <v>64</v>
      </c>
      <c r="M110" s="9" t="s">
        <v>65</v>
      </c>
      <c r="N110" s="9" t="s">
        <v>65</v>
      </c>
      <c r="O110" s="10" t="e">
        <f>#REF!-#REF!+1</f>
        <v>#REF!</v>
      </c>
      <c r="P110" s="11">
        <f t="shared" si="46"/>
        <v>638287.14559999993</v>
      </c>
      <c r="Q110" s="12">
        <v>1.2E-2</v>
      </c>
      <c r="R110" s="13">
        <v>0.85</v>
      </c>
      <c r="S110" s="11">
        <f t="shared" si="47"/>
        <v>542544.07375999994</v>
      </c>
      <c r="T110" s="11">
        <f t="shared" si="48"/>
        <v>7659.4457471999995</v>
      </c>
      <c r="U110" s="11">
        <f t="shared" si="49"/>
        <v>127657.42911999999</v>
      </c>
      <c r="V110" s="152">
        <v>5</v>
      </c>
      <c r="W110" s="15">
        <v>200</v>
      </c>
      <c r="X110" s="16">
        <v>127657.42911999999</v>
      </c>
      <c r="Y110" s="16">
        <f t="shared" si="44"/>
        <v>200</v>
      </c>
      <c r="Z110" s="16">
        <f t="shared" si="50"/>
        <v>16.666666666666664</v>
      </c>
      <c r="AA110" s="221">
        <f t="shared" si="45"/>
        <v>3.5699494341127472E-2</v>
      </c>
      <c r="AB110" s="11">
        <f>'Audience Sizing'!G8</f>
        <v>3575889</v>
      </c>
      <c r="AC110" s="17">
        <v>45390</v>
      </c>
      <c r="AD110" s="17">
        <v>45473</v>
      </c>
      <c r="AE110" s="17"/>
      <c r="AG110" s="262"/>
      <c r="AH110" s="263"/>
      <c r="AK110">
        <v>1.43</v>
      </c>
      <c r="AL110" s="262">
        <f>AK110*P110/1000</f>
        <v>912.75061820799988</v>
      </c>
      <c r="AM110" s="262">
        <f>AL110*5%</f>
        <v>45.637530910399995</v>
      </c>
      <c r="AN110" s="263">
        <f>AL110+AM110</f>
        <v>958.38814911839984</v>
      </c>
      <c r="AO110" s="409"/>
      <c r="AP110" s="263"/>
      <c r="AQ110" s="263"/>
      <c r="AR110" s="262"/>
      <c r="AS110" s="263"/>
      <c r="AT110" s="263"/>
    </row>
    <row r="111" spans="1:46" hidden="1" x14ac:dyDescent="0.3">
      <c r="A111" s="9" t="s">
        <v>99</v>
      </c>
      <c r="B111" s="9" t="s">
        <v>56</v>
      </c>
      <c r="C111" s="9" t="s">
        <v>71</v>
      </c>
      <c r="D111" s="9" t="s">
        <v>67</v>
      </c>
      <c r="E111" s="9" t="s">
        <v>72</v>
      </c>
      <c r="F111" s="9" t="s">
        <v>60</v>
      </c>
      <c r="G111" s="9" t="s">
        <v>69</v>
      </c>
      <c r="H111" s="9" t="s">
        <v>2278</v>
      </c>
      <c r="I111" s="9" t="s">
        <v>76</v>
      </c>
      <c r="J111" s="9" t="s">
        <v>2300</v>
      </c>
      <c r="K111" s="9" t="s">
        <v>73</v>
      </c>
      <c r="L111" s="9" t="s">
        <v>64</v>
      </c>
      <c r="M111" s="9" t="s">
        <v>65</v>
      </c>
      <c r="N111" s="9" t="s">
        <v>65</v>
      </c>
      <c r="O111" s="10" t="e">
        <f>#REF!-#REF!+1</f>
        <v>#REF!</v>
      </c>
      <c r="P111" s="11">
        <f t="shared" si="46"/>
        <v>265952.97733333329</v>
      </c>
      <c r="Q111" s="12">
        <v>1.2E-2</v>
      </c>
      <c r="R111" s="13">
        <v>0.85</v>
      </c>
      <c r="S111" s="11">
        <f t="shared" si="47"/>
        <v>226060.03073333329</v>
      </c>
      <c r="T111" s="11">
        <f t="shared" si="48"/>
        <v>3191.4357279999995</v>
      </c>
      <c r="U111" s="11">
        <f t="shared" si="49"/>
        <v>53190.595466666658</v>
      </c>
      <c r="V111" s="152">
        <v>5</v>
      </c>
      <c r="W111" s="15">
        <f>200*60%</f>
        <v>120</v>
      </c>
      <c r="X111" s="16">
        <v>31914.357279999997</v>
      </c>
      <c r="Y111" s="16">
        <f t="shared" si="44"/>
        <v>120.00000000000001</v>
      </c>
      <c r="Z111" s="16">
        <f t="shared" si="50"/>
        <v>10</v>
      </c>
      <c r="AA111" s="221">
        <f t="shared" si="45"/>
        <v>1.4874789308803114E-2</v>
      </c>
      <c r="AB111" s="11">
        <f>'Audience Sizing'!G8</f>
        <v>3575889</v>
      </c>
      <c r="AC111" s="17">
        <v>45406</v>
      </c>
      <c r="AD111" s="17">
        <v>45473</v>
      </c>
      <c r="AE111" s="17"/>
      <c r="AG111" s="262"/>
      <c r="AH111" s="263"/>
      <c r="AK111">
        <v>1.43</v>
      </c>
      <c r="AL111" s="262">
        <f>AK111*P111/1000</f>
        <v>380.31275758666658</v>
      </c>
      <c r="AM111" s="262">
        <f>AL111*5%</f>
        <v>19.01563787933333</v>
      </c>
      <c r="AN111" s="263">
        <f>AL111+AM111</f>
        <v>399.3283954659999</v>
      </c>
      <c r="AO111" s="409"/>
      <c r="AP111" s="263"/>
      <c r="AQ111" s="263"/>
      <c r="AR111" s="262"/>
      <c r="AS111" s="263"/>
      <c r="AT111" s="263"/>
    </row>
    <row r="112" spans="1:46" x14ac:dyDescent="0.3">
      <c r="A112" s="9" t="s">
        <v>99</v>
      </c>
      <c r="B112" s="9" t="s">
        <v>56</v>
      </c>
      <c r="C112" s="9" t="s">
        <v>57</v>
      </c>
      <c r="D112" s="9" t="s">
        <v>67</v>
      </c>
      <c r="E112" s="9" t="s">
        <v>59</v>
      </c>
      <c r="F112" s="9" t="s">
        <v>60</v>
      </c>
      <c r="G112" s="9" t="s">
        <v>308</v>
      </c>
      <c r="H112" s="9" t="s">
        <v>2278</v>
      </c>
      <c r="I112" s="9" t="s">
        <v>78</v>
      </c>
      <c r="J112" s="9" t="s">
        <v>313</v>
      </c>
      <c r="K112" s="9" t="s">
        <v>73</v>
      </c>
      <c r="L112" s="9" t="s">
        <v>64</v>
      </c>
      <c r="M112" s="9" t="s">
        <v>65</v>
      </c>
      <c r="N112" s="9" t="s">
        <v>66</v>
      </c>
      <c r="O112" s="10" t="e">
        <f>#REF!-#REF!+1</f>
        <v>#REF!</v>
      </c>
      <c r="P112" s="11">
        <f t="shared" si="46"/>
        <v>6474685.1399999997</v>
      </c>
      <c r="Q112" s="12">
        <v>2E-3</v>
      </c>
      <c r="R112" s="13">
        <v>0.9</v>
      </c>
      <c r="S112" s="11">
        <f t="shared" si="47"/>
        <v>5827216.6260000002</v>
      </c>
      <c r="T112" s="11">
        <f t="shared" si="48"/>
        <v>12949.370279999999</v>
      </c>
      <c r="U112" s="11">
        <f t="shared" si="49"/>
        <v>1294937.0279999999</v>
      </c>
      <c r="V112" s="152">
        <v>5</v>
      </c>
      <c r="W112" s="15">
        <v>60</v>
      </c>
      <c r="X112" s="16">
        <v>388481.10839999997</v>
      </c>
      <c r="Y112" s="16">
        <f t="shared" si="44"/>
        <v>60</v>
      </c>
      <c r="Z112" s="16">
        <f t="shared" si="50"/>
        <v>30</v>
      </c>
      <c r="AA112" s="221">
        <f t="shared" si="45"/>
        <v>0.76465087885982941</v>
      </c>
      <c r="AB112" s="11">
        <f>'Audience Sizing'!E8</f>
        <v>1693501</v>
      </c>
      <c r="AC112" s="17">
        <v>45418</v>
      </c>
      <c r="AD112" s="17">
        <v>45473</v>
      </c>
      <c r="AE112" s="17"/>
      <c r="AF112">
        <v>2.13</v>
      </c>
      <c r="AG112" s="262">
        <f>AF112*P112/1000</f>
        <v>13791.079348199999</v>
      </c>
      <c r="AH112" s="262">
        <f>AG112*5%</f>
        <v>689.55396741000004</v>
      </c>
      <c r="AI112" s="263">
        <f>AG112+AH112</f>
        <v>14480.633315609999</v>
      </c>
      <c r="AK112">
        <v>1.43</v>
      </c>
      <c r="AL112" s="262">
        <f>AK112*P112/1000</f>
        <v>9258.7997501999998</v>
      </c>
      <c r="AM112" s="262">
        <f>AL112*5%</f>
        <v>462.93998751000004</v>
      </c>
      <c r="AN112" s="263">
        <f>SUM(AL112:AM112)</f>
        <v>9721.7397377100006</v>
      </c>
      <c r="AO112" s="409"/>
      <c r="AP112" s="263"/>
      <c r="AQ112" s="89"/>
      <c r="AT112" s="262"/>
    </row>
    <row r="113" spans="1:46" x14ac:dyDescent="0.3">
      <c r="A113" s="9" t="s">
        <v>99</v>
      </c>
      <c r="B113" s="9" t="s">
        <v>56</v>
      </c>
      <c r="C113" s="9" t="s">
        <v>57</v>
      </c>
      <c r="D113" s="9" t="s">
        <v>67</v>
      </c>
      <c r="E113" s="9" t="s">
        <v>59</v>
      </c>
      <c r="F113" s="9" t="s">
        <v>60</v>
      </c>
      <c r="G113" s="9" t="s">
        <v>307</v>
      </c>
      <c r="H113" s="9" t="s">
        <v>2278</v>
      </c>
      <c r="I113" s="9" t="s">
        <v>78</v>
      </c>
      <c r="J113" s="9" t="s">
        <v>314</v>
      </c>
      <c r="K113" s="9" t="s">
        <v>73</v>
      </c>
      <c r="L113" s="9" t="s">
        <v>64</v>
      </c>
      <c r="M113" s="9" t="s">
        <v>65</v>
      </c>
      <c r="N113" s="9" t="s">
        <v>66</v>
      </c>
      <c r="O113" s="10" t="e">
        <f>#REF!-#REF!+1</f>
        <v>#REF!</v>
      </c>
      <c r="P113" s="11">
        <f t="shared" si="46"/>
        <v>6474685.1399999997</v>
      </c>
      <c r="Q113" s="12">
        <v>2E-3</v>
      </c>
      <c r="R113" s="13">
        <v>0.9</v>
      </c>
      <c r="S113" s="11">
        <f t="shared" si="47"/>
        <v>5827216.6260000002</v>
      </c>
      <c r="T113" s="11">
        <f t="shared" si="48"/>
        <v>12949.370279999999</v>
      </c>
      <c r="U113" s="11">
        <f t="shared" si="49"/>
        <v>1294937.0279999999</v>
      </c>
      <c r="V113" s="152">
        <v>5</v>
      </c>
      <c r="W113" s="15">
        <v>60</v>
      </c>
      <c r="X113" s="16">
        <v>388481.10839999997</v>
      </c>
      <c r="Y113" s="16">
        <f t="shared" si="44"/>
        <v>60</v>
      </c>
      <c r="Z113" s="16">
        <f t="shared" si="50"/>
        <v>30</v>
      </c>
      <c r="AA113" s="221">
        <f t="shared" si="45"/>
        <v>0.76465087885982941</v>
      </c>
      <c r="AB113" s="11">
        <f>'Audience Sizing'!E8</f>
        <v>1693501</v>
      </c>
      <c r="AC113" s="17">
        <v>45418</v>
      </c>
      <c r="AD113" s="17">
        <v>45473</v>
      </c>
      <c r="AE113" s="17"/>
      <c r="AF113">
        <v>2.13</v>
      </c>
      <c r="AG113" s="262">
        <f>AF113*P113/1000</f>
        <v>13791.079348199999</v>
      </c>
      <c r="AH113" s="262">
        <f>AG113*5%</f>
        <v>689.55396741000004</v>
      </c>
      <c r="AI113" s="263">
        <f>AG113+AH113</f>
        <v>14480.633315609999</v>
      </c>
      <c r="AK113">
        <v>1.43</v>
      </c>
      <c r="AL113" s="262">
        <f>AK113*P113/1000</f>
        <v>9258.7997501999998</v>
      </c>
      <c r="AM113" s="262">
        <f>AL113*5%</f>
        <v>462.93998751000004</v>
      </c>
      <c r="AN113" s="263">
        <f>SUM(AL113:AM113)</f>
        <v>9721.7397377100006</v>
      </c>
      <c r="AO113" s="409"/>
      <c r="AP113" s="263"/>
      <c r="AQ113" s="89"/>
      <c r="AT113" s="262"/>
    </row>
    <row r="114" spans="1:46" hidden="1" x14ac:dyDescent="0.3">
      <c r="A114" s="230" t="s">
        <v>101</v>
      </c>
      <c r="B114" s="234"/>
      <c r="C114" s="234"/>
      <c r="D114" s="234"/>
      <c r="E114" s="234"/>
      <c r="F114" s="234"/>
      <c r="G114" s="234"/>
      <c r="H114" s="234"/>
      <c r="I114" s="234"/>
      <c r="J114" s="234"/>
      <c r="K114" s="234"/>
      <c r="L114" s="234"/>
      <c r="M114" s="234"/>
      <c r="N114" s="234"/>
      <c r="O114" s="234"/>
      <c r="P114" s="235">
        <f>SUM(P102:P113)</f>
        <v>31241973.767999999</v>
      </c>
      <c r="Q114" s="236">
        <f>T114/P114</f>
        <v>4.2106719046394406E-3</v>
      </c>
      <c r="R114" s="237">
        <f>S114/P114</f>
        <v>0.82098595862312496</v>
      </c>
      <c r="S114" s="235">
        <f>SUM(S102:S113)</f>
        <v>25649221.783200003</v>
      </c>
      <c r="T114" s="235">
        <f>SUM(T102:T113)</f>
        <v>131549.7011904</v>
      </c>
      <c r="U114" s="235">
        <f>U103+U104*20%+SUM(U105:U107,U102)*50%</f>
        <v>949687.81496000011</v>
      </c>
      <c r="V114" s="242">
        <f>P114/U114</f>
        <v>32.897098684282774</v>
      </c>
      <c r="W114" s="239"/>
      <c r="X114" s="240">
        <f>SUM(X102:X113)</f>
        <v>3107848.8671999997</v>
      </c>
      <c r="Y114" s="22">
        <f t="shared" si="44"/>
        <v>99.476713292143359</v>
      </c>
      <c r="Z114" s="22">
        <f>X114/T114</f>
        <v>23.624902520316777</v>
      </c>
      <c r="AA114" s="241">
        <f t="shared" si="45"/>
        <v>0.55634904215582903</v>
      </c>
      <c r="AB114" s="235">
        <f>'Audience Sizing'!C8</f>
        <v>1707000</v>
      </c>
      <c r="AC114" s="235"/>
      <c r="AD114" s="235"/>
    </row>
    <row r="115" spans="1:46" hidden="1" x14ac:dyDescent="0.3">
      <c r="A115" s="231" t="s">
        <v>102</v>
      </c>
      <c r="B115" s="243"/>
      <c r="C115" s="243"/>
      <c r="D115" s="243"/>
      <c r="E115" s="243"/>
      <c r="F115" s="243"/>
      <c r="G115" s="243"/>
      <c r="H115" s="243"/>
      <c r="I115" s="243"/>
      <c r="J115" s="243"/>
      <c r="K115" s="243"/>
      <c r="L115" s="243"/>
      <c r="M115" s="243"/>
      <c r="N115" s="243"/>
      <c r="O115" s="243"/>
      <c r="P115" s="244">
        <f>SUM(P114,P101)</f>
        <v>37589823.59259443</v>
      </c>
      <c r="Q115" s="245">
        <f>T115/P115</f>
        <v>3.7447589649146512E-3</v>
      </c>
      <c r="R115" s="246">
        <f>S115/P115</f>
        <v>0.75002988812879801</v>
      </c>
      <c r="S115" s="244">
        <f>SUM(S114,S101)</f>
        <v>28193491.183934852</v>
      </c>
      <c r="T115" s="244">
        <f>SUM(T114,T101)</f>
        <v>140764.82888792825</v>
      </c>
      <c r="U115" s="244">
        <f>U101+U114*5%</f>
        <v>970885.29487851576</v>
      </c>
      <c r="V115" s="247">
        <f>P115/U115</f>
        <v>38.717059359002796</v>
      </c>
      <c r="W115" s="248"/>
      <c r="X115" s="249">
        <f>SUM(X114,X101)</f>
        <v>4245902.273417091</v>
      </c>
      <c r="Y115" s="106"/>
      <c r="Z115" s="106"/>
      <c r="AA115" s="250">
        <f t="shared" si="45"/>
        <v>0.56876701516023187</v>
      </c>
      <c r="AB115" s="244">
        <f>'Audience Sizing'!C8</f>
        <v>1707000</v>
      </c>
      <c r="AC115" s="244"/>
      <c r="AD115" s="244"/>
    </row>
    <row r="116" spans="1:46" hidden="1" x14ac:dyDescent="0.3">
      <c r="A116" s="232" t="s">
        <v>103</v>
      </c>
      <c r="B116" s="251"/>
      <c r="C116" s="251"/>
      <c r="D116" s="251"/>
      <c r="E116" s="251"/>
      <c r="F116" s="251"/>
      <c r="G116" s="251"/>
      <c r="H116" s="251"/>
      <c r="I116" s="251"/>
      <c r="J116" s="251"/>
      <c r="K116" s="251"/>
      <c r="L116" s="251"/>
      <c r="M116" s="251"/>
      <c r="N116" s="251"/>
      <c r="O116" s="251"/>
      <c r="P116" s="252">
        <f>SUM(P115,P96,P77,P58,P39,P20)</f>
        <v>668342367.89708316</v>
      </c>
      <c r="Q116" s="210">
        <f>T116/P116</f>
        <v>3.7909874451199374E-3</v>
      </c>
      <c r="R116" s="211">
        <f>S116/P116</f>
        <v>0.75824102629931245</v>
      </c>
      <c r="S116" s="252">
        <f>SUM(S115,S96,S77,S58,S39,S20)</f>
        <v>506764602.95359701</v>
      </c>
      <c r="T116" s="252">
        <f>SUM(T115,T96,T77,T58,T39,T20)</f>
        <v>2533677.5257395725</v>
      </c>
      <c r="U116" s="252">
        <f>SUM(U115,U96,U77,U58,U39,U20)</f>
        <v>15858793.264702484</v>
      </c>
      <c r="V116" s="212">
        <f>P116/U116</f>
        <v>42.143330626841454</v>
      </c>
      <c r="W116" s="251"/>
      <c r="X116" s="253">
        <f>SUM(X115,X96,X77,X58,X39,X20)</f>
        <v>74423770.141808629</v>
      </c>
      <c r="Y116" s="59">
        <f t="shared" ref="Y116:Y148" si="51">X116/P116*1000</f>
        <v>111.35575674482605</v>
      </c>
      <c r="Z116" s="59">
        <f>X116/T116</f>
        <v>29.373813117786</v>
      </c>
      <c r="AA116" s="215">
        <f t="shared" si="45"/>
        <v>0.51157397628072532</v>
      </c>
      <c r="AB116" s="252">
        <f>SUM(AB115,AB96,AB77,AB58,AB39,AB20)</f>
        <v>31000000</v>
      </c>
      <c r="AC116" s="251"/>
      <c r="AD116" s="251"/>
    </row>
    <row r="117" spans="1:46" x14ac:dyDescent="0.3">
      <c r="A117" s="9" t="s">
        <v>104</v>
      </c>
      <c r="B117" s="9" t="s">
        <v>56</v>
      </c>
      <c r="C117" s="9" t="s">
        <v>57</v>
      </c>
      <c r="D117" s="9" t="s">
        <v>58</v>
      </c>
      <c r="E117" s="9" t="s">
        <v>59</v>
      </c>
      <c r="F117" s="9" t="s">
        <v>60</v>
      </c>
      <c r="G117" s="9" t="s">
        <v>61</v>
      </c>
      <c r="H117" s="9" t="s">
        <v>2276</v>
      </c>
      <c r="I117" s="9" t="s">
        <v>62</v>
      </c>
      <c r="J117" s="9" t="s">
        <v>312</v>
      </c>
      <c r="K117" s="9" t="s">
        <v>63</v>
      </c>
      <c r="L117" s="9" t="s">
        <v>64</v>
      </c>
      <c r="M117" s="9" t="s">
        <v>65</v>
      </c>
      <c r="N117" s="9" t="s">
        <v>66</v>
      </c>
      <c r="O117" s="10" t="e">
        <f>#REF!-#REF!+1</f>
        <v>#REF!</v>
      </c>
      <c r="P117" s="11">
        <f>S117/R117</f>
        <v>6350334.545454544</v>
      </c>
      <c r="Q117" s="12"/>
      <c r="R117" s="13">
        <v>0.4</v>
      </c>
      <c r="S117" s="11">
        <f>X117/W117</f>
        <v>2540133.8181818179</v>
      </c>
      <c r="T117" s="11">
        <f>P117*Q117</f>
        <v>0</v>
      </c>
      <c r="U117" s="11">
        <f>P117/V117</f>
        <v>2116778.1818181812</v>
      </c>
      <c r="V117" s="152">
        <v>3</v>
      </c>
      <c r="W117" s="154">
        <v>0.55000000000000004</v>
      </c>
      <c r="X117" s="16">
        <v>1397073.5999999999</v>
      </c>
      <c r="Y117" s="16">
        <f t="shared" si="51"/>
        <v>220.00000000000003</v>
      </c>
      <c r="Z117" s="16">
        <f>IFERROR(X117/T117, 0)</f>
        <v>0</v>
      </c>
      <c r="AA117" s="207">
        <f t="shared" si="45"/>
        <v>0.35548128295816872</v>
      </c>
      <c r="AB117" s="11">
        <f>'Audience Sizing'!F10</f>
        <v>5954682.5200000005</v>
      </c>
      <c r="AC117" s="17">
        <v>45383</v>
      </c>
      <c r="AD117" s="17">
        <v>45424</v>
      </c>
      <c r="AF117">
        <v>2.13</v>
      </c>
      <c r="AG117" s="262">
        <f>AF117*P117/1000</f>
        <v>13526.212581818178</v>
      </c>
      <c r="AH117" s="262">
        <f>AG117*5%</f>
        <v>676.31062909090895</v>
      </c>
      <c r="AI117" s="263">
        <f>AG117+AH117</f>
        <v>14202.523210909087</v>
      </c>
      <c r="AK117">
        <v>1.43</v>
      </c>
      <c r="AL117" s="262">
        <f>AK117*P117/1000</f>
        <v>9080.9783999999963</v>
      </c>
      <c r="AM117" s="262">
        <f>AL117*5%</f>
        <v>454.04891999999984</v>
      </c>
      <c r="AN117" s="263">
        <f>SUM(AL117:AM117)</f>
        <v>9535.0273199999956</v>
      </c>
      <c r="AO117" s="409"/>
      <c r="AP117" s="263"/>
      <c r="AQ117" s="89"/>
      <c r="AT117" s="262"/>
    </row>
    <row r="118" spans="1:46" x14ac:dyDescent="0.3">
      <c r="A118" s="9" t="s">
        <v>104</v>
      </c>
      <c r="B118" s="9" t="s">
        <v>56</v>
      </c>
      <c r="C118" s="9" t="s">
        <v>57</v>
      </c>
      <c r="D118" s="9" t="s">
        <v>67</v>
      </c>
      <c r="E118" s="9" t="s">
        <v>59</v>
      </c>
      <c r="F118" s="9" t="s">
        <v>60</v>
      </c>
      <c r="G118" s="9" t="s">
        <v>68</v>
      </c>
      <c r="H118" s="9" t="s">
        <v>2276</v>
      </c>
      <c r="I118" s="9" t="s">
        <v>62</v>
      </c>
      <c r="J118" s="9" t="s">
        <v>313</v>
      </c>
      <c r="K118" s="9" t="s">
        <v>63</v>
      </c>
      <c r="L118" s="9" t="s">
        <v>64</v>
      </c>
      <c r="M118" s="9" t="s">
        <v>65</v>
      </c>
      <c r="N118" s="9" t="s">
        <v>66</v>
      </c>
      <c r="O118" s="10" t="e">
        <f>#REF!-#REF!+1</f>
        <v>#REF!</v>
      </c>
      <c r="P118" s="11">
        <f>S118/R118</f>
        <v>15179912.674572837</v>
      </c>
      <c r="Q118" s="12">
        <v>2E-3</v>
      </c>
      <c r="R118" s="13">
        <v>0.37</v>
      </c>
      <c r="S118" s="11">
        <f>X118/W118</f>
        <v>5616567.6895919498</v>
      </c>
      <c r="T118" s="11">
        <f>P118*Q118</f>
        <v>30359.825349145674</v>
      </c>
      <c r="U118" s="11">
        <f>P118/V118</f>
        <v>3794978.1686432092</v>
      </c>
      <c r="V118" s="152">
        <v>4</v>
      </c>
      <c r="W118" s="15">
        <v>0.4</v>
      </c>
      <c r="X118" s="16">
        <v>2246627.07583678</v>
      </c>
      <c r="Y118" s="16">
        <f t="shared" si="51"/>
        <v>148.00000000000003</v>
      </c>
      <c r="Z118" s="16">
        <f>IFERROR(X118/T118, 0)</f>
        <v>74</v>
      </c>
      <c r="AA118" s="207">
        <f t="shared" si="45"/>
        <v>0.14658127882658942</v>
      </c>
      <c r="AB118" s="11">
        <f>'Audience Sizing'!E10</f>
        <v>25889924</v>
      </c>
      <c r="AC118" s="17">
        <v>45383</v>
      </c>
      <c r="AD118" s="17">
        <v>45424</v>
      </c>
      <c r="AF118">
        <v>2.13</v>
      </c>
      <c r="AG118" s="262">
        <f>AF118*P118/1000</f>
        <v>32333.213996840142</v>
      </c>
      <c r="AH118" s="262">
        <f>AG118*5%</f>
        <v>1616.6606998420073</v>
      </c>
      <c r="AI118" s="263">
        <f>AG118+AH118</f>
        <v>33949.874696682149</v>
      </c>
      <c r="AK118">
        <v>1.43</v>
      </c>
      <c r="AL118" s="262">
        <f>AK118*P118/1000</f>
        <v>21707.275124639156</v>
      </c>
      <c r="AM118" s="262">
        <f>AL118*5%</f>
        <v>1085.363756231958</v>
      </c>
      <c r="AN118" s="263">
        <f>SUM(AL118:AM118)</f>
        <v>22792.638880871113</v>
      </c>
      <c r="AO118" s="409"/>
      <c r="AP118" s="263"/>
      <c r="AQ118" s="89"/>
      <c r="AT118" s="262"/>
    </row>
    <row r="119" spans="1:46" x14ac:dyDescent="0.3">
      <c r="A119" s="9" t="s">
        <v>104</v>
      </c>
      <c r="B119" s="9" t="s">
        <v>56</v>
      </c>
      <c r="C119" s="9" t="s">
        <v>57</v>
      </c>
      <c r="D119" s="9" t="s">
        <v>67</v>
      </c>
      <c r="E119" s="9" t="s">
        <v>59</v>
      </c>
      <c r="F119" s="9" t="s">
        <v>60</v>
      </c>
      <c r="G119" s="9" t="s">
        <v>69</v>
      </c>
      <c r="H119" s="9" t="s">
        <v>2276</v>
      </c>
      <c r="I119" s="9" t="s">
        <v>62</v>
      </c>
      <c r="J119" s="9" t="s">
        <v>314</v>
      </c>
      <c r="K119" s="9" t="s">
        <v>63</v>
      </c>
      <c r="L119" s="9" t="s">
        <v>64</v>
      </c>
      <c r="M119" s="9" t="s">
        <v>65</v>
      </c>
      <c r="N119" s="9" t="s">
        <v>66</v>
      </c>
      <c r="O119" s="10" t="e">
        <f>#REF!-#REF!+1</f>
        <v>#REF!</v>
      </c>
      <c r="P119" s="11">
        <f>S119/R119</f>
        <v>14596069.87939696</v>
      </c>
      <c r="Q119" s="12">
        <v>2E-3</v>
      </c>
      <c r="R119" s="13">
        <v>0.37</v>
      </c>
      <c r="S119" s="11">
        <f>X119/W119</f>
        <v>5400545.855376875</v>
      </c>
      <c r="T119" s="11">
        <f>P119*Q119</f>
        <v>29192.139758793921</v>
      </c>
      <c r="U119" s="11">
        <f>P119/V119</f>
        <v>3649017.46984924</v>
      </c>
      <c r="V119" s="152">
        <v>4</v>
      </c>
      <c r="W119" s="15">
        <v>0.4</v>
      </c>
      <c r="X119" s="16">
        <v>2160218.3421507501</v>
      </c>
      <c r="Y119" s="16">
        <f t="shared" si="51"/>
        <v>148</v>
      </c>
      <c r="Z119" s="16">
        <f>IFERROR(X119/T119, 0)</f>
        <v>74</v>
      </c>
      <c r="AA119" s="207">
        <f t="shared" si="45"/>
        <v>0.14094353733325907</v>
      </c>
      <c r="AB119" s="11">
        <f>'Audience Sizing'!E10</f>
        <v>25889924</v>
      </c>
      <c r="AC119" s="17">
        <v>45383</v>
      </c>
      <c r="AD119" s="17">
        <v>45424</v>
      </c>
      <c r="AF119">
        <v>2.13</v>
      </c>
      <c r="AG119" s="262">
        <f>AF119*P119/1000</f>
        <v>31089.628843115523</v>
      </c>
      <c r="AH119" s="262">
        <f>AG119*5%</f>
        <v>1554.4814421557762</v>
      </c>
      <c r="AI119" s="263">
        <f>AG119+AH119</f>
        <v>32644.110285271297</v>
      </c>
      <c r="AK119">
        <v>1.43</v>
      </c>
      <c r="AL119" s="262">
        <f>AK119*P119/1000</f>
        <v>20872.379927537655</v>
      </c>
      <c r="AM119" s="262">
        <f>AL119*5%</f>
        <v>1043.6189963768827</v>
      </c>
      <c r="AN119" s="263">
        <f>SUM(AL119:AM119)</f>
        <v>21915.998923914536</v>
      </c>
      <c r="AO119" s="409"/>
      <c r="AP119" s="263"/>
      <c r="AQ119" s="89"/>
      <c r="AT119" s="262"/>
    </row>
    <row r="120" spans="1:46" hidden="1" x14ac:dyDescent="0.3">
      <c r="A120" s="9" t="s">
        <v>104</v>
      </c>
      <c r="B120" s="9" t="s">
        <v>56</v>
      </c>
      <c r="C120" s="9" t="s">
        <v>71</v>
      </c>
      <c r="D120" s="9" t="s">
        <v>58</v>
      </c>
      <c r="E120" s="9" t="s">
        <v>72</v>
      </c>
      <c r="F120" s="9" t="s">
        <v>60</v>
      </c>
      <c r="G120" s="9" t="s">
        <v>61</v>
      </c>
      <c r="H120" s="9" t="s">
        <v>2276</v>
      </c>
      <c r="I120" s="9" t="s">
        <v>62</v>
      </c>
      <c r="J120" s="9" t="s">
        <v>315</v>
      </c>
      <c r="K120" s="9" t="s">
        <v>73</v>
      </c>
      <c r="L120" s="9" t="s">
        <v>64</v>
      </c>
      <c r="M120" s="9" t="s">
        <v>65</v>
      </c>
      <c r="N120" s="9" t="s">
        <v>65</v>
      </c>
      <c r="O120" s="10" t="e">
        <f>#REF!-#REF!+1</f>
        <v>#REF!</v>
      </c>
      <c r="P120" s="11">
        <f>X120*1000/W120</f>
        <v>1552303.9999999998</v>
      </c>
      <c r="Q120" s="12">
        <v>0</v>
      </c>
      <c r="R120" s="13">
        <v>0.85</v>
      </c>
      <c r="S120" s="11">
        <f>P120*R120</f>
        <v>1319458.3999999997</v>
      </c>
      <c r="T120" s="11">
        <f>P120*Q120</f>
        <v>0</v>
      </c>
      <c r="U120" s="11">
        <f>P120/V120</f>
        <v>258717.33333333328</v>
      </c>
      <c r="V120" s="152">
        <v>6</v>
      </c>
      <c r="W120" s="15">
        <v>450</v>
      </c>
      <c r="X120" s="16">
        <v>698536.79999999993</v>
      </c>
      <c r="Y120" s="16">
        <f t="shared" si="51"/>
        <v>450</v>
      </c>
      <c r="Z120" s="16">
        <f>IFERROR(X120/T120, 0)</f>
        <v>0</v>
      </c>
      <c r="AA120" s="207">
        <f t="shared" si="45"/>
        <v>0.17217748554746595</v>
      </c>
      <c r="AB120" s="11">
        <f>'Audience Sizing'!H10</f>
        <v>1502620</v>
      </c>
      <c r="AC120" s="17">
        <v>45385</v>
      </c>
      <c r="AD120" s="17">
        <v>45424</v>
      </c>
      <c r="AH120" s="262"/>
      <c r="AI120" s="263"/>
      <c r="AK120">
        <v>1.43</v>
      </c>
      <c r="AL120" s="262">
        <f>AK120*P120/1000</f>
        <v>2219.7947199999999</v>
      </c>
      <c r="AM120" s="262">
        <f>AL120*5%</f>
        <v>110.98973599999999</v>
      </c>
      <c r="AN120" s="263">
        <f>AL120+AM120</f>
        <v>2330.7844559999999</v>
      </c>
      <c r="AP120" s="263"/>
      <c r="AQ120" s="263"/>
      <c r="AT120" s="263"/>
    </row>
    <row r="121" spans="1:46" hidden="1" x14ac:dyDescent="0.3">
      <c r="A121" s="230" t="s">
        <v>105</v>
      </c>
      <c r="B121" s="234"/>
      <c r="C121" s="234"/>
      <c r="D121" s="234"/>
      <c r="E121" s="234"/>
      <c r="F121" s="234"/>
      <c r="G121" s="234"/>
      <c r="H121" s="234"/>
      <c r="I121" s="234"/>
      <c r="J121" s="234"/>
      <c r="K121" s="234"/>
      <c r="L121" s="234"/>
      <c r="M121" s="234"/>
      <c r="N121" s="234"/>
      <c r="O121" s="234"/>
      <c r="P121" s="235">
        <f>SUM(P117:P120)</f>
        <v>37678621.09942434</v>
      </c>
      <c r="Q121" s="236">
        <f>T121/P121</f>
        <v>1.5805240046018946E-3</v>
      </c>
      <c r="R121" s="237">
        <f>S121/P121</f>
        <v>0.39483148079901292</v>
      </c>
      <c r="S121" s="235">
        <f>SUM(S117:S120)</f>
        <v>14876705.763150644</v>
      </c>
      <c r="T121" s="235">
        <f>SUM(T117:T120)</f>
        <v>59551.965107939599</v>
      </c>
      <c r="U121" s="235">
        <f>U118+U119*20%+SUM(U120:U120,U117)*50%</f>
        <v>5712529.4201888144</v>
      </c>
      <c r="V121" s="238">
        <f>P121/U121</f>
        <v>6.5957859168765491</v>
      </c>
      <c r="W121" s="239"/>
      <c r="X121" s="240">
        <f>SUM(X117:X120)</f>
        <v>6502455.8179875305</v>
      </c>
      <c r="Y121" s="22">
        <f t="shared" si="51"/>
        <v>172.57679894466403</v>
      </c>
      <c r="Z121" s="22">
        <f>X121/T121</f>
        <v>109.18960954859588</v>
      </c>
      <c r="AA121" s="241">
        <f t="shared" si="45"/>
        <v>0.43942534001452416</v>
      </c>
      <c r="AB121" s="235">
        <f>'Audience Sizing'!C10</f>
        <v>13000000</v>
      </c>
      <c r="AC121" s="235"/>
      <c r="AD121" s="235"/>
    </row>
    <row r="122" spans="1:46" x14ac:dyDescent="0.3">
      <c r="A122" s="9" t="s">
        <v>104</v>
      </c>
      <c r="B122" s="9" t="s">
        <v>56</v>
      </c>
      <c r="C122" s="9" t="s">
        <v>57</v>
      </c>
      <c r="D122" s="9" t="s">
        <v>58</v>
      </c>
      <c r="E122" s="9" t="s">
        <v>75</v>
      </c>
      <c r="F122" s="9" t="s">
        <v>60</v>
      </c>
      <c r="G122" s="9" t="s">
        <v>61</v>
      </c>
      <c r="H122" s="9" t="s">
        <v>2276</v>
      </c>
      <c r="I122" s="9" t="s">
        <v>76</v>
      </c>
      <c r="J122" s="9" t="s">
        <v>312</v>
      </c>
      <c r="K122" s="9" t="s">
        <v>77</v>
      </c>
      <c r="L122" s="9" t="s">
        <v>64</v>
      </c>
      <c r="M122" s="9" t="s">
        <v>65</v>
      </c>
      <c r="N122" s="9" t="s">
        <v>66</v>
      </c>
      <c r="O122" s="10" t="e">
        <f>#REF!-#REF!+1</f>
        <v>#REF!</v>
      </c>
      <c r="P122" s="11">
        <f t="shared" ref="P122:P133" si="52">X122*1000/W122</f>
        <v>12424068.384000003</v>
      </c>
      <c r="Q122" s="12"/>
      <c r="R122" s="13">
        <v>0.75</v>
      </c>
      <c r="S122" s="11">
        <f t="shared" ref="S122:S133" si="53">P122*R122</f>
        <v>9318051.2880000025</v>
      </c>
      <c r="T122" s="11">
        <f t="shared" ref="T122:T133" si="54">P122*Q122</f>
        <v>0</v>
      </c>
      <c r="U122" s="11">
        <f t="shared" ref="U122:U133" si="55">P122/V122</f>
        <v>2070678.0640000005</v>
      </c>
      <c r="V122" s="152">
        <v>6</v>
      </c>
      <c r="W122" s="15">
        <v>125</v>
      </c>
      <c r="X122" s="16">
        <v>1553008.5480000004</v>
      </c>
      <c r="Y122" s="16">
        <f t="shared" si="51"/>
        <v>125</v>
      </c>
      <c r="Z122" s="16">
        <f t="shared" ref="Z122:Z133" si="56">IFERROR(X122/T122, 0)</f>
        <v>0</v>
      </c>
      <c r="AA122" s="207">
        <f t="shared" si="45"/>
        <v>0.34773945664528899</v>
      </c>
      <c r="AB122" s="11">
        <f>'Audience Sizing'!F10</f>
        <v>5954682.5200000005</v>
      </c>
      <c r="AC122" s="17">
        <v>45390</v>
      </c>
      <c r="AD122" s="17">
        <v>45473</v>
      </c>
      <c r="AE122" s="17"/>
      <c r="AF122">
        <v>2.13</v>
      </c>
      <c r="AG122" s="262">
        <f>AF122*P122/1000</f>
        <v>26463.265657920008</v>
      </c>
      <c r="AH122" s="262">
        <f>AG122*5%</f>
        <v>1323.1632828960005</v>
      </c>
      <c r="AI122" s="263">
        <f>AG122+AH122</f>
        <v>27786.428940816008</v>
      </c>
      <c r="AK122">
        <v>1.43</v>
      </c>
      <c r="AL122" s="262">
        <f>AK122*P122/1000</f>
        <v>17766.417789120005</v>
      </c>
      <c r="AM122" s="262">
        <f>AL122*5%</f>
        <v>888.32088945600026</v>
      </c>
      <c r="AN122" s="263">
        <f>SUM(AL122:AM122)</f>
        <v>18654.738678576006</v>
      </c>
      <c r="AO122" s="409"/>
      <c r="AP122" s="263"/>
      <c r="AQ122" s="89"/>
      <c r="AT122" s="262"/>
    </row>
    <row r="123" spans="1:46" x14ac:dyDescent="0.3">
      <c r="A123" s="9" t="s">
        <v>104</v>
      </c>
      <c r="B123" s="9" t="s">
        <v>56</v>
      </c>
      <c r="C123" s="9" t="s">
        <v>57</v>
      </c>
      <c r="D123" s="9" t="s">
        <v>67</v>
      </c>
      <c r="E123" s="9" t="s">
        <v>75</v>
      </c>
      <c r="F123" s="9" t="s">
        <v>60</v>
      </c>
      <c r="G123" s="9" t="s">
        <v>68</v>
      </c>
      <c r="H123" s="9" t="s">
        <v>2276</v>
      </c>
      <c r="I123" s="9" t="s">
        <v>76</v>
      </c>
      <c r="J123" s="9" t="s">
        <v>313</v>
      </c>
      <c r="K123" s="9" t="s">
        <v>77</v>
      </c>
      <c r="L123" s="9" t="s">
        <v>64</v>
      </c>
      <c r="M123" s="9" t="s">
        <v>65</v>
      </c>
      <c r="N123" s="9" t="s">
        <v>66</v>
      </c>
      <c r="O123" s="10" t="e">
        <f>#REF!-#REF!+1</f>
        <v>#REF!</v>
      </c>
      <c r="P123" s="11">
        <f t="shared" si="52"/>
        <v>40513266.46956522</v>
      </c>
      <c r="Q123" s="12">
        <v>5.4999999999999997E-3</v>
      </c>
      <c r="R123" s="13">
        <v>0.75</v>
      </c>
      <c r="S123" s="11">
        <f t="shared" si="53"/>
        <v>30384949.852173917</v>
      </c>
      <c r="T123" s="11">
        <f t="shared" si="54"/>
        <v>222822.96558260871</v>
      </c>
      <c r="U123" s="11">
        <f t="shared" si="55"/>
        <v>3376105.5391304349</v>
      </c>
      <c r="V123" s="152">
        <v>12</v>
      </c>
      <c r="W123" s="15">
        <v>115</v>
      </c>
      <c r="X123" s="16">
        <v>4659025.6440000003</v>
      </c>
      <c r="Y123" s="16">
        <f t="shared" si="51"/>
        <v>115</v>
      </c>
      <c r="Z123" s="16">
        <f t="shared" si="56"/>
        <v>20.90909090909091</v>
      </c>
      <c r="AA123" s="207">
        <f t="shared" si="45"/>
        <v>0.13040229624198335</v>
      </c>
      <c r="AB123" s="11">
        <f>'Audience Sizing'!E10</f>
        <v>25889924</v>
      </c>
      <c r="AC123" s="17">
        <v>45390</v>
      </c>
      <c r="AD123" s="17">
        <v>45473</v>
      </c>
      <c r="AE123" s="17"/>
      <c r="AF123">
        <v>2.13</v>
      </c>
      <c r="AG123" s="262">
        <f>AF123*P123/1000</f>
        <v>86293.257580173915</v>
      </c>
      <c r="AH123" s="262">
        <f>AG123*5%</f>
        <v>4314.6628790086961</v>
      </c>
      <c r="AI123" s="263">
        <f>AG123+AH123</f>
        <v>90607.920459182613</v>
      </c>
      <c r="AK123">
        <v>1.43</v>
      </c>
      <c r="AL123" s="262">
        <f>AK123*P123/1000</f>
        <v>57933.971051478256</v>
      </c>
      <c r="AM123" s="262">
        <f>AL123*5%</f>
        <v>2896.6985525739128</v>
      </c>
      <c r="AN123" s="263">
        <f>SUM(AL123:AM123)</f>
        <v>60830.669604052171</v>
      </c>
      <c r="AO123" s="409"/>
      <c r="AP123" s="263"/>
      <c r="AQ123" s="89"/>
      <c r="AT123" s="262"/>
    </row>
    <row r="124" spans="1:46" x14ac:dyDescent="0.3">
      <c r="A124" s="9" t="s">
        <v>104</v>
      </c>
      <c r="B124" s="9" t="s">
        <v>56</v>
      </c>
      <c r="C124" s="9" t="s">
        <v>57</v>
      </c>
      <c r="D124" s="9" t="s">
        <v>67</v>
      </c>
      <c r="E124" s="9" t="s">
        <v>75</v>
      </c>
      <c r="F124" s="9" t="s">
        <v>60</v>
      </c>
      <c r="G124" s="9" t="s">
        <v>69</v>
      </c>
      <c r="H124" s="9" t="s">
        <v>2276</v>
      </c>
      <c r="I124" s="9" t="s">
        <v>76</v>
      </c>
      <c r="J124" s="9" t="s">
        <v>314</v>
      </c>
      <c r="K124" s="9" t="s">
        <v>77</v>
      </c>
      <c r="L124" s="9" t="s">
        <v>64</v>
      </c>
      <c r="M124" s="9" t="s">
        <v>65</v>
      </c>
      <c r="N124" s="9" t="s">
        <v>66</v>
      </c>
      <c r="O124" s="10" t="e">
        <f>#REF!-#REF!+1</f>
        <v>#REF!</v>
      </c>
      <c r="P124" s="11">
        <f t="shared" si="52"/>
        <v>40513266.46956522</v>
      </c>
      <c r="Q124" s="12">
        <v>5.4999999999999997E-3</v>
      </c>
      <c r="R124" s="13">
        <v>0.75</v>
      </c>
      <c r="S124" s="11">
        <f t="shared" si="53"/>
        <v>30384949.852173917</v>
      </c>
      <c r="T124" s="11">
        <f t="shared" si="54"/>
        <v>222822.96558260871</v>
      </c>
      <c r="U124" s="11">
        <f t="shared" si="55"/>
        <v>3376105.5391304349</v>
      </c>
      <c r="V124" s="152">
        <v>12</v>
      </c>
      <c r="W124" s="15">
        <v>115</v>
      </c>
      <c r="X124" s="16">
        <v>4659025.6440000003</v>
      </c>
      <c r="Y124" s="16">
        <f t="shared" si="51"/>
        <v>115</v>
      </c>
      <c r="Z124" s="16">
        <f t="shared" si="56"/>
        <v>20.90909090909091</v>
      </c>
      <c r="AA124" s="207">
        <f t="shared" si="45"/>
        <v>0.13040229624198335</v>
      </c>
      <c r="AB124" s="11">
        <f>'Audience Sizing'!E10</f>
        <v>25889924</v>
      </c>
      <c r="AC124" s="17">
        <v>45390</v>
      </c>
      <c r="AD124" s="17">
        <v>45473</v>
      </c>
      <c r="AE124" s="17"/>
      <c r="AF124">
        <v>2.13</v>
      </c>
      <c r="AG124" s="262">
        <f>AF124*P124/1000</f>
        <v>86293.257580173915</v>
      </c>
      <c r="AH124" s="262">
        <f>AG124*5%</f>
        <v>4314.6628790086961</v>
      </c>
      <c r="AI124" s="263">
        <f>AG124+AH124</f>
        <v>90607.920459182613</v>
      </c>
      <c r="AK124">
        <v>1.43</v>
      </c>
      <c r="AL124" s="262">
        <f>AK124*P124/1000</f>
        <v>57933.971051478256</v>
      </c>
      <c r="AM124" s="262">
        <f>AL124*5%</f>
        <v>2896.6985525739128</v>
      </c>
      <c r="AN124" s="263">
        <f>SUM(AL124:AM124)</f>
        <v>60830.669604052171</v>
      </c>
      <c r="AO124" s="409"/>
      <c r="AP124" s="263"/>
      <c r="AQ124" s="89"/>
      <c r="AT124" s="262"/>
    </row>
    <row r="125" spans="1:46" hidden="1" x14ac:dyDescent="0.3">
      <c r="A125" s="9" t="s">
        <v>104</v>
      </c>
      <c r="B125" s="9" t="s">
        <v>56</v>
      </c>
      <c r="C125" s="9" t="s">
        <v>71</v>
      </c>
      <c r="D125" s="9" t="s">
        <v>58</v>
      </c>
      <c r="E125" s="9" t="s">
        <v>72</v>
      </c>
      <c r="F125" s="9" t="s">
        <v>60</v>
      </c>
      <c r="G125" s="9" t="s">
        <v>61</v>
      </c>
      <c r="H125" s="9" t="s">
        <v>2276</v>
      </c>
      <c r="I125" s="9" t="s">
        <v>76</v>
      </c>
      <c r="J125" s="9" t="s">
        <v>315</v>
      </c>
      <c r="K125" s="9" t="s">
        <v>73</v>
      </c>
      <c r="L125" s="9" t="s">
        <v>64</v>
      </c>
      <c r="M125" s="9" t="s">
        <v>65</v>
      </c>
      <c r="N125" s="9" t="s">
        <v>65</v>
      </c>
      <c r="O125" s="10" t="e">
        <f>#REF!-#REF!+1</f>
        <v>#REF!</v>
      </c>
      <c r="P125" s="11">
        <f t="shared" si="52"/>
        <v>2662300.3680000002</v>
      </c>
      <c r="Q125" s="12">
        <v>0</v>
      </c>
      <c r="R125" s="13">
        <v>0.85</v>
      </c>
      <c r="S125" s="11">
        <f t="shared" si="53"/>
        <v>2262955.3128</v>
      </c>
      <c r="T125" s="11">
        <f t="shared" si="54"/>
        <v>0</v>
      </c>
      <c r="U125" s="11">
        <f t="shared" si="55"/>
        <v>443716.72800000006</v>
      </c>
      <c r="V125" s="152">
        <v>6</v>
      </c>
      <c r="W125" s="15">
        <v>250</v>
      </c>
      <c r="X125" s="16">
        <v>665575.09200000006</v>
      </c>
      <c r="Y125" s="16">
        <f t="shared" si="51"/>
        <v>250</v>
      </c>
      <c r="Z125" s="16">
        <f t="shared" si="56"/>
        <v>0</v>
      </c>
      <c r="AA125" s="221">
        <f t="shared" si="45"/>
        <v>0.29529536942141066</v>
      </c>
      <c r="AB125" s="11">
        <f>'Audience Sizing'!H10</f>
        <v>1502620</v>
      </c>
      <c r="AC125" s="17">
        <v>45390</v>
      </c>
      <c r="AD125" s="17">
        <v>45473</v>
      </c>
      <c r="AE125" s="17"/>
      <c r="AG125" s="262"/>
      <c r="AH125" s="263"/>
      <c r="AK125">
        <v>1.43</v>
      </c>
      <c r="AL125" s="262">
        <f>AK125*P125/1000</f>
        <v>3807.0895262399999</v>
      </c>
      <c r="AM125" s="262">
        <f>AL125*5%</f>
        <v>190.354476312</v>
      </c>
      <c r="AN125" s="263">
        <f>AL125+AM125</f>
        <v>3997.4440025519998</v>
      </c>
      <c r="AO125" s="409"/>
      <c r="AP125" s="263"/>
      <c r="AQ125" s="263"/>
      <c r="AR125" s="262"/>
      <c r="AS125" s="263"/>
      <c r="AT125" s="263"/>
    </row>
    <row r="126" spans="1:46" hidden="1" x14ac:dyDescent="0.3">
      <c r="A126" s="9" t="s">
        <v>104</v>
      </c>
      <c r="B126" s="9" t="s">
        <v>56</v>
      </c>
      <c r="C126" s="9" t="s">
        <v>71</v>
      </c>
      <c r="D126" s="9" t="s">
        <v>67</v>
      </c>
      <c r="E126" s="9" t="s">
        <v>72</v>
      </c>
      <c r="F126" s="9" t="s">
        <v>60</v>
      </c>
      <c r="G126" s="9" t="s">
        <v>68</v>
      </c>
      <c r="H126" s="9" t="s">
        <v>2276</v>
      </c>
      <c r="I126" s="9" t="s">
        <v>76</v>
      </c>
      <c r="J126" s="9" t="s">
        <v>2335</v>
      </c>
      <c r="K126" s="9" t="s">
        <v>73</v>
      </c>
      <c r="L126" s="9" t="s">
        <v>64</v>
      </c>
      <c r="M126" s="9" t="s">
        <v>65</v>
      </c>
      <c r="N126" s="9" t="s">
        <v>65</v>
      </c>
      <c r="O126" s="10" t="e">
        <f>#REF!-#REF!+1</f>
        <v>#REF!</v>
      </c>
      <c r="P126" s="11">
        <f t="shared" si="52"/>
        <v>1873760</v>
      </c>
      <c r="Q126" s="12">
        <v>1.2E-2</v>
      </c>
      <c r="R126" s="13">
        <v>0.85</v>
      </c>
      <c r="S126" s="11">
        <f t="shared" si="53"/>
        <v>1592696</v>
      </c>
      <c r="T126" s="11">
        <f t="shared" si="54"/>
        <v>22485.119999999999</v>
      </c>
      <c r="U126" s="11">
        <f t="shared" si="55"/>
        <v>374752</v>
      </c>
      <c r="V126" s="152">
        <v>5</v>
      </c>
      <c r="W126" s="15">
        <v>200</v>
      </c>
      <c r="X126" s="16">
        <v>374752</v>
      </c>
      <c r="Y126" s="16">
        <f t="shared" si="51"/>
        <v>200</v>
      </c>
      <c r="Z126" s="16">
        <f t="shared" si="56"/>
        <v>16.666666666666668</v>
      </c>
      <c r="AA126" s="221">
        <f t="shared" si="45"/>
        <v>2.4728022893111108E-2</v>
      </c>
      <c r="AB126" s="11">
        <f>'Audience Sizing'!G10</f>
        <v>15154952</v>
      </c>
      <c r="AC126" s="17">
        <v>45390</v>
      </c>
      <c r="AD126" s="17">
        <v>45404</v>
      </c>
      <c r="AG126" s="262"/>
      <c r="AH126" s="263"/>
      <c r="AL126" s="262"/>
      <c r="AM126" s="262"/>
      <c r="AN126" s="263"/>
      <c r="AP126" s="263"/>
      <c r="AQ126" s="263"/>
    </row>
    <row r="127" spans="1:46" hidden="1" x14ac:dyDescent="0.3">
      <c r="A127" s="9" t="s">
        <v>104</v>
      </c>
      <c r="B127" s="9" t="s">
        <v>56</v>
      </c>
      <c r="C127" s="9" t="s">
        <v>71</v>
      </c>
      <c r="D127" s="9" t="s">
        <v>67</v>
      </c>
      <c r="E127" s="9" t="s">
        <v>72</v>
      </c>
      <c r="F127" s="9" t="s">
        <v>60</v>
      </c>
      <c r="G127" s="9" t="s">
        <v>68</v>
      </c>
      <c r="H127" s="9" t="s">
        <v>2276</v>
      </c>
      <c r="I127" s="9" t="s">
        <v>76</v>
      </c>
      <c r="J127" s="9" t="s">
        <v>2298</v>
      </c>
      <c r="K127" s="9" t="s">
        <v>73</v>
      </c>
      <c r="L127" s="9" t="s">
        <v>64</v>
      </c>
      <c r="M127" s="9" t="s">
        <v>65</v>
      </c>
      <c r="N127" s="9" t="s">
        <v>65</v>
      </c>
      <c r="O127" s="10" t="e">
        <f>#REF!-#REF!+1</f>
        <v>#REF!</v>
      </c>
      <c r="P127" s="11">
        <f t="shared" si="52"/>
        <v>3825592.736000001</v>
      </c>
      <c r="Q127" s="12">
        <v>1.2E-2</v>
      </c>
      <c r="R127" s="13">
        <v>0.85</v>
      </c>
      <c r="S127" s="11">
        <f t="shared" si="53"/>
        <v>3251753.8256000006</v>
      </c>
      <c r="T127" s="11">
        <f t="shared" si="54"/>
        <v>45907.112832000013</v>
      </c>
      <c r="U127" s="11">
        <f t="shared" si="55"/>
        <v>765118.54720000015</v>
      </c>
      <c r="V127" s="152">
        <v>5</v>
      </c>
      <c r="W127" s="15">
        <v>200</v>
      </c>
      <c r="X127" s="16">
        <v>765118.54720000015</v>
      </c>
      <c r="Y127" s="16">
        <f t="shared" si="51"/>
        <v>199.99999999999997</v>
      </c>
      <c r="Z127" s="16">
        <f t="shared" si="56"/>
        <v>16.666666666666664</v>
      </c>
      <c r="AA127" s="221">
        <f t="shared" si="45"/>
        <v>5.0486372190423311E-2</v>
      </c>
      <c r="AB127" s="11">
        <f>'Audience Sizing'!G10</f>
        <v>15154952</v>
      </c>
      <c r="AC127" s="17">
        <v>45390</v>
      </c>
      <c r="AD127" s="17">
        <v>45473</v>
      </c>
      <c r="AE127" s="17"/>
      <c r="AG127" s="262"/>
      <c r="AH127" s="263"/>
      <c r="AK127">
        <v>1.43</v>
      </c>
      <c r="AL127" s="262">
        <f>AK127*P127/1000</f>
        <v>5470.5976124800018</v>
      </c>
      <c r="AM127" s="262">
        <f>AL127*5%</f>
        <v>273.5298806240001</v>
      </c>
      <c r="AN127" s="263">
        <f>AL127+AM127</f>
        <v>5744.1274931040016</v>
      </c>
      <c r="AO127" s="409"/>
      <c r="AP127" s="263"/>
      <c r="AQ127" s="263"/>
      <c r="AR127" s="262"/>
      <c r="AS127" s="263"/>
      <c r="AT127" s="263"/>
    </row>
    <row r="128" spans="1:46" hidden="1" x14ac:dyDescent="0.3">
      <c r="A128" s="9" t="s">
        <v>104</v>
      </c>
      <c r="B128" s="9" t="s">
        <v>56</v>
      </c>
      <c r="C128" s="9" t="s">
        <v>71</v>
      </c>
      <c r="D128" s="9" t="s">
        <v>67</v>
      </c>
      <c r="E128" s="9" t="s">
        <v>72</v>
      </c>
      <c r="F128" s="9" t="s">
        <v>60</v>
      </c>
      <c r="G128" s="9" t="s">
        <v>68</v>
      </c>
      <c r="H128" s="9" t="s">
        <v>2276</v>
      </c>
      <c r="I128" s="9" t="s">
        <v>76</v>
      </c>
      <c r="J128" s="9" t="s">
        <v>2299</v>
      </c>
      <c r="K128" s="9" t="s">
        <v>73</v>
      </c>
      <c r="L128" s="9" t="s">
        <v>64</v>
      </c>
      <c r="M128" s="9" t="s">
        <v>65</v>
      </c>
      <c r="N128" s="9" t="s">
        <v>65</v>
      </c>
      <c r="O128" s="10" t="e">
        <f>#REF!-#REF!+1</f>
        <v>#REF!</v>
      </c>
      <c r="P128" s="11">
        <f t="shared" si="52"/>
        <v>1593996.9733333332</v>
      </c>
      <c r="Q128" s="12">
        <v>1.2E-2</v>
      </c>
      <c r="R128" s="13">
        <v>0.85</v>
      </c>
      <c r="S128" s="11">
        <f t="shared" si="53"/>
        <v>1354897.4273333331</v>
      </c>
      <c r="T128" s="11">
        <f t="shared" si="54"/>
        <v>19127.963679999997</v>
      </c>
      <c r="U128" s="11">
        <f t="shared" si="55"/>
        <v>318799.39466666663</v>
      </c>
      <c r="V128" s="152">
        <v>5</v>
      </c>
      <c r="W128" s="15">
        <f>200*60%</f>
        <v>120</v>
      </c>
      <c r="X128" s="16">
        <v>191279.63679999998</v>
      </c>
      <c r="Y128" s="16">
        <f t="shared" si="51"/>
        <v>120</v>
      </c>
      <c r="Z128" s="16">
        <f t="shared" si="56"/>
        <v>10</v>
      </c>
      <c r="AA128" s="221">
        <f t="shared" si="45"/>
        <v>2.1035988412676374E-2</v>
      </c>
      <c r="AB128" s="11">
        <f>'Audience Sizing'!G10</f>
        <v>15154952</v>
      </c>
      <c r="AC128" s="17">
        <v>45406</v>
      </c>
      <c r="AD128" s="17">
        <v>45473</v>
      </c>
      <c r="AE128" s="17"/>
      <c r="AG128" s="262"/>
      <c r="AH128" s="263"/>
      <c r="AK128">
        <v>1.43</v>
      </c>
      <c r="AL128" s="262">
        <f>AK128*P128/1000</f>
        <v>2279.4156718666663</v>
      </c>
      <c r="AM128" s="262">
        <f>AL128*5%</f>
        <v>113.97078359333332</v>
      </c>
      <c r="AN128" s="263">
        <f>AL128+AM128</f>
        <v>2393.3864554599995</v>
      </c>
      <c r="AO128" s="409"/>
      <c r="AP128" s="263"/>
      <c r="AQ128" s="263"/>
      <c r="AR128" s="262"/>
      <c r="AS128" s="263"/>
      <c r="AT128" s="263"/>
    </row>
    <row r="129" spans="1:46" hidden="1" x14ac:dyDescent="0.3">
      <c r="A129" s="9" t="s">
        <v>104</v>
      </c>
      <c r="B129" s="9" t="s">
        <v>56</v>
      </c>
      <c r="C129" s="9" t="s">
        <v>71</v>
      </c>
      <c r="D129" s="9" t="s">
        <v>67</v>
      </c>
      <c r="E129" s="9" t="s">
        <v>72</v>
      </c>
      <c r="F129" s="9" t="s">
        <v>60</v>
      </c>
      <c r="G129" s="9" t="s">
        <v>69</v>
      </c>
      <c r="H129" s="9" t="s">
        <v>2276</v>
      </c>
      <c r="I129" s="9" t="s">
        <v>76</v>
      </c>
      <c r="J129" s="9" t="s">
        <v>2336</v>
      </c>
      <c r="K129" s="9" t="s">
        <v>73</v>
      </c>
      <c r="L129" s="9" t="s">
        <v>64</v>
      </c>
      <c r="M129" s="9" t="s">
        <v>65</v>
      </c>
      <c r="N129" s="9" t="s">
        <v>65</v>
      </c>
      <c r="O129" s="10" t="e">
        <f>#REF!-#REF!+1</f>
        <v>#REF!</v>
      </c>
      <c r="P129" s="11">
        <f t="shared" si="52"/>
        <v>1750715</v>
      </c>
      <c r="Q129" s="12">
        <v>1.2E-2</v>
      </c>
      <c r="R129" s="13">
        <v>0.85</v>
      </c>
      <c r="S129" s="11">
        <f t="shared" si="53"/>
        <v>1488107.75</v>
      </c>
      <c r="T129" s="11">
        <f t="shared" si="54"/>
        <v>21008.58</v>
      </c>
      <c r="U129" s="11">
        <f t="shared" si="55"/>
        <v>350143</v>
      </c>
      <c r="V129" s="152">
        <v>5</v>
      </c>
      <c r="W129" s="15">
        <v>200</v>
      </c>
      <c r="X129" s="16">
        <v>350143</v>
      </c>
      <c r="Y129" s="16">
        <f t="shared" si="51"/>
        <v>200</v>
      </c>
      <c r="Z129" s="16">
        <f t="shared" si="56"/>
        <v>16.666666666666664</v>
      </c>
      <c r="AA129" s="221">
        <f t="shared" si="45"/>
        <v>2.3104197228734212E-2</v>
      </c>
      <c r="AB129" s="11">
        <f>'Audience Sizing'!G10</f>
        <v>15154952</v>
      </c>
      <c r="AC129" s="17">
        <v>45390</v>
      </c>
      <c r="AD129" s="17">
        <v>45404</v>
      </c>
      <c r="AG129" s="262"/>
      <c r="AH129" s="263"/>
      <c r="AL129" s="262"/>
      <c r="AM129" s="262"/>
      <c r="AN129" s="263"/>
      <c r="AP129" s="263"/>
      <c r="AQ129" s="263"/>
    </row>
    <row r="130" spans="1:46" hidden="1" x14ac:dyDescent="0.3">
      <c r="A130" s="9" t="s">
        <v>104</v>
      </c>
      <c r="B130" s="9" t="s">
        <v>56</v>
      </c>
      <c r="C130" s="9" t="s">
        <v>71</v>
      </c>
      <c r="D130" s="9" t="s">
        <v>67</v>
      </c>
      <c r="E130" s="9" t="s">
        <v>72</v>
      </c>
      <c r="F130" s="9" t="s">
        <v>60</v>
      </c>
      <c r="G130" s="9" t="s">
        <v>69</v>
      </c>
      <c r="H130" s="9" t="s">
        <v>2276</v>
      </c>
      <c r="I130" s="9" t="s">
        <v>76</v>
      </c>
      <c r="J130" s="9" t="s">
        <v>2334</v>
      </c>
      <c r="K130" s="9" t="s">
        <v>73</v>
      </c>
      <c r="L130" s="9" t="s">
        <v>64</v>
      </c>
      <c r="M130" s="9" t="s">
        <v>65</v>
      </c>
      <c r="N130" s="9" t="s">
        <v>65</v>
      </c>
      <c r="O130" s="10" t="e">
        <f>#REF!-#REF!+1</f>
        <v>#REF!</v>
      </c>
      <c r="P130" s="11">
        <f t="shared" si="52"/>
        <v>3924028.736</v>
      </c>
      <c r="Q130" s="12">
        <v>1.2E-2</v>
      </c>
      <c r="R130" s="13">
        <v>0.85</v>
      </c>
      <c r="S130" s="11">
        <f t="shared" si="53"/>
        <v>3335424.4255999997</v>
      </c>
      <c r="T130" s="11">
        <f t="shared" si="54"/>
        <v>47088.344832000002</v>
      </c>
      <c r="U130" s="11">
        <f t="shared" si="55"/>
        <v>784805.74719999998</v>
      </c>
      <c r="V130" s="152">
        <v>5</v>
      </c>
      <c r="W130" s="15">
        <v>200</v>
      </c>
      <c r="X130" s="16">
        <v>784805.7472000001</v>
      </c>
      <c r="Y130" s="16">
        <f t="shared" si="51"/>
        <v>200</v>
      </c>
      <c r="Z130" s="16">
        <f t="shared" si="56"/>
        <v>16.666666666666668</v>
      </c>
      <c r="AA130" s="221">
        <f t="shared" si="45"/>
        <v>5.1785432721924818E-2</v>
      </c>
      <c r="AB130" s="11">
        <f>'Audience Sizing'!G10</f>
        <v>15154952</v>
      </c>
      <c r="AC130" s="17">
        <v>45390</v>
      </c>
      <c r="AD130" s="17">
        <v>45473</v>
      </c>
      <c r="AE130" s="17"/>
      <c r="AG130" s="262"/>
      <c r="AH130" s="263"/>
      <c r="AK130">
        <v>1.43</v>
      </c>
      <c r="AL130" s="262">
        <f>AK130*P130/1000</f>
        <v>5611.3610924800005</v>
      </c>
      <c r="AM130" s="262">
        <f>AL130*5%</f>
        <v>280.56805462400001</v>
      </c>
      <c r="AN130" s="263">
        <f>AL130+AM130</f>
        <v>5891.9291471040005</v>
      </c>
      <c r="AO130" s="409"/>
      <c r="AP130" s="263"/>
      <c r="AQ130" s="263"/>
      <c r="AR130" s="262"/>
      <c r="AS130" s="263"/>
      <c r="AT130" s="263"/>
    </row>
    <row r="131" spans="1:46" hidden="1" x14ac:dyDescent="0.3">
      <c r="A131" s="9" t="s">
        <v>104</v>
      </c>
      <c r="B131" s="9" t="s">
        <v>56</v>
      </c>
      <c r="C131" s="9" t="s">
        <v>71</v>
      </c>
      <c r="D131" s="9" t="s">
        <v>67</v>
      </c>
      <c r="E131" s="9" t="s">
        <v>72</v>
      </c>
      <c r="F131" s="9" t="s">
        <v>60</v>
      </c>
      <c r="G131" s="9" t="s">
        <v>69</v>
      </c>
      <c r="H131" s="9" t="s">
        <v>2276</v>
      </c>
      <c r="I131" s="9" t="s">
        <v>76</v>
      </c>
      <c r="J131" s="9" t="s">
        <v>2300</v>
      </c>
      <c r="K131" s="9" t="s">
        <v>73</v>
      </c>
      <c r="L131" s="9" t="s">
        <v>64</v>
      </c>
      <c r="M131" s="9" t="s">
        <v>65</v>
      </c>
      <c r="N131" s="9" t="s">
        <v>65</v>
      </c>
      <c r="O131" s="10" t="e">
        <f>#REF!-#REF!+1</f>
        <v>#REF!</v>
      </c>
      <c r="P131" s="11">
        <f t="shared" si="52"/>
        <v>1635011.9733333334</v>
      </c>
      <c r="Q131" s="12">
        <v>1.2E-2</v>
      </c>
      <c r="R131" s="13">
        <v>0.85</v>
      </c>
      <c r="S131" s="11">
        <f t="shared" si="53"/>
        <v>1389760.1773333333</v>
      </c>
      <c r="T131" s="11">
        <f t="shared" si="54"/>
        <v>19620.143680000001</v>
      </c>
      <c r="U131" s="11">
        <f t="shared" si="55"/>
        <v>327002.39466666669</v>
      </c>
      <c r="V131" s="152">
        <v>5</v>
      </c>
      <c r="W131" s="15">
        <f>200*60%</f>
        <v>120</v>
      </c>
      <c r="X131" s="16">
        <v>196201.43680000002</v>
      </c>
      <c r="Y131" s="16">
        <f t="shared" si="51"/>
        <v>120.00000000000001</v>
      </c>
      <c r="Z131" s="16">
        <f t="shared" si="56"/>
        <v>10</v>
      </c>
      <c r="AA131" s="221">
        <f t="shared" si="45"/>
        <v>2.1577263634135344E-2</v>
      </c>
      <c r="AB131" s="11">
        <f>'Audience Sizing'!G10</f>
        <v>15154952</v>
      </c>
      <c r="AC131" s="17">
        <v>45406</v>
      </c>
      <c r="AD131" s="17">
        <v>45473</v>
      </c>
      <c r="AE131" s="17"/>
      <c r="AG131" s="262"/>
      <c r="AH131" s="263"/>
      <c r="AK131">
        <v>1.43</v>
      </c>
      <c r="AL131" s="262">
        <f>AK131*P131/1000</f>
        <v>2338.0671218666666</v>
      </c>
      <c r="AM131" s="262">
        <f>AL131*5%</f>
        <v>116.90335609333334</v>
      </c>
      <c r="AN131" s="263">
        <f>AL131+AM131</f>
        <v>2454.9704779600002</v>
      </c>
      <c r="AO131" s="409"/>
      <c r="AP131" s="263"/>
      <c r="AQ131" s="263"/>
      <c r="AR131" s="262"/>
      <c r="AS131" s="263"/>
      <c r="AT131" s="263"/>
    </row>
    <row r="132" spans="1:46" x14ac:dyDescent="0.3">
      <c r="A132" s="9" t="s">
        <v>104</v>
      </c>
      <c r="B132" s="9" t="s">
        <v>56</v>
      </c>
      <c r="C132" s="9" t="s">
        <v>57</v>
      </c>
      <c r="D132" s="9" t="s">
        <v>67</v>
      </c>
      <c r="E132" s="9" t="s">
        <v>59</v>
      </c>
      <c r="F132" s="9" t="s">
        <v>60</v>
      </c>
      <c r="G132" s="9" t="s">
        <v>308</v>
      </c>
      <c r="H132" s="9" t="s">
        <v>2276</v>
      </c>
      <c r="I132" s="9" t="s">
        <v>78</v>
      </c>
      <c r="J132" s="9" t="s">
        <v>313</v>
      </c>
      <c r="K132" s="9" t="s">
        <v>73</v>
      </c>
      <c r="L132" s="9" t="s">
        <v>64</v>
      </c>
      <c r="M132" s="9" t="s">
        <v>65</v>
      </c>
      <c r="N132" s="9" t="s">
        <v>66</v>
      </c>
      <c r="O132" s="10" t="e">
        <f>#REF!-#REF!+1</f>
        <v>#REF!</v>
      </c>
      <c r="P132" s="11">
        <f t="shared" si="52"/>
        <v>44371672.800000004</v>
      </c>
      <c r="Q132" s="12">
        <v>2E-3</v>
      </c>
      <c r="R132" s="13">
        <v>0.9</v>
      </c>
      <c r="S132" s="11">
        <f t="shared" si="53"/>
        <v>39934505.520000003</v>
      </c>
      <c r="T132" s="11">
        <f t="shared" si="54"/>
        <v>88743.345600000015</v>
      </c>
      <c r="U132" s="11">
        <f t="shared" si="55"/>
        <v>8874334.5600000005</v>
      </c>
      <c r="V132" s="152">
        <v>5</v>
      </c>
      <c r="W132" s="15">
        <v>60</v>
      </c>
      <c r="X132" s="16">
        <v>2662300.3680000002</v>
      </c>
      <c r="Y132" s="16">
        <f t="shared" si="51"/>
        <v>60</v>
      </c>
      <c r="Z132" s="16">
        <f t="shared" si="56"/>
        <v>29.999999999999996</v>
      </c>
      <c r="AA132" s="221">
        <f t="shared" si="45"/>
        <v>0.34277175012178485</v>
      </c>
      <c r="AB132" s="11">
        <f>'Audience Sizing'!E10</f>
        <v>25889924</v>
      </c>
      <c r="AC132" s="17">
        <v>45418</v>
      </c>
      <c r="AD132" s="17">
        <v>45473</v>
      </c>
      <c r="AE132" s="17"/>
      <c r="AF132">
        <v>2.13</v>
      </c>
      <c r="AG132" s="262">
        <f>AF132*P132/1000</f>
        <v>94511.663064000008</v>
      </c>
      <c r="AH132" s="262">
        <f>AG132*5%</f>
        <v>4725.5831532000002</v>
      </c>
      <c r="AI132" s="263">
        <f>AG132+AH132</f>
        <v>99237.246217200009</v>
      </c>
      <c r="AK132">
        <v>1.43</v>
      </c>
      <c r="AL132" s="262">
        <f>AK132*P132/1000</f>
        <v>63451.492104000004</v>
      </c>
      <c r="AM132" s="262">
        <f>AL132*5%</f>
        <v>3172.5746052000004</v>
      </c>
      <c r="AN132" s="263">
        <f>SUM(AL132:AM132)</f>
        <v>66624.066709200008</v>
      </c>
      <c r="AO132" s="409"/>
      <c r="AP132" s="263"/>
      <c r="AQ132" s="89"/>
      <c r="AT132" s="262"/>
    </row>
    <row r="133" spans="1:46" x14ac:dyDescent="0.3">
      <c r="A133" s="9" t="s">
        <v>104</v>
      </c>
      <c r="B133" s="9" t="s">
        <v>56</v>
      </c>
      <c r="C133" s="9" t="s">
        <v>57</v>
      </c>
      <c r="D133" s="9" t="s">
        <v>67</v>
      </c>
      <c r="E133" s="9" t="s">
        <v>59</v>
      </c>
      <c r="F133" s="9" t="s">
        <v>60</v>
      </c>
      <c r="G133" s="9" t="s">
        <v>307</v>
      </c>
      <c r="H133" s="9" t="s">
        <v>2276</v>
      </c>
      <c r="I133" s="9" t="s">
        <v>78</v>
      </c>
      <c r="J133" s="9" t="s">
        <v>314</v>
      </c>
      <c r="K133" s="9" t="s">
        <v>73</v>
      </c>
      <c r="L133" s="9" t="s">
        <v>64</v>
      </c>
      <c r="M133" s="9" t="s">
        <v>65</v>
      </c>
      <c r="N133" s="9" t="s">
        <v>66</v>
      </c>
      <c r="O133" s="10" t="e">
        <f>#REF!-#REF!+1</f>
        <v>#REF!</v>
      </c>
      <c r="P133" s="11">
        <f t="shared" si="52"/>
        <v>44371672.800000004</v>
      </c>
      <c r="Q133" s="12">
        <v>2E-3</v>
      </c>
      <c r="R133" s="13">
        <v>0.9</v>
      </c>
      <c r="S133" s="11">
        <f t="shared" si="53"/>
        <v>39934505.520000003</v>
      </c>
      <c r="T133" s="11">
        <f t="shared" si="54"/>
        <v>88743.345600000015</v>
      </c>
      <c r="U133" s="11">
        <f t="shared" si="55"/>
        <v>8874334.5600000005</v>
      </c>
      <c r="V133" s="152">
        <v>5</v>
      </c>
      <c r="W133" s="15">
        <v>60</v>
      </c>
      <c r="X133" s="16">
        <v>2662300.3680000002</v>
      </c>
      <c r="Y133" s="16">
        <f t="shared" si="51"/>
        <v>60</v>
      </c>
      <c r="Z133" s="16">
        <f t="shared" si="56"/>
        <v>29.999999999999996</v>
      </c>
      <c r="AA133" s="221">
        <f t="shared" ref="AA133:AA148" si="57">U133/AB133</f>
        <v>0.34277175012178485</v>
      </c>
      <c r="AB133" s="11">
        <f>'Audience Sizing'!E10</f>
        <v>25889924</v>
      </c>
      <c r="AC133" s="17">
        <v>45418</v>
      </c>
      <c r="AD133" s="17">
        <v>45473</v>
      </c>
      <c r="AE133" s="17"/>
      <c r="AF133">
        <v>2.13</v>
      </c>
      <c r="AG133" s="262">
        <f>AF133*P133/1000</f>
        <v>94511.663064000008</v>
      </c>
      <c r="AH133" s="262">
        <f>AG133*5%</f>
        <v>4725.5831532000002</v>
      </c>
      <c r="AI133" s="263">
        <f>AG133+AH133</f>
        <v>99237.246217200009</v>
      </c>
      <c r="AK133">
        <v>1.43</v>
      </c>
      <c r="AL133" s="262">
        <f>AK133*P133/1000</f>
        <v>63451.492104000004</v>
      </c>
      <c r="AM133" s="262">
        <f>AL133*5%</f>
        <v>3172.5746052000004</v>
      </c>
      <c r="AN133" s="263">
        <f>SUM(AL133:AM133)</f>
        <v>66624.066709200008</v>
      </c>
      <c r="AO133" s="409"/>
      <c r="AP133" s="263"/>
      <c r="AQ133" s="89"/>
      <c r="AT133" s="262"/>
    </row>
    <row r="134" spans="1:46" hidden="1" x14ac:dyDescent="0.3">
      <c r="A134" s="230" t="s">
        <v>106</v>
      </c>
      <c r="B134" s="234"/>
      <c r="C134" s="234"/>
      <c r="D134" s="234"/>
      <c r="E134" s="234"/>
      <c r="F134" s="234"/>
      <c r="G134" s="234"/>
      <c r="H134" s="234"/>
      <c r="I134" s="234"/>
      <c r="J134" s="234"/>
      <c r="K134" s="234"/>
      <c r="L134" s="234"/>
      <c r="M134" s="234"/>
      <c r="N134" s="234"/>
      <c r="O134" s="234"/>
      <c r="P134" s="235">
        <f>SUM(P122:P133)</f>
        <v>199459352.70979711</v>
      </c>
      <c r="Q134" s="236">
        <f>T134/P134</f>
        <v>4.0026695993083047E-3</v>
      </c>
      <c r="R134" s="237">
        <f>S134/P134</f>
        <v>0.82539401995626771</v>
      </c>
      <c r="S134" s="235">
        <f>SUM(S122:S133)</f>
        <v>164632556.95101452</v>
      </c>
      <c r="T134" s="235">
        <f>SUM(T122:T133)</f>
        <v>798369.88738921739</v>
      </c>
      <c r="U134" s="235">
        <f>U123+U124*20%+SUM(U125:U127,U122)*50%</f>
        <v>5878459.3165565226</v>
      </c>
      <c r="V134" s="242">
        <f>P134/U134</f>
        <v>33.9305491403207</v>
      </c>
      <c r="W134" s="239"/>
      <c r="X134" s="240">
        <f>SUM(X122:X133)</f>
        <v>19523536.032000002</v>
      </c>
      <c r="Y134" s="22">
        <f t="shared" si="51"/>
        <v>97.882279104784431</v>
      </c>
      <c r="Z134" s="22">
        <f>X134/T134</f>
        <v>24.454249014632467</v>
      </c>
      <c r="AA134" s="241">
        <f t="shared" si="57"/>
        <v>0.45218917819665561</v>
      </c>
      <c r="AB134" s="235">
        <f>'Audience Sizing'!C10</f>
        <v>13000000</v>
      </c>
      <c r="AC134" s="235"/>
      <c r="AD134" s="235"/>
    </row>
    <row r="135" spans="1:46" hidden="1" x14ac:dyDescent="0.3">
      <c r="A135" s="205" t="s">
        <v>107</v>
      </c>
      <c r="B135" s="208"/>
      <c r="C135" s="208"/>
      <c r="D135" s="208"/>
      <c r="E135" s="208"/>
      <c r="F135" s="208"/>
      <c r="G135" s="208"/>
      <c r="H135" s="208"/>
      <c r="I135" s="208"/>
      <c r="J135" s="208"/>
      <c r="K135" s="208"/>
      <c r="L135" s="208"/>
      <c r="M135" s="208"/>
      <c r="N135" s="208"/>
      <c r="O135" s="208"/>
      <c r="P135" s="209">
        <f>SUM(P134,P121)</f>
        <v>237137973.80922145</v>
      </c>
      <c r="Q135" s="210">
        <f>T135/P135</f>
        <v>3.6178172509281829E-3</v>
      </c>
      <c r="R135" s="211">
        <f>S135/P135</f>
        <v>0.75698235854279983</v>
      </c>
      <c r="S135" s="209">
        <f>SUM(S134,S121)</f>
        <v>179509262.71416515</v>
      </c>
      <c r="T135" s="209">
        <f>SUM(T134,T121)</f>
        <v>857921.85249715694</v>
      </c>
      <c r="U135" s="209">
        <f>U121+U134*5%</f>
        <v>6006452.3860166408</v>
      </c>
      <c r="V135" s="212">
        <f>P135/U135</f>
        <v>39.48053835593403</v>
      </c>
      <c r="W135" s="213"/>
      <c r="X135" s="214">
        <f>X134+X121</f>
        <v>26025991.849987533</v>
      </c>
      <c r="Y135" s="59">
        <f t="shared" si="51"/>
        <v>109.75041842486839</v>
      </c>
      <c r="Z135" s="59">
        <f>X135/T135</f>
        <v>30.336086875784272</v>
      </c>
      <c r="AA135" s="215">
        <f t="shared" si="57"/>
        <v>0.462034798924357</v>
      </c>
      <c r="AB135" s="209">
        <f>'Audience Sizing'!C10</f>
        <v>13000000</v>
      </c>
      <c r="AC135" s="251"/>
      <c r="AD135" s="251"/>
    </row>
    <row r="136" spans="1:46" x14ac:dyDescent="0.3">
      <c r="A136" s="9" t="s">
        <v>108</v>
      </c>
      <c r="B136" s="9" t="s">
        <v>56</v>
      </c>
      <c r="C136" s="9" t="s">
        <v>57</v>
      </c>
      <c r="D136" s="9" t="s">
        <v>58</v>
      </c>
      <c r="E136" s="9" t="s">
        <v>59</v>
      </c>
      <c r="F136" s="9" t="s">
        <v>60</v>
      </c>
      <c r="G136" s="9" t="s">
        <v>61</v>
      </c>
      <c r="H136" s="9" t="s">
        <v>2276</v>
      </c>
      <c r="I136" s="9" t="s">
        <v>62</v>
      </c>
      <c r="J136" s="9" t="s">
        <v>312</v>
      </c>
      <c r="K136" s="9" t="s">
        <v>63</v>
      </c>
      <c r="L136" s="9" t="s">
        <v>64</v>
      </c>
      <c r="M136" s="9" t="s">
        <v>65</v>
      </c>
      <c r="N136" s="9" t="s">
        <v>66</v>
      </c>
      <c r="O136" s="10" t="e">
        <f>#REF!-#REF!+1</f>
        <v>#REF!</v>
      </c>
      <c r="P136" s="11">
        <f>S136/R136</f>
        <v>11864134.636363635</v>
      </c>
      <c r="Q136" s="12"/>
      <c r="R136" s="13">
        <v>0.4</v>
      </c>
      <c r="S136" s="11">
        <f>X136/W136</f>
        <v>4745653.8545454545</v>
      </c>
      <c r="T136" s="11">
        <f>P136*Q136</f>
        <v>0</v>
      </c>
      <c r="U136" s="11">
        <f>P136/V136</f>
        <v>3954711.5454545449</v>
      </c>
      <c r="V136" s="152">
        <v>3</v>
      </c>
      <c r="W136" s="154">
        <v>0.55000000000000004</v>
      </c>
      <c r="X136" s="16">
        <v>2610109.62</v>
      </c>
      <c r="Y136" s="16">
        <f t="shared" si="51"/>
        <v>220.00000000000003</v>
      </c>
      <c r="Z136" s="16">
        <f>IFERROR(X136/T136, 0)</f>
        <v>0</v>
      </c>
      <c r="AA136" s="207">
        <f t="shared" si="57"/>
        <v>0.36593064941983144</v>
      </c>
      <c r="AB136" s="11">
        <f>'Audience Sizing'!F11</f>
        <v>10807270.59</v>
      </c>
      <c r="AC136" s="17">
        <v>45383</v>
      </c>
      <c r="AD136" s="17">
        <v>45424</v>
      </c>
      <c r="AF136">
        <v>2.13</v>
      </c>
      <c r="AG136" s="262">
        <f>AF136*P136/1000</f>
        <v>25270.60677545454</v>
      </c>
      <c r="AH136" s="262">
        <f>AG136*5%</f>
        <v>1263.5303387727272</v>
      </c>
      <c r="AI136" s="263">
        <f>AG136+AH136</f>
        <v>26534.137114227269</v>
      </c>
      <c r="AK136">
        <v>1.43</v>
      </c>
      <c r="AL136" s="262">
        <f>AK136*P136/1000</f>
        <v>16965.712529999997</v>
      </c>
      <c r="AM136" s="262">
        <f>AL136*5%</f>
        <v>848.28562649999992</v>
      </c>
      <c r="AN136" s="263">
        <f>SUM(AL136:AM136)</f>
        <v>17813.998156499998</v>
      </c>
      <c r="AO136" s="409"/>
      <c r="AP136" s="263"/>
      <c r="AQ136" s="89"/>
      <c r="AT136" s="262"/>
    </row>
    <row r="137" spans="1:46" x14ac:dyDescent="0.3">
      <c r="A137" s="9" t="s">
        <v>108</v>
      </c>
      <c r="B137" s="9" t="s">
        <v>56</v>
      </c>
      <c r="C137" s="9" t="s">
        <v>57</v>
      </c>
      <c r="D137" s="9" t="s">
        <v>67</v>
      </c>
      <c r="E137" s="9" t="s">
        <v>59</v>
      </c>
      <c r="F137" s="9" t="s">
        <v>60</v>
      </c>
      <c r="G137" s="9" t="s">
        <v>68</v>
      </c>
      <c r="H137" s="9" t="s">
        <v>2276</v>
      </c>
      <c r="I137" s="9" t="s">
        <v>62</v>
      </c>
      <c r="J137" s="9" t="s">
        <v>313</v>
      </c>
      <c r="K137" s="9" t="s">
        <v>63</v>
      </c>
      <c r="L137" s="9" t="s">
        <v>64</v>
      </c>
      <c r="M137" s="9" t="s">
        <v>65</v>
      </c>
      <c r="N137" s="9" t="s">
        <v>66</v>
      </c>
      <c r="O137" s="10" t="e">
        <f>#REF!-#REF!+1</f>
        <v>#REF!</v>
      </c>
      <c r="P137" s="11">
        <f>S137/R137</f>
        <v>28360163.77566829</v>
      </c>
      <c r="Q137" s="12">
        <v>2E-3</v>
      </c>
      <c r="R137" s="13">
        <v>0.37</v>
      </c>
      <c r="S137" s="11">
        <f>X137/W137</f>
        <v>10493260.596997267</v>
      </c>
      <c r="T137" s="11">
        <f>P137*Q137</f>
        <v>56720.327551336581</v>
      </c>
      <c r="U137" s="11">
        <f>P137/V137</f>
        <v>7090040.9439170724</v>
      </c>
      <c r="V137" s="152">
        <v>4</v>
      </c>
      <c r="W137" s="15">
        <v>0.4</v>
      </c>
      <c r="X137" s="16">
        <v>4197304.238798907</v>
      </c>
      <c r="Y137" s="16">
        <f t="shared" si="51"/>
        <v>148</v>
      </c>
      <c r="Z137" s="16">
        <f>IFERROR(X137/T137, 0)</f>
        <v>74</v>
      </c>
      <c r="AA137" s="207">
        <f t="shared" si="57"/>
        <v>0.1508900331051049</v>
      </c>
      <c r="AB137" s="11">
        <f>'Audience Sizing'!E11</f>
        <v>46988133</v>
      </c>
      <c r="AC137" s="17">
        <v>45383</v>
      </c>
      <c r="AD137" s="17">
        <v>45424</v>
      </c>
      <c r="AF137">
        <v>2.13</v>
      </c>
      <c r="AG137" s="262">
        <f>AF137*P137/1000</f>
        <v>60407.148842173454</v>
      </c>
      <c r="AH137" s="262">
        <f>AG137*5%</f>
        <v>3020.3574421086728</v>
      </c>
      <c r="AI137" s="263">
        <f>AG137+AH137</f>
        <v>63427.506284282128</v>
      </c>
      <c r="AK137">
        <v>1.43</v>
      </c>
      <c r="AL137" s="262">
        <f>AK137*P137/1000</f>
        <v>40555.034199205649</v>
      </c>
      <c r="AM137" s="262">
        <f>AL137*5%</f>
        <v>2027.7517099602826</v>
      </c>
      <c r="AN137" s="263">
        <f>SUM(AL137:AM137)</f>
        <v>42582.785909165934</v>
      </c>
      <c r="AO137" s="409"/>
      <c r="AP137" s="263"/>
      <c r="AQ137" s="89"/>
      <c r="AT137" s="262"/>
    </row>
    <row r="138" spans="1:46" x14ac:dyDescent="0.3">
      <c r="A138" s="9" t="s">
        <v>108</v>
      </c>
      <c r="B138" s="9" t="s">
        <v>56</v>
      </c>
      <c r="C138" s="9" t="s">
        <v>57</v>
      </c>
      <c r="D138" s="9" t="s">
        <v>67</v>
      </c>
      <c r="E138" s="9" t="s">
        <v>59</v>
      </c>
      <c r="F138" s="9" t="s">
        <v>60</v>
      </c>
      <c r="G138" s="9" t="s">
        <v>69</v>
      </c>
      <c r="H138" s="9" t="s">
        <v>2276</v>
      </c>
      <c r="I138" s="9" t="s">
        <v>62</v>
      </c>
      <c r="J138" s="9" t="s">
        <v>314</v>
      </c>
      <c r="K138" s="9" t="s">
        <v>63</v>
      </c>
      <c r="L138" s="9" t="s">
        <v>64</v>
      </c>
      <c r="M138" s="9" t="s">
        <v>65</v>
      </c>
      <c r="N138" s="9" t="s">
        <v>66</v>
      </c>
      <c r="O138" s="10" t="e">
        <f>#REF!-#REF!+1</f>
        <v>#REF!</v>
      </c>
      <c r="P138" s="11">
        <f>S138/R138</f>
        <v>27269388.245834894</v>
      </c>
      <c r="Q138" s="12">
        <v>2E-3</v>
      </c>
      <c r="R138" s="13">
        <v>0.37</v>
      </c>
      <c r="S138" s="11">
        <f>X138/W138</f>
        <v>10089673.650958911</v>
      </c>
      <c r="T138" s="11">
        <f>P138*Q138</f>
        <v>54538.776491669792</v>
      </c>
      <c r="U138" s="11">
        <f>P138/V138</f>
        <v>6817347.0614587236</v>
      </c>
      <c r="V138" s="152">
        <v>4</v>
      </c>
      <c r="W138" s="15">
        <v>0.4</v>
      </c>
      <c r="X138" s="16">
        <v>4035869.4603835647</v>
      </c>
      <c r="Y138" s="16">
        <f t="shared" si="51"/>
        <v>148.00000000000003</v>
      </c>
      <c r="Z138" s="16">
        <f>IFERROR(X138/T138, 0)</f>
        <v>74</v>
      </c>
      <c r="AA138" s="207">
        <f t="shared" si="57"/>
        <v>0.1450865702933701</v>
      </c>
      <c r="AB138" s="11">
        <f>'Audience Sizing'!E11</f>
        <v>46988133</v>
      </c>
      <c r="AC138" s="17">
        <v>45383</v>
      </c>
      <c r="AD138" s="17">
        <v>45424</v>
      </c>
      <c r="AF138">
        <v>2.13</v>
      </c>
      <c r="AG138" s="262">
        <f>AF138*P138/1000</f>
        <v>58083.796963628323</v>
      </c>
      <c r="AH138" s="262">
        <f>AG138*5%</f>
        <v>2904.1898481814164</v>
      </c>
      <c r="AI138" s="263">
        <f>AG138+AH138</f>
        <v>60987.986811809737</v>
      </c>
      <c r="AK138">
        <v>1.43</v>
      </c>
      <c r="AL138" s="262">
        <f>AK138*P138/1000</f>
        <v>38995.225191543897</v>
      </c>
      <c r="AM138" s="262">
        <f>AL138*5%</f>
        <v>1949.761259577195</v>
      </c>
      <c r="AN138" s="263">
        <f>SUM(AL138:AM138)</f>
        <v>40944.986451121091</v>
      </c>
      <c r="AO138" s="409"/>
      <c r="AP138" s="263"/>
      <c r="AQ138" s="89"/>
      <c r="AT138" s="262"/>
    </row>
    <row r="139" spans="1:46" hidden="1" x14ac:dyDescent="0.3">
      <c r="A139" s="9" t="s">
        <v>108</v>
      </c>
      <c r="B139" s="9" t="s">
        <v>56</v>
      </c>
      <c r="C139" s="9" t="s">
        <v>71</v>
      </c>
      <c r="D139" s="9" t="s">
        <v>58</v>
      </c>
      <c r="E139" s="9" t="s">
        <v>72</v>
      </c>
      <c r="F139" s="9" t="s">
        <v>60</v>
      </c>
      <c r="G139" s="9" t="s">
        <v>61</v>
      </c>
      <c r="H139" s="9" t="s">
        <v>2276</v>
      </c>
      <c r="I139" s="9" t="s">
        <v>62</v>
      </c>
      <c r="J139" s="9" t="s">
        <v>315</v>
      </c>
      <c r="K139" s="9" t="s">
        <v>73</v>
      </c>
      <c r="L139" s="9" t="s">
        <v>64</v>
      </c>
      <c r="M139" s="9" t="s">
        <v>65</v>
      </c>
      <c r="N139" s="9" t="s">
        <v>65</v>
      </c>
      <c r="O139" s="10" t="e">
        <f>#REF!-#REF!+1</f>
        <v>#REF!</v>
      </c>
      <c r="P139" s="11">
        <f>X139*1000/W139</f>
        <v>2900121.8</v>
      </c>
      <c r="Q139" s="12">
        <v>0</v>
      </c>
      <c r="R139" s="13">
        <v>0.85</v>
      </c>
      <c r="S139" s="11">
        <f>P139*R139</f>
        <v>2465103.5299999998</v>
      </c>
      <c r="T139" s="11">
        <f>P139*Q139</f>
        <v>0</v>
      </c>
      <c r="U139" s="11">
        <f>P139/V139</f>
        <v>483353.6333333333</v>
      </c>
      <c r="V139" s="152">
        <v>6</v>
      </c>
      <c r="W139" s="15">
        <v>450</v>
      </c>
      <c r="X139" s="16">
        <v>1305054.81</v>
      </c>
      <c r="Y139" s="16">
        <f t="shared" si="51"/>
        <v>450.00000000000006</v>
      </c>
      <c r="Z139" s="16">
        <f>IFERROR(X139/T139, 0)</f>
        <v>0</v>
      </c>
      <c r="AA139" s="207">
        <f t="shared" si="57"/>
        <v>0.12329075389639811</v>
      </c>
      <c r="AB139" s="11">
        <f>'Audience Sizing'!H11</f>
        <v>3920437</v>
      </c>
      <c r="AC139" s="17">
        <v>45385</v>
      </c>
      <c r="AD139" s="17">
        <v>45424</v>
      </c>
      <c r="AH139" s="262"/>
      <c r="AI139" s="263"/>
      <c r="AK139">
        <v>1.43</v>
      </c>
      <c r="AL139" s="262">
        <f>AK139*P139/1000</f>
        <v>4147.1741739999998</v>
      </c>
      <c r="AM139" s="262">
        <f>AL139*5%</f>
        <v>207.35870869999999</v>
      </c>
      <c r="AN139" s="263">
        <f>AL139+AM139</f>
        <v>4354.5328826999994</v>
      </c>
      <c r="AP139" s="263"/>
      <c r="AQ139" s="263"/>
      <c r="AT139" s="263"/>
    </row>
    <row r="140" spans="1:46" hidden="1" x14ac:dyDescent="0.3">
      <c r="A140" s="230" t="s">
        <v>109</v>
      </c>
      <c r="B140" s="234"/>
      <c r="C140" s="234"/>
      <c r="D140" s="234"/>
      <c r="E140" s="234"/>
      <c r="F140" s="234"/>
      <c r="G140" s="234"/>
      <c r="H140" s="234"/>
      <c r="I140" s="234"/>
      <c r="J140" s="234"/>
      <c r="K140" s="234"/>
      <c r="L140" s="234"/>
      <c r="M140" s="234"/>
      <c r="N140" s="234"/>
      <c r="O140" s="234"/>
      <c r="P140" s="235">
        <f>SUM(P136:P139)</f>
        <v>70393808.457866818</v>
      </c>
      <c r="Q140" s="236">
        <f>T140/P140</f>
        <v>1.5805240046018944E-3</v>
      </c>
      <c r="R140" s="237">
        <f>S140/P140</f>
        <v>0.39483148079901287</v>
      </c>
      <c r="S140" s="235">
        <f>SUM(S136:S139)</f>
        <v>27793691.632501632</v>
      </c>
      <c r="T140" s="235">
        <f>SUM(T136:T139)</f>
        <v>111259.10404300637</v>
      </c>
      <c r="U140" s="235">
        <f>U137+U138*20%+SUM(U139:U139,U136)*50%</f>
        <v>10672542.945602756</v>
      </c>
      <c r="V140" s="238">
        <f>P140/U140</f>
        <v>6.5957859168765491</v>
      </c>
      <c r="W140" s="239"/>
      <c r="X140" s="240">
        <f>SUM(X136:X139)</f>
        <v>12148338.129182473</v>
      </c>
      <c r="Y140" s="22">
        <f t="shared" si="51"/>
        <v>172.57679894466403</v>
      </c>
      <c r="Z140" s="22">
        <f>X140/T140</f>
        <v>109.1896095485959</v>
      </c>
      <c r="AA140" s="241">
        <f t="shared" si="57"/>
        <v>0.36801872226216398</v>
      </c>
      <c r="AB140" s="235">
        <f>'Audience Sizing'!C11</f>
        <v>29000000</v>
      </c>
      <c r="AC140" s="235"/>
      <c r="AD140" s="235"/>
    </row>
    <row r="141" spans="1:46" x14ac:dyDescent="0.3">
      <c r="A141" s="9" t="s">
        <v>108</v>
      </c>
      <c r="B141" s="9" t="s">
        <v>56</v>
      </c>
      <c r="C141" s="9" t="s">
        <v>57</v>
      </c>
      <c r="D141" s="9" t="s">
        <v>58</v>
      </c>
      <c r="E141" s="9" t="s">
        <v>75</v>
      </c>
      <c r="F141" s="9" t="s">
        <v>60</v>
      </c>
      <c r="G141" s="9" t="s">
        <v>61</v>
      </c>
      <c r="H141" s="9" t="s">
        <v>2276</v>
      </c>
      <c r="I141" s="9" t="s">
        <v>76</v>
      </c>
      <c r="J141" s="9" t="s">
        <v>312</v>
      </c>
      <c r="K141" s="9" t="s">
        <v>77</v>
      </c>
      <c r="L141" s="9" t="s">
        <v>64</v>
      </c>
      <c r="M141" s="9" t="s">
        <v>65</v>
      </c>
      <c r="N141" s="9" t="s">
        <v>66</v>
      </c>
      <c r="O141" s="10" t="e">
        <f>#REF!-#REF!+1</f>
        <v>#REF!</v>
      </c>
      <c r="P141" s="11">
        <f t="shared" ref="P141:P148" si="58">X141*1000/W141</f>
        <v>24718988.448000006</v>
      </c>
      <c r="Q141" s="12"/>
      <c r="R141" s="13">
        <v>0.75</v>
      </c>
      <c r="S141" s="11">
        <f t="shared" ref="S141:S148" si="59">P141*R141</f>
        <v>18539241.336000003</v>
      </c>
      <c r="T141" s="11">
        <f t="shared" ref="T141:T148" si="60">P141*Q141</f>
        <v>0</v>
      </c>
      <c r="U141" s="11">
        <f t="shared" ref="U141:U148" si="61">P141/V141</f>
        <v>4119831.4080000012</v>
      </c>
      <c r="V141" s="152">
        <v>6</v>
      </c>
      <c r="W141" s="15">
        <v>125</v>
      </c>
      <c r="X141" s="16">
        <v>3089873.5560000008</v>
      </c>
      <c r="Y141" s="16">
        <f t="shared" si="51"/>
        <v>125</v>
      </c>
      <c r="Z141" s="16">
        <f t="shared" ref="Z141:Z148" si="62">IFERROR(X141/T141, 0)</f>
        <v>0</v>
      </c>
      <c r="AA141" s="207">
        <f t="shared" si="57"/>
        <v>0.38120923999183415</v>
      </c>
      <c r="AB141" s="11">
        <f>'Audience Sizing'!F11</f>
        <v>10807270.59</v>
      </c>
      <c r="AC141" s="17">
        <v>45390</v>
      </c>
      <c r="AD141" s="17">
        <v>45473</v>
      </c>
      <c r="AE141" s="17"/>
      <c r="AF141">
        <v>2.13</v>
      </c>
      <c r="AG141" s="262">
        <f>AF141*P141/1000</f>
        <v>52651.445394240014</v>
      </c>
      <c r="AH141" s="262">
        <f>AG141*5%</f>
        <v>2632.5722697120009</v>
      </c>
      <c r="AI141" s="263">
        <f>AG141+AH141</f>
        <v>55284.017663952014</v>
      </c>
      <c r="AK141">
        <v>1.43</v>
      </c>
      <c r="AL141" s="262">
        <f>AK141*P141/1000</f>
        <v>35348.153480640009</v>
      </c>
      <c r="AM141" s="262">
        <f>AL141*5%</f>
        <v>1767.4076740320006</v>
      </c>
      <c r="AN141" s="263">
        <f>SUM(AL141:AM141)</f>
        <v>37115.56115467201</v>
      </c>
      <c r="AO141" s="409"/>
      <c r="AP141" s="263"/>
      <c r="AQ141" s="89"/>
      <c r="AT141" s="262"/>
    </row>
    <row r="142" spans="1:46" x14ac:dyDescent="0.3">
      <c r="A142" s="9" t="s">
        <v>108</v>
      </c>
      <c r="B142" s="9" t="s">
        <v>56</v>
      </c>
      <c r="C142" s="9" t="s">
        <v>57</v>
      </c>
      <c r="D142" s="9" t="s">
        <v>67</v>
      </c>
      <c r="E142" s="9" t="s">
        <v>75</v>
      </c>
      <c r="F142" s="9" t="s">
        <v>60</v>
      </c>
      <c r="G142" s="9" t="s">
        <v>68</v>
      </c>
      <c r="H142" s="9" t="s">
        <v>2276</v>
      </c>
      <c r="I142" s="9" t="s">
        <v>76</v>
      </c>
      <c r="J142" s="9" t="s">
        <v>313</v>
      </c>
      <c r="K142" s="9" t="s">
        <v>77</v>
      </c>
      <c r="L142" s="9" t="s">
        <v>64</v>
      </c>
      <c r="M142" s="9" t="s">
        <v>65</v>
      </c>
      <c r="N142" s="9" t="s">
        <v>66</v>
      </c>
      <c r="O142" s="10" t="e">
        <f>#REF!-#REF!+1</f>
        <v>#REF!</v>
      </c>
      <c r="P142" s="11">
        <f t="shared" si="58"/>
        <v>80605397.113043502</v>
      </c>
      <c r="Q142" s="12">
        <v>5.4999999999999997E-3</v>
      </c>
      <c r="R142" s="13">
        <v>0.75</v>
      </c>
      <c r="S142" s="11">
        <f t="shared" si="59"/>
        <v>60454047.83478263</v>
      </c>
      <c r="T142" s="11">
        <f t="shared" si="60"/>
        <v>443329.68412173924</v>
      </c>
      <c r="U142" s="11">
        <f t="shared" si="61"/>
        <v>6717116.4260869585</v>
      </c>
      <c r="V142" s="152">
        <v>12</v>
      </c>
      <c r="W142" s="15">
        <v>115</v>
      </c>
      <c r="X142" s="16">
        <v>9269620.6680000015</v>
      </c>
      <c r="Y142" s="16">
        <f t="shared" si="51"/>
        <v>114.99999999999999</v>
      </c>
      <c r="Z142" s="16">
        <f t="shared" si="62"/>
        <v>20.909090909090907</v>
      </c>
      <c r="AA142" s="207">
        <f t="shared" si="57"/>
        <v>0.14295346499693781</v>
      </c>
      <c r="AB142" s="11">
        <f>'Audience Sizing'!E11</f>
        <v>46988133</v>
      </c>
      <c r="AC142" s="17">
        <v>45390</v>
      </c>
      <c r="AD142" s="17">
        <v>45473</v>
      </c>
      <c r="AE142" s="17"/>
      <c r="AF142">
        <v>2.13</v>
      </c>
      <c r="AG142" s="262">
        <f>AF142*P142/1000</f>
        <v>171689.49585078267</v>
      </c>
      <c r="AH142" s="262">
        <f>AG142*5%</f>
        <v>8584.474792539133</v>
      </c>
      <c r="AI142" s="263">
        <f>AG142+AH142</f>
        <v>180273.97064332181</v>
      </c>
      <c r="AK142">
        <v>1.43</v>
      </c>
      <c r="AL142" s="262">
        <f>AK142*P142/1000</f>
        <v>115265.7178716522</v>
      </c>
      <c r="AM142" s="262">
        <f>AL142*5%</f>
        <v>5763.2858935826107</v>
      </c>
      <c r="AN142" s="263">
        <f>SUM(AL142:AM142)</f>
        <v>121029.00376523481</v>
      </c>
      <c r="AO142" s="409"/>
      <c r="AP142" s="263"/>
      <c r="AQ142" s="89"/>
      <c r="AT142" s="262"/>
    </row>
    <row r="143" spans="1:46" x14ac:dyDescent="0.3">
      <c r="A143" s="9" t="s">
        <v>108</v>
      </c>
      <c r="B143" s="9" t="s">
        <v>56</v>
      </c>
      <c r="C143" s="9" t="s">
        <v>57</v>
      </c>
      <c r="D143" s="9" t="s">
        <v>67</v>
      </c>
      <c r="E143" s="9" t="s">
        <v>75</v>
      </c>
      <c r="F143" s="9" t="s">
        <v>60</v>
      </c>
      <c r="G143" s="9" t="s">
        <v>69</v>
      </c>
      <c r="H143" s="9" t="s">
        <v>2276</v>
      </c>
      <c r="I143" s="9" t="s">
        <v>76</v>
      </c>
      <c r="J143" s="9" t="s">
        <v>314</v>
      </c>
      <c r="K143" s="9" t="s">
        <v>77</v>
      </c>
      <c r="L143" s="9" t="s">
        <v>64</v>
      </c>
      <c r="M143" s="9" t="s">
        <v>65</v>
      </c>
      <c r="N143" s="9" t="s">
        <v>66</v>
      </c>
      <c r="O143" s="10" t="e">
        <f>#REF!-#REF!+1</f>
        <v>#REF!</v>
      </c>
      <c r="P143" s="11">
        <f t="shared" si="58"/>
        <v>80605397.113043502</v>
      </c>
      <c r="Q143" s="12">
        <v>5.4999999999999997E-3</v>
      </c>
      <c r="R143" s="13">
        <v>0.75</v>
      </c>
      <c r="S143" s="11">
        <f t="shared" si="59"/>
        <v>60454047.83478263</v>
      </c>
      <c r="T143" s="11">
        <f t="shared" si="60"/>
        <v>443329.68412173924</v>
      </c>
      <c r="U143" s="11">
        <f t="shared" si="61"/>
        <v>6717116.4260869585</v>
      </c>
      <c r="V143" s="152">
        <v>12</v>
      </c>
      <c r="W143" s="15">
        <v>115</v>
      </c>
      <c r="X143" s="16">
        <v>9269620.6680000015</v>
      </c>
      <c r="Y143" s="16">
        <f t="shared" si="51"/>
        <v>114.99999999999999</v>
      </c>
      <c r="Z143" s="16">
        <f t="shared" si="62"/>
        <v>20.909090909090907</v>
      </c>
      <c r="AA143" s="207">
        <f t="shared" si="57"/>
        <v>0.14295346499693781</v>
      </c>
      <c r="AB143" s="11">
        <f>'Audience Sizing'!E11</f>
        <v>46988133</v>
      </c>
      <c r="AC143" s="17">
        <v>45390</v>
      </c>
      <c r="AD143" s="17">
        <v>45473</v>
      </c>
      <c r="AE143" s="17"/>
      <c r="AF143">
        <v>2.13</v>
      </c>
      <c r="AG143" s="262">
        <f>AF143*P143/1000</f>
        <v>171689.49585078267</v>
      </c>
      <c r="AH143" s="262">
        <f>AG143*5%</f>
        <v>8584.474792539133</v>
      </c>
      <c r="AI143" s="263">
        <f>AG143+AH143</f>
        <v>180273.97064332181</v>
      </c>
      <c r="AK143">
        <v>1.43</v>
      </c>
      <c r="AL143" s="262">
        <f>AK143*P143/1000</f>
        <v>115265.7178716522</v>
      </c>
      <c r="AM143" s="262">
        <f>AL143*5%</f>
        <v>5763.2858935826107</v>
      </c>
      <c r="AN143" s="263">
        <f>SUM(AL143:AM143)</f>
        <v>121029.00376523481</v>
      </c>
      <c r="AO143" s="409"/>
      <c r="AP143" s="263"/>
      <c r="AQ143" s="89"/>
      <c r="AT143" s="262"/>
    </row>
    <row r="144" spans="1:46" hidden="1" x14ac:dyDescent="0.3">
      <c r="A144" s="9" t="s">
        <v>108</v>
      </c>
      <c r="B144" s="9" t="s">
        <v>56</v>
      </c>
      <c r="C144" s="9" t="s">
        <v>71</v>
      </c>
      <c r="D144" s="9" t="s">
        <v>58</v>
      </c>
      <c r="E144" s="9" t="s">
        <v>72</v>
      </c>
      <c r="F144" s="9" t="s">
        <v>60</v>
      </c>
      <c r="G144" s="9" t="s">
        <v>61</v>
      </c>
      <c r="H144" s="9" t="s">
        <v>2276</v>
      </c>
      <c r="I144" s="9" t="s">
        <v>76</v>
      </c>
      <c r="J144" s="9" t="s">
        <v>315</v>
      </c>
      <c r="K144" s="9" t="s">
        <v>73</v>
      </c>
      <c r="L144" s="9" t="s">
        <v>64</v>
      </c>
      <c r="M144" s="9" t="s">
        <v>65</v>
      </c>
      <c r="N144" s="9" t="s">
        <v>65</v>
      </c>
      <c r="O144" s="10" t="e">
        <f>#REF!-#REF!+1</f>
        <v>#REF!</v>
      </c>
      <c r="P144" s="11">
        <f t="shared" si="58"/>
        <v>5296926.0959999999</v>
      </c>
      <c r="Q144" s="12">
        <v>0</v>
      </c>
      <c r="R144" s="13">
        <v>0.85</v>
      </c>
      <c r="S144" s="11">
        <f t="shared" si="59"/>
        <v>4502387.1815999998</v>
      </c>
      <c r="T144" s="11">
        <f t="shared" si="60"/>
        <v>0</v>
      </c>
      <c r="U144" s="11">
        <f t="shared" si="61"/>
        <v>882821.01599999995</v>
      </c>
      <c r="V144" s="152">
        <v>6</v>
      </c>
      <c r="W144" s="15">
        <v>250</v>
      </c>
      <c r="X144" s="16">
        <v>1324231.524</v>
      </c>
      <c r="Y144" s="16">
        <f t="shared" si="51"/>
        <v>250</v>
      </c>
      <c r="Z144" s="16">
        <f t="shared" si="62"/>
        <v>0</v>
      </c>
      <c r="AA144" s="221">
        <f t="shared" si="57"/>
        <v>0.22518433939889862</v>
      </c>
      <c r="AB144" s="11">
        <f>'Audience Sizing'!H11</f>
        <v>3920437</v>
      </c>
      <c r="AC144" s="17">
        <v>45390</v>
      </c>
      <c r="AD144" s="17">
        <v>45473</v>
      </c>
      <c r="AE144" s="17"/>
      <c r="AG144" s="262"/>
      <c r="AH144" s="263"/>
      <c r="AK144">
        <v>1.43</v>
      </c>
      <c r="AL144" s="262">
        <f>AK144*P144/1000</f>
        <v>7574.6043172799991</v>
      </c>
      <c r="AM144" s="262">
        <f>AL144*5%</f>
        <v>378.730215864</v>
      </c>
      <c r="AN144" s="263">
        <f>AL144+AM144</f>
        <v>7953.3345331439996</v>
      </c>
      <c r="AO144" s="409"/>
      <c r="AP144" s="263"/>
      <c r="AQ144" s="263"/>
      <c r="AR144" s="262"/>
      <c r="AS144" s="263"/>
      <c r="AT144" s="263"/>
    </row>
    <row r="145" spans="1:46" hidden="1" x14ac:dyDescent="0.3">
      <c r="A145" s="9" t="s">
        <v>108</v>
      </c>
      <c r="B145" s="9" t="s">
        <v>56</v>
      </c>
      <c r="C145" s="9" t="s">
        <v>71</v>
      </c>
      <c r="D145" s="9" t="s">
        <v>67</v>
      </c>
      <c r="E145" s="9" t="s">
        <v>72</v>
      </c>
      <c r="F145" s="9" t="s">
        <v>60</v>
      </c>
      <c r="G145" s="9" t="s">
        <v>68</v>
      </c>
      <c r="H145" s="9" t="s">
        <v>2276</v>
      </c>
      <c r="I145" s="9" t="s">
        <v>76</v>
      </c>
      <c r="J145" s="9" t="s">
        <v>2335</v>
      </c>
      <c r="K145" s="9" t="s">
        <v>73</v>
      </c>
      <c r="L145" s="9" t="s">
        <v>64</v>
      </c>
      <c r="M145" s="9" t="s">
        <v>65</v>
      </c>
      <c r="N145" s="9" t="s">
        <v>65</v>
      </c>
      <c r="O145" s="10" t="e">
        <f>#REF!-#REF!+1</f>
        <v>#REF!</v>
      </c>
      <c r="P145" s="11">
        <f t="shared" si="58"/>
        <v>3431710</v>
      </c>
      <c r="Q145" s="12">
        <v>1.2E-2</v>
      </c>
      <c r="R145" s="13">
        <v>0.85</v>
      </c>
      <c r="S145" s="11">
        <f t="shared" si="59"/>
        <v>2916953.5</v>
      </c>
      <c r="T145" s="11">
        <f t="shared" si="60"/>
        <v>41180.520000000004</v>
      </c>
      <c r="U145" s="11">
        <f t="shared" si="61"/>
        <v>686342</v>
      </c>
      <c r="V145" s="152">
        <v>5</v>
      </c>
      <c r="W145" s="15">
        <v>200</v>
      </c>
      <c r="X145" s="16">
        <v>686342</v>
      </c>
      <c r="Y145" s="16">
        <f t="shared" si="51"/>
        <v>200</v>
      </c>
      <c r="Z145" s="16">
        <f t="shared" si="62"/>
        <v>16.666666666666664</v>
      </c>
      <c r="AA145" s="221">
        <f t="shared" si="57"/>
        <v>5.3855189017948772E-2</v>
      </c>
      <c r="AB145" s="11">
        <f>'Audience Sizing'!G11</f>
        <v>12744213</v>
      </c>
      <c r="AC145" s="17">
        <v>45390</v>
      </c>
      <c r="AD145" s="17">
        <v>45404</v>
      </c>
      <c r="AG145" s="262"/>
      <c r="AH145" s="263"/>
      <c r="AL145" s="262"/>
      <c r="AM145" s="262"/>
      <c r="AN145" s="263"/>
      <c r="AP145" s="263"/>
      <c r="AQ145" s="263"/>
    </row>
    <row r="146" spans="1:46" hidden="1" x14ac:dyDescent="0.3">
      <c r="A146" s="9" t="s">
        <v>108</v>
      </c>
      <c r="B146" s="9" t="s">
        <v>56</v>
      </c>
      <c r="C146" s="9" t="s">
        <v>71</v>
      </c>
      <c r="D146" s="9" t="s">
        <v>67</v>
      </c>
      <c r="E146" s="9" t="s">
        <v>72</v>
      </c>
      <c r="F146" s="9" t="s">
        <v>60</v>
      </c>
      <c r="G146" s="9" t="s">
        <v>68</v>
      </c>
      <c r="H146" s="9" t="s">
        <v>2276</v>
      </c>
      <c r="I146" s="9" t="s">
        <v>76</v>
      </c>
      <c r="J146" s="9" t="s">
        <v>2298</v>
      </c>
      <c r="K146" s="9" t="s">
        <v>73</v>
      </c>
      <c r="L146" s="9" t="s">
        <v>64</v>
      </c>
      <c r="M146" s="9" t="s">
        <v>65</v>
      </c>
      <c r="N146" s="9" t="s">
        <v>65</v>
      </c>
      <c r="O146" s="10" t="e">
        <f>#REF!-#REF!+1</f>
        <v>#REF!</v>
      </c>
      <c r="P146" s="11">
        <f t="shared" si="58"/>
        <v>7848484.1920000007</v>
      </c>
      <c r="Q146" s="12">
        <v>1.2E-2</v>
      </c>
      <c r="R146" s="13">
        <v>0.85</v>
      </c>
      <c r="S146" s="11">
        <f t="shared" si="59"/>
        <v>6671211.5632000007</v>
      </c>
      <c r="T146" s="11">
        <f t="shared" si="60"/>
        <v>94181.810304000013</v>
      </c>
      <c r="U146" s="11">
        <f t="shared" si="61"/>
        <v>1569696.8384000002</v>
      </c>
      <c r="V146" s="152">
        <v>5</v>
      </c>
      <c r="W146" s="15">
        <v>200</v>
      </c>
      <c r="X146" s="16">
        <v>1569696.8384</v>
      </c>
      <c r="Y146" s="16">
        <f t="shared" si="51"/>
        <v>199.99999999999997</v>
      </c>
      <c r="Z146" s="16">
        <f t="shared" si="62"/>
        <v>16.666666666666664</v>
      </c>
      <c r="AA146" s="221">
        <f t="shared" si="57"/>
        <v>0.12316938193044955</v>
      </c>
      <c r="AB146" s="11">
        <f>'Audience Sizing'!G11</f>
        <v>12744213</v>
      </c>
      <c r="AC146" s="17">
        <v>45390</v>
      </c>
      <c r="AD146" s="17">
        <v>45473</v>
      </c>
      <c r="AE146" s="17"/>
      <c r="AG146" s="262"/>
      <c r="AH146" s="263"/>
      <c r="AK146">
        <v>1.43</v>
      </c>
      <c r="AL146" s="262">
        <f>AK146*P146/1000</f>
        <v>11223.33239456</v>
      </c>
      <c r="AM146" s="262">
        <f>AL146*5%</f>
        <v>561.166619728</v>
      </c>
      <c r="AN146" s="263">
        <f>AL146+AM146</f>
        <v>11784.499014288</v>
      </c>
      <c r="AO146" s="409"/>
      <c r="AP146" s="263"/>
      <c r="AQ146" s="263"/>
      <c r="AR146" s="262"/>
      <c r="AS146" s="263"/>
      <c r="AT146" s="263"/>
    </row>
    <row r="147" spans="1:46" hidden="1" x14ac:dyDescent="0.3">
      <c r="A147" s="9" t="s">
        <v>108</v>
      </c>
      <c r="B147" s="9" t="s">
        <v>56</v>
      </c>
      <c r="C147" s="9" t="s">
        <v>71</v>
      </c>
      <c r="D147" s="9" t="s">
        <v>67</v>
      </c>
      <c r="E147" s="9" t="s">
        <v>72</v>
      </c>
      <c r="F147" s="9" t="s">
        <v>60</v>
      </c>
      <c r="G147" s="9" t="s">
        <v>68</v>
      </c>
      <c r="H147" s="9" t="s">
        <v>2276</v>
      </c>
      <c r="I147" s="9" t="s">
        <v>76</v>
      </c>
      <c r="J147" s="9" t="s">
        <v>2299</v>
      </c>
      <c r="K147" s="9" t="s">
        <v>73</v>
      </c>
      <c r="L147" s="9" t="s">
        <v>64</v>
      </c>
      <c r="M147" s="9" t="s">
        <v>65</v>
      </c>
      <c r="N147" s="9" t="s">
        <v>65</v>
      </c>
      <c r="O147" s="10" t="e">
        <f>#REF!-#REF!+1</f>
        <v>#REF!</v>
      </c>
      <c r="P147" s="11">
        <f t="shared" si="58"/>
        <v>3270201.7466666666</v>
      </c>
      <c r="Q147" s="12">
        <v>1.2E-2</v>
      </c>
      <c r="R147" s="13">
        <v>0.85</v>
      </c>
      <c r="S147" s="11">
        <f t="shared" si="59"/>
        <v>2779671.4846666665</v>
      </c>
      <c r="T147" s="11">
        <f t="shared" si="60"/>
        <v>39242.420960000003</v>
      </c>
      <c r="U147" s="11">
        <f t="shared" si="61"/>
        <v>654040.34933333332</v>
      </c>
      <c r="V147" s="152">
        <v>5</v>
      </c>
      <c r="W147" s="15">
        <f>200*60%</f>
        <v>120</v>
      </c>
      <c r="X147" s="16">
        <v>392424.20959999994</v>
      </c>
      <c r="Y147" s="16">
        <f t="shared" si="51"/>
        <v>119.99999999999999</v>
      </c>
      <c r="Z147" s="16">
        <f t="shared" si="62"/>
        <v>9.9999999999999982</v>
      </c>
      <c r="AA147" s="221">
        <f t="shared" si="57"/>
        <v>5.1320575804353973E-2</v>
      </c>
      <c r="AB147" s="11">
        <f>'Audience Sizing'!G11</f>
        <v>12744213</v>
      </c>
      <c r="AC147" s="17">
        <v>45406</v>
      </c>
      <c r="AD147" s="17">
        <v>45473</v>
      </c>
      <c r="AE147" s="17"/>
      <c r="AG147" s="262"/>
      <c r="AH147" s="263"/>
      <c r="AK147">
        <v>1.43</v>
      </c>
      <c r="AL147" s="262">
        <f>AK147*P147/1000</f>
        <v>4676.3884977333328</v>
      </c>
      <c r="AM147" s="262">
        <f>AL147*5%</f>
        <v>233.81942488666664</v>
      </c>
      <c r="AN147" s="263">
        <f>AL147+AM147</f>
        <v>4910.2079226199994</v>
      </c>
      <c r="AO147" s="409"/>
      <c r="AP147" s="263"/>
      <c r="AQ147" s="263"/>
      <c r="AR147" s="262"/>
      <c r="AS147" s="263"/>
      <c r="AT147" s="263"/>
    </row>
    <row r="148" spans="1:46" hidden="1" x14ac:dyDescent="0.3">
      <c r="A148" s="9" t="s">
        <v>108</v>
      </c>
      <c r="B148" s="9" t="s">
        <v>56</v>
      </c>
      <c r="C148" s="9" t="s">
        <v>71</v>
      </c>
      <c r="D148" s="9" t="s">
        <v>67</v>
      </c>
      <c r="E148" s="9" t="s">
        <v>72</v>
      </c>
      <c r="F148" s="9" t="s">
        <v>60</v>
      </c>
      <c r="G148" s="9" t="s">
        <v>69</v>
      </c>
      <c r="H148" s="9" t="s">
        <v>2276</v>
      </c>
      <c r="I148" s="9" t="s">
        <v>76</v>
      </c>
      <c r="J148" s="9" t="s">
        <v>2336</v>
      </c>
      <c r="K148" s="9" t="s">
        <v>73</v>
      </c>
      <c r="L148" s="9" t="s">
        <v>64</v>
      </c>
      <c r="M148" s="9" t="s">
        <v>65</v>
      </c>
      <c r="N148" s="9" t="s">
        <v>65</v>
      </c>
      <c r="O148" s="10" t="e">
        <f>#REF!-#REF!+1</f>
        <v>#REF!</v>
      </c>
      <c r="P148" s="11">
        <f t="shared" si="58"/>
        <v>3651685</v>
      </c>
      <c r="Q148" s="12">
        <v>1.2E-2</v>
      </c>
      <c r="R148" s="13">
        <v>0.85</v>
      </c>
      <c r="S148" s="11">
        <f t="shared" si="59"/>
        <v>3103932.25</v>
      </c>
      <c r="T148" s="11">
        <f t="shared" si="60"/>
        <v>43820.22</v>
      </c>
      <c r="U148" s="11">
        <f t="shared" si="61"/>
        <v>730337</v>
      </c>
      <c r="V148" s="152">
        <v>5</v>
      </c>
      <c r="W148" s="15">
        <v>200</v>
      </c>
      <c r="X148" s="16">
        <v>730337</v>
      </c>
      <c r="Y148" s="16">
        <f t="shared" si="51"/>
        <v>200</v>
      </c>
      <c r="Z148" s="16">
        <f t="shared" si="62"/>
        <v>16.666666666666668</v>
      </c>
      <c r="AA148" s="221">
        <f t="shared" si="57"/>
        <v>5.7307344125525836E-2</v>
      </c>
      <c r="AB148" s="11">
        <f>'Audience Sizing'!G11</f>
        <v>12744213</v>
      </c>
      <c r="AC148" s="17">
        <v>45390</v>
      </c>
      <c r="AD148" s="17">
        <v>45404</v>
      </c>
      <c r="AG148" s="262"/>
      <c r="AH148" s="263"/>
      <c r="AL148" s="262"/>
      <c r="AM148" s="262"/>
      <c r="AN148" s="263"/>
      <c r="AP148" s="263"/>
      <c r="AQ148" s="263"/>
    </row>
    <row r="149" spans="1:46" hidden="1" x14ac:dyDescent="0.3">
      <c r="A149" s="9" t="s">
        <v>108</v>
      </c>
      <c r="B149" s="9" t="s">
        <v>56</v>
      </c>
      <c r="C149" s="9" t="s">
        <v>71</v>
      </c>
      <c r="D149" s="9" t="s">
        <v>67</v>
      </c>
      <c r="E149" s="9" t="s">
        <v>72</v>
      </c>
      <c r="F149" s="9" t="s">
        <v>60</v>
      </c>
      <c r="G149" s="9" t="s">
        <v>69</v>
      </c>
      <c r="H149" s="9" t="s">
        <v>2276</v>
      </c>
      <c r="I149" s="9" t="s">
        <v>76</v>
      </c>
      <c r="J149" s="9" t="s">
        <v>2334</v>
      </c>
      <c r="K149" s="9" t="s">
        <v>73</v>
      </c>
      <c r="L149" s="9" t="s">
        <v>64</v>
      </c>
      <c r="M149" s="9" t="s">
        <v>65</v>
      </c>
      <c r="N149" s="9" t="s">
        <v>65</v>
      </c>
      <c r="O149" s="10" t="e">
        <f>#REF!-#REF!+1</f>
        <v>#REF!</v>
      </c>
      <c r="P149" s="11">
        <f t="shared" ref="P149:P152" si="63">X149*1000/W149</f>
        <v>7672504.1920000007</v>
      </c>
      <c r="Q149" s="12">
        <v>1.2E-2</v>
      </c>
      <c r="R149" s="13">
        <v>0.85</v>
      </c>
      <c r="S149" s="11">
        <f t="shared" ref="S149" si="64">P149*R149</f>
        <v>6521628.5632000007</v>
      </c>
      <c r="T149" s="11">
        <f t="shared" ref="T149" si="65">P149*Q149</f>
        <v>92070.050304000004</v>
      </c>
      <c r="U149" s="11">
        <f t="shared" ref="U149" si="66">P149/V149</f>
        <v>1534500.8384000002</v>
      </c>
      <c r="V149" s="152">
        <v>5</v>
      </c>
      <c r="W149" s="15">
        <v>200</v>
      </c>
      <c r="X149" s="16">
        <v>1534500.8384</v>
      </c>
      <c r="Y149" s="16">
        <f t="shared" ref="Y149" si="67">X149/P149*1000</f>
        <v>199.99999999999997</v>
      </c>
      <c r="Z149" s="16">
        <f t="shared" ref="Z149" si="68">IFERROR(X149/T149, 0)</f>
        <v>16.666666666666664</v>
      </c>
      <c r="AA149" s="221">
        <f t="shared" ref="AA149" si="69">U149/AB149</f>
        <v>0.12040765784438789</v>
      </c>
      <c r="AB149" s="11">
        <f>'Audience Sizing'!G11</f>
        <v>12744213</v>
      </c>
      <c r="AC149" s="17">
        <v>45390</v>
      </c>
      <c r="AD149" s="17">
        <v>45473</v>
      </c>
      <c r="AE149" s="17"/>
      <c r="AG149" s="262"/>
      <c r="AH149" s="263"/>
      <c r="AK149">
        <v>1.43</v>
      </c>
      <c r="AL149" s="262">
        <f t="shared" ref="AL149:AL150" si="70">AK149*P149/1000</f>
        <v>10971.680994560002</v>
      </c>
      <c r="AM149" s="262">
        <f t="shared" ref="AM149:AM150" si="71">AL149*5%</f>
        <v>548.58404972800008</v>
      </c>
      <c r="AN149" s="263">
        <f t="shared" ref="AN149:AN150" si="72">AL149+AM149</f>
        <v>11520.265044288002</v>
      </c>
      <c r="AO149" s="409"/>
      <c r="AP149" s="263"/>
      <c r="AQ149" s="263"/>
      <c r="AR149" s="262"/>
      <c r="AS149" s="263"/>
      <c r="AT149" s="263"/>
    </row>
    <row r="150" spans="1:46" hidden="1" x14ac:dyDescent="0.3">
      <c r="A150" s="9" t="s">
        <v>108</v>
      </c>
      <c r="B150" s="9" t="s">
        <v>56</v>
      </c>
      <c r="C150" s="9" t="s">
        <v>71</v>
      </c>
      <c r="D150" s="9" t="s">
        <v>67</v>
      </c>
      <c r="E150" s="9" t="s">
        <v>72</v>
      </c>
      <c r="F150" s="9" t="s">
        <v>60</v>
      </c>
      <c r="G150" s="9" t="s">
        <v>69</v>
      </c>
      <c r="H150" s="9" t="s">
        <v>2276</v>
      </c>
      <c r="I150" s="9" t="s">
        <v>76</v>
      </c>
      <c r="J150" s="9" t="s">
        <v>2300</v>
      </c>
      <c r="K150" s="9" t="s">
        <v>73</v>
      </c>
      <c r="L150" s="9" t="s">
        <v>64</v>
      </c>
      <c r="M150" s="9" t="s">
        <v>65</v>
      </c>
      <c r="N150" s="9" t="s">
        <v>65</v>
      </c>
      <c r="O150" s="10" t="e">
        <f>#REF!-#REF!+1</f>
        <v>#REF!</v>
      </c>
      <c r="P150" s="11">
        <f t="shared" si="63"/>
        <v>3196876.7466666666</v>
      </c>
      <c r="Q150" s="12">
        <v>1.2E-2</v>
      </c>
      <c r="R150" s="13">
        <v>0.85</v>
      </c>
      <c r="S150" s="11">
        <f t="shared" ref="S150:S152" si="73">P150*R150</f>
        <v>2717345.2346666665</v>
      </c>
      <c r="T150" s="11">
        <f t="shared" ref="T150:T152" si="74">P150*Q150</f>
        <v>38362.520960000002</v>
      </c>
      <c r="U150" s="11">
        <f t="shared" ref="U150:U152" si="75">P150/V150</f>
        <v>639375.34933333332</v>
      </c>
      <c r="V150" s="152">
        <v>5</v>
      </c>
      <c r="W150" s="15">
        <f>200*60%</f>
        <v>120</v>
      </c>
      <c r="X150" s="16">
        <v>383625.20959999994</v>
      </c>
      <c r="Y150" s="16">
        <f t="shared" ref="Y150:Y155" si="76">X150/P150*1000</f>
        <v>119.99999999999999</v>
      </c>
      <c r="Z150" s="16">
        <f t="shared" ref="Z150:Z152" si="77">IFERROR(X150/T150, 0)</f>
        <v>9.9999999999999982</v>
      </c>
      <c r="AA150" s="221">
        <f t="shared" ref="AA150:AA155" si="78">U150/AB150</f>
        <v>5.0169857435161613E-2</v>
      </c>
      <c r="AB150" s="11">
        <f>'Audience Sizing'!G11</f>
        <v>12744213</v>
      </c>
      <c r="AC150" s="17">
        <v>45406</v>
      </c>
      <c r="AD150" s="17">
        <v>45473</v>
      </c>
      <c r="AE150" s="17"/>
      <c r="AG150" s="262"/>
      <c r="AH150" s="263"/>
      <c r="AK150">
        <v>1.43</v>
      </c>
      <c r="AL150" s="262">
        <f t="shared" si="70"/>
        <v>4571.5337477333333</v>
      </c>
      <c r="AM150" s="262">
        <f t="shared" si="71"/>
        <v>228.57668738666666</v>
      </c>
      <c r="AN150" s="263">
        <f t="shared" si="72"/>
        <v>4800.1104351200001</v>
      </c>
      <c r="AO150" s="409"/>
      <c r="AP150" s="263"/>
      <c r="AQ150" s="263"/>
      <c r="AR150" s="262"/>
      <c r="AS150" s="263"/>
      <c r="AT150" s="263"/>
    </row>
    <row r="151" spans="1:46" x14ac:dyDescent="0.3">
      <c r="A151" s="9" t="s">
        <v>108</v>
      </c>
      <c r="B151" s="9" t="s">
        <v>56</v>
      </c>
      <c r="C151" s="9" t="s">
        <v>57</v>
      </c>
      <c r="D151" s="9" t="s">
        <v>67</v>
      </c>
      <c r="E151" s="9" t="s">
        <v>59</v>
      </c>
      <c r="F151" s="9" t="s">
        <v>60</v>
      </c>
      <c r="G151" s="9" t="s">
        <v>308</v>
      </c>
      <c r="H151" s="9" t="s">
        <v>2276</v>
      </c>
      <c r="I151" s="9" t="s">
        <v>78</v>
      </c>
      <c r="J151" s="9" t="s">
        <v>313</v>
      </c>
      <c r="K151" s="9" t="s">
        <v>73</v>
      </c>
      <c r="L151" s="9" t="s">
        <v>64</v>
      </c>
      <c r="M151" s="9" t="s">
        <v>65</v>
      </c>
      <c r="N151" s="9" t="s">
        <v>66</v>
      </c>
      <c r="O151" s="10" t="e">
        <f>#REF!-#REF!+1</f>
        <v>#REF!</v>
      </c>
      <c r="P151" s="11">
        <f t="shared" si="63"/>
        <v>88282101.599999994</v>
      </c>
      <c r="Q151" s="12">
        <v>2E-3</v>
      </c>
      <c r="R151" s="13">
        <v>0.9</v>
      </c>
      <c r="S151" s="11">
        <f t="shared" si="73"/>
        <v>79453891.439999998</v>
      </c>
      <c r="T151" s="11">
        <f t="shared" si="74"/>
        <v>176564.20319999999</v>
      </c>
      <c r="U151" s="11">
        <f t="shared" si="75"/>
        <v>17656420.32</v>
      </c>
      <c r="V151" s="152">
        <v>5</v>
      </c>
      <c r="W151" s="15">
        <v>60</v>
      </c>
      <c r="X151" s="16">
        <v>5296926.0959999999</v>
      </c>
      <c r="Y151" s="16">
        <f t="shared" si="76"/>
        <v>60.000000000000007</v>
      </c>
      <c r="Z151" s="16">
        <f t="shared" si="77"/>
        <v>30</v>
      </c>
      <c r="AA151" s="221">
        <f t="shared" si="78"/>
        <v>0.3757633937062364</v>
      </c>
      <c r="AB151" s="11">
        <f>'Audience Sizing'!E11</f>
        <v>46988133</v>
      </c>
      <c r="AC151" s="17">
        <v>45418</v>
      </c>
      <c r="AD151" s="17">
        <v>45473</v>
      </c>
      <c r="AE151" s="17"/>
      <c r="AF151">
        <v>2.13</v>
      </c>
      <c r="AG151" s="262">
        <f t="shared" ref="AG151:AG152" si="79">AF151*P151/1000</f>
        <v>188040.87640799998</v>
      </c>
      <c r="AH151" s="262">
        <f t="shared" ref="AH151:AH152" si="80">AG151*5%</f>
        <v>9402.0438204000002</v>
      </c>
      <c r="AI151" s="263">
        <f t="shared" ref="AI151:AI152" si="81">AG151+AH151</f>
        <v>197442.92022839998</v>
      </c>
      <c r="AK151">
        <v>1.43</v>
      </c>
      <c r="AL151" s="262">
        <f t="shared" ref="AL151:AL152" si="82">AK151*P151/1000</f>
        <v>126243.40528799999</v>
      </c>
      <c r="AM151" s="262">
        <f t="shared" ref="AM151:AM152" si="83">AL151*5%</f>
        <v>6312.1702643999997</v>
      </c>
      <c r="AN151" s="263">
        <f t="shared" ref="AN151:AN152" si="84">SUM(AL151:AM151)</f>
        <v>132555.5755524</v>
      </c>
      <c r="AO151" s="409"/>
      <c r="AP151" s="263"/>
      <c r="AQ151" s="89"/>
      <c r="AT151" s="262"/>
    </row>
    <row r="152" spans="1:46" x14ac:dyDescent="0.3">
      <c r="A152" s="9" t="s">
        <v>108</v>
      </c>
      <c r="B152" s="9" t="s">
        <v>56</v>
      </c>
      <c r="C152" s="9" t="s">
        <v>57</v>
      </c>
      <c r="D152" s="9" t="s">
        <v>67</v>
      </c>
      <c r="E152" s="9" t="s">
        <v>59</v>
      </c>
      <c r="F152" s="9" t="s">
        <v>60</v>
      </c>
      <c r="G152" s="9" t="s">
        <v>307</v>
      </c>
      <c r="H152" s="9" t="s">
        <v>2276</v>
      </c>
      <c r="I152" s="9" t="s">
        <v>78</v>
      </c>
      <c r="J152" s="9" t="s">
        <v>314</v>
      </c>
      <c r="K152" s="9" t="s">
        <v>73</v>
      </c>
      <c r="L152" s="9" t="s">
        <v>64</v>
      </c>
      <c r="M152" s="9" t="s">
        <v>65</v>
      </c>
      <c r="N152" s="9" t="s">
        <v>66</v>
      </c>
      <c r="O152" s="10" t="e">
        <f>#REF!-#REF!+1</f>
        <v>#REF!</v>
      </c>
      <c r="P152" s="11">
        <f t="shared" si="63"/>
        <v>88282101.599999994</v>
      </c>
      <c r="Q152" s="12">
        <v>2E-3</v>
      </c>
      <c r="R152" s="13">
        <v>0.9</v>
      </c>
      <c r="S152" s="11">
        <f t="shared" si="73"/>
        <v>79453891.439999998</v>
      </c>
      <c r="T152" s="11">
        <f t="shared" si="74"/>
        <v>176564.20319999999</v>
      </c>
      <c r="U152" s="11">
        <f t="shared" si="75"/>
        <v>17656420.32</v>
      </c>
      <c r="V152" s="152">
        <v>5</v>
      </c>
      <c r="W152" s="15">
        <v>60</v>
      </c>
      <c r="X152" s="16">
        <v>5296926.0959999999</v>
      </c>
      <c r="Y152" s="16">
        <f t="shared" si="76"/>
        <v>60.000000000000007</v>
      </c>
      <c r="Z152" s="16">
        <f t="shared" si="77"/>
        <v>30</v>
      </c>
      <c r="AA152" s="221">
        <f t="shared" si="78"/>
        <v>0.3757633937062364</v>
      </c>
      <c r="AB152" s="11">
        <f>'Audience Sizing'!E11</f>
        <v>46988133</v>
      </c>
      <c r="AC152" s="17">
        <v>45418</v>
      </c>
      <c r="AD152" s="17">
        <v>45473</v>
      </c>
      <c r="AE152" s="17"/>
      <c r="AF152">
        <v>2.13</v>
      </c>
      <c r="AG152" s="262">
        <f t="shared" si="79"/>
        <v>188040.87640799998</v>
      </c>
      <c r="AH152" s="262">
        <f t="shared" si="80"/>
        <v>9402.0438204000002</v>
      </c>
      <c r="AI152" s="263">
        <f t="shared" si="81"/>
        <v>197442.92022839998</v>
      </c>
      <c r="AK152">
        <v>1.43</v>
      </c>
      <c r="AL152" s="262">
        <f t="shared" si="82"/>
        <v>126243.40528799999</v>
      </c>
      <c r="AM152" s="262">
        <f t="shared" si="83"/>
        <v>6312.1702643999997</v>
      </c>
      <c r="AN152" s="263">
        <f t="shared" si="84"/>
        <v>132555.5755524</v>
      </c>
      <c r="AO152" s="409"/>
      <c r="AP152" s="263"/>
      <c r="AQ152" s="89"/>
      <c r="AT152" s="262"/>
    </row>
    <row r="153" spans="1:46" hidden="1" x14ac:dyDescent="0.3">
      <c r="A153" s="230" t="s">
        <v>110</v>
      </c>
      <c r="B153" s="234"/>
      <c r="C153" s="234"/>
      <c r="D153" s="234"/>
      <c r="E153" s="234"/>
      <c r="F153" s="234"/>
      <c r="G153" s="234"/>
      <c r="H153" s="234"/>
      <c r="I153" s="234"/>
      <c r="J153" s="234"/>
      <c r="K153" s="234"/>
      <c r="L153" s="234"/>
      <c r="M153" s="234"/>
      <c r="N153" s="234"/>
      <c r="O153" s="234"/>
      <c r="P153" s="235">
        <f>SUM(P141:P152)</f>
        <v>396862373.84742033</v>
      </c>
      <c r="Q153" s="236">
        <f>T153/P153</f>
        <v>4.0030131901147605E-3</v>
      </c>
      <c r="R153" s="237">
        <f>S153/P153</f>
        <v>0.82539507710760485</v>
      </c>
      <c r="S153" s="235">
        <f>SUM(S141:S152)</f>
        <v>327568249.6628986</v>
      </c>
      <c r="T153" s="235">
        <f>SUM(T141:T152)</f>
        <v>1588645.3171714786</v>
      </c>
      <c r="U153" s="235">
        <f>U142+U143*20%+SUM(U144:U146,U141)*50%</f>
        <v>11689885.34250435</v>
      </c>
      <c r="V153" s="242">
        <f>P153/U153</f>
        <v>33.949210126504084</v>
      </c>
      <c r="W153" s="239"/>
      <c r="X153" s="240">
        <f>SUM(X141:X152)</f>
        <v>38844124.704000004</v>
      </c>
      <c r="Y153" s="22">
        <f t="shared" si="76"/>
        <v>97.878073770062684</v>
      </c>
      <c r="Z153" s="22">
        <f>X153/T153</f>
        <v>24.451099489696329</v>
      </c>
      <c r="AA153" s="241">
        <f t="shared" si="78"/>
        <v>0.40309949456911554</v>
      </c>
      <c r="AB153" s="235">
        <f>'Audience Sizing'!C11</f>
        <v>29000000</v>
      </c>
      <c r="AC153" s="235"/>
      <c r="AD153" s="235"/>
    </row>
    <row r="154" spans="1:46" hidden="1" x14ac:dyDescent="0.3">
      <c r="A154" s="205" t="s">
        <v>111</v>
      </c>
      <c r="B154" s="208"/>
      <c r="C154" s="208"/>
      <c r="D154" s="208"/>
      <c r="E154" s="208"/>
      <c r="F154" s="208"/>
      <c r="G154" s="208"/>
      <c r="H154" s="208"/>
      <c r="I154" s="208"/>
      <c r="J154" s="208"/>
      <c r="K154" s="208"/>
      <c r="L154" s="208"/>
      <c r="M154" s="208"/>
      <c r="N154" s="208"/>
      <c r="O154" s="208"/>
      <c r="P154" s="209">
        <f>SUM(P153,P140)</f>
        <v>467256182.30528712</v>
      </c>
      <c r="Q154" s="210">
        <f>T154/P154</f>
        <v>3.6380565642336075E-3</v>
      </c>
      <c r="R154" s="211">
        <f>S154/P154</f>
        <v>0.7605291374469616</v>
      </c>
      <c r="S154" s="209">
        <f>SUM(S153,S140)</f>
        <v>355361941.29540026</v>
      </c>
      <c r="T154" s="209">
        <f>SUM(T153,T140)</f>
        <v>1699904.4212144851</v>
      </c>
      <c r="U154" s="209">
        <f>U140+U153*5%</f>
        <v>11257037.212727973</v>
      </c>
      <c r="V154" s="212">
        <f>P154/U154</f>
        <v>41.507918422529102</v>
      </c>
      <c r="W154" s="213"/>
      <c r="X154" s="214">
        <f>X153+X140</f>
        <v>50992462.833182476</v>
      </c>
      <c r="Y154" s="59">
        <f t="shared" si="76"/>
        <v>109.13170283077383</v>
      </c>
      <c r="Z154" s="59">
        <f>X154/T154</f>
        <v>29.997252902460986</v>
      </c>
      <c r="AA154" s="215">
        <f t="shared" si="78"/>
        <v>0.38817369699061977</v>
      </c>
      <c r="AB154" s="209">
        <f>'Audience Sizing'!C11</f>
        <v>29000000</v>
      </c>
      <c r="AC154" s="251"/>
      <c r="AD154" s="251"/>
      <c r="AF154" s="273"/>
      <c r="AG154" s="273"/>
      <c r="AH154" s="273"/>
      <c r="AI154" s="274">
        <f>SUM(AI2:AI152)</f>
        <v>2823898.7868553204</v>
      </c>
      <c r="AJ154" s="273"/>
      <c r="AK154" s="273"/>
      <c r="AL154" s="273"/>
      <c r="AM154" s="273"/>
      <c r="AN154" s="274">
        <f>SUM(AN2:AN152)</f>
        <v>2030321.1814059038</v>
      </c>
    </row>
    <row r="155" spans="1:46" hidden="1" x14ac:dyDescent="0.3">
      <c r="A155" s="233" t="s">
        <v>112</v>
      </c>
      <c r="B155" s="254"/>
      <c r="C155" s="254"/>
      <c r="D155" s="254"/>
      <c r="E155" s="254"/>
      <c r="F155" s="254"/>
      <c r="G155" s="254"/>
      <c r="H155" s="254"/>
      <c r="I155" s="254"/>
      <c r="J155" s="254"/>
      <c r="K155" s="254"/>
      <c r="L155" s="254"/>
      <c r="M155" s="254"/>
      <c r="N155" s="254"/>
      <c r="O155" s="254"/>
      <c r="P155" s="255">
        <f>SUM(P154,P135,P116)</f>
        <v>1372736524.0115919</v>
      </c>
      <c r="Q155" s="256">
        <f>T155/P155</f>
        <v>3.7090175065584694E-3</v>
      </c>
      <c r="R155" s="257">
        <f>S155/P155</f>
        <v>0.75880242766409156</v>
      </c>
      <c r="S155" s="255">
        <f>SUM(S154,S135,S116)</f>
        <v>1041635806.9631624</v>
      </c>
      <c r="T155" s="255">
        <f>SUM(T154,T135,T116)</f>
        <v>5091503.7994512152</v>
      </c>
      <c r="U155" s="255">
        <f>SUM(U154,U135,U116)</f>
        <v>33122282.8634471</v>
      </c>
      <c r="V155" s="258">
        <f>P155/U155</f>
        <v>41.444502170063544</v>
      </c>
      <c r="W155" s="259"/>
      <c r="X155" s="260">
        <f>SUM(X154,X135,X116)</f>
        <v>151442224.82497865</v>
      </c>
      <c r="Y155" s="51">
        <f t="shared" si="76"/>
        <v>110.32140704059813</v>
      </c>
      <c r="Z155" s="51">
        <f>X155/T155</f>
        <v>29.744105236905011</v>
      </c>
      <c r="AA155" s="261">
        <f t="shared" si="78"/>
        <v>0.45372990223900139</v>
      </c>
      <c r="AB155" s="255">
        <f>SUM(AB154,AB135,AB116)</f>
        <v>73000000</v>
      </c>
      <c r="AC155" s="227"/>
      <c r="AD155" s="227"/>
    </row>
    <row r="156" spans="1:46" x14ac:dyDescent="0.3">
      <c r="X156" s="163"/>
      <c r="AB156" s="89"/>
      <c r="AI156" s="263"/>
      <c r="AQ156" s="263"/>
      <c r="AR156" s="89"/>
      <c r="AS156" s="89"/>
    </row>
    <row r="157" spans="1:46" x14ac:dyDescent="0.3">
      <c r="S157" s="452">
        <v>61414967</v>
      </c>
      <c r="X157" s="298"/>
    </row>
    <row r="158" spans="1:46" x14ac:dyDescent="0.3">
      <c r="X158" s="89"/>
      <c r="AI158" s="263"/>
      <c r="AL158" s="263"/>
    </row>
    <row r="159" spans="1:46" x14ac:dyDescent="0.3">
      <c r="S159" s="25">
        <f>S157*W3</f>
        <v>24565986.800000001</v>
      </c>
      <c r="X159" s="300"/>
      <c r="AI159" s="89"/>
      <c r="AL159" s="89"/>
    </row>
    <row r="160" spans="1:46" x14ac:dyDescent="0.3">
      <c r="X160" s="89"/>
      <c r="AI160" s="89"/>
      <c r="AL160" s="89"/>
    </row>
    <row r="161" spans="21:38" x14ac:dyDescent="0.3">
      <c r="W161" s="40"/>
      <c r="X161" s="300"/>
      <c r="AI161" s="89"/>
      <c r="AL161" s="89"/>
    </row>
    <row r="162" spans="21:38" x14ac:dyDescent="0.3">
      <c r="X162" s="89"/>
      <c r="AL162" s="89"/>
    </row>
    <row r="163" spans="21:38" x14ac:dyDescent="0.3">
      <c r="AI163" s="263"/>
      <c r="AL163" s="263"/>
    </row>
    <row r="164" spans="21:38" x14ac:dyDescent="0.3">
      <c r="X164" s="89"/>
    </row>
    <row r="165" spans="21:38" x14ac:dyDescent="0.3">
      <c r="AI165" s="263"/>
    </row>
    <row r="166" spans="21:38" x14ac:dyDescent="0.3">
      <c r="X166" s="89"/>
    </row>
    <row r="169" spans="21:38" x14ac:dyDescent="0.3">
      <c r="U169" s="27"/>
    </row>
    <row r="170" spans="21:38" x14ac:dyDescent="0.3">
      <c r="U170" s="27"/>
    </row>
    <row r="171" spans="21:38" x14ac:dyDescent="0.3">
      <c r="U171" s="27"/>
    </row>
  </sheetData>
  <autoFilter ref="A1:AD155" xr:uid="{9F2F596A-AEB0-47A1-8C5D-5DFD7BC5046B}">
    <filterColumn colId="2">
      <filters>
        <filter val="Youtube"/>
      </filters>
    </filterColumn>
  </autoFilter>
  <pageMargins left="0.7" right="0.7" top="0.75" bottom="0.75" header="0.3" footer="0.3"/>
  <pageSetup orientation="portrait" r:id="rId1"/>
  <ignoredErrors>
    <ignoredError sqref="P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44E3E-0785-4AAE-B3CA-CBE8864DD7D3}">
  <sheetPr codeName="Sheet4">
    <tabColor theme="0"/>
  </sheetPr>
  <dimension ref="B1:AQ29"/>
  <sheetViews>
    <sheetView zoomScale="76" zoomScaleNormal="70" workbookViewId="0">
      <pane xSplit="6" topLeftCell="G1" activePane="topRight" state="frozen"/>
      <selection pane="topRight" activeCell="AI1" sqref="AI1:AQ1048576"/>
    </sheetView>
  </sheetViews>
  <sheetFormatPr defaultColWidth="8.77734375" defaultRowHeight="14.4" x14ac:dyDescent="0.3"/>
  <cols>
    <col min="1" max="1" width="2.6640625" style="206" customWidth="1"/>
    <col min="2" max="2" width="11.109375" style="206" bestFit="1" customWidth="1"/>
    <col min="3" max="3" width="14.77734375" style="206" bestFit="1" customWidth="1"/>
    <col min="4" max="4" width="13.6640625" style="206" bestFit="1" customWidth="1"/>
    <col min="5" max="5" width="11.21875" style="206" bestFit="1" customWidth="1"/>
    <col min="6" max="6" width="17.77734375" style="206" customWidth="1"/>
    <col min="7" max="7" width="29.77734375" style="206" customWidth="1"/>
    <col min="8" max="8" width="8" style="206" customWidth="1"/>
    <col min="9" max="10" width="19.109375" style="206" customWidth="1"/>
    <col min="11" max="11" width="9.5546875" style="206" bestFit="1" customWidth="1"/>
    <col min="12" max="12" width="33.21875" style="206" customWidth="1"/>
    <col min="13" max="13" width="16.5546875" style="206" customWidth="1"/>
    <col min="14" max="14" width="12.5546875" style="206" customWidth="1"/>
    <col min="15" max="15" width="12.77734375" style="206" bestFit="1" customWidth="1"/>
    <col min="16" max="16" width="3.33203125" style="206" customWidth="1"/>
    <col min="17" max="17" width="4.88671875" style="206" bestFit="1" customWidth="1"/>
    <col min="18" max="18" width="9.44140625" style="206" bestFit="1" customWidth="1"/>
    <col min="19" max="19" width="12.33203125" style="219" bestFit="1" customWidth="1"/>
    <col min="20" max="20" width="5.109375" style="206" bestFit="1" customWidth="1"/>
    <col min="21" max="21" width="5.21875" style="206" customWidth="1"/>
    <col min="22" max="22" width="9.88671875" style="219" bestFit="1" customWidth="1"/>
    <col min="23" max="23" width="10" style="219" bestFit="1" customWidth="1"/>
    <col min="24" max="24" width="11.33203125" style="219" bestFit="1" customWidth="1"/>
    <col min="25" max="25" width="7.6640625" style="206" bestFit="1" customWidth="1"/>
    <col min="26" max="26" width="11.5546875" style="206" customWidth="1"/>
    <col min="27" max="27" width="14.77734375" style="206" customWidth="1"/>
    <col min="28" max="28" width="6.5546875" style="206" customWidth="1"/>
    <col min="29" max="29" width="11.33203125" style="206" customWidth="1"/>
    <col min="30" max="30" width="7.5546875" style="206" customWidth="1"/>
    <col min="31" max="31" width="12.33203125" style="220" customWidth="1"/>
    <col min="32" max="33" width="10.109375" style="206" bestFit="1" customWidth="1"/>
    <col min="34" max="34" width="12" style="206" customWidth="1"/>
    <col min="35" max="35" width="9.21875" style="206" hidden="1" customWidth="1"/>
    <col min="36" max="36" width="11.33203125" style="206" hidden="1" customWidth="1"/>
    <col min="37" max="37" width="10.109375" style="206" hidden="1" customWidth="1"/>
    <col min="38" max="38" width="12" style="206" hidden="1" customWidth="1"/>
    <col min="39" max="41" width="8.77734375" style="206" hidden="1" customWidth="1"/>
    <col min="42" max="42" width="9.109375" style="206" hidden="1" customWidth="1"/>
    <col min="43" max="43" width="12" style="206" hidden="1" customWidth="1"/>
    <col min="44" max="44" width="11.21875" style="206" bestFit="1" customWidth="1"/>
    <col min="45" max="16384" width="8.77734375" style="206"/>
  </cols>
  <sheetData>
    <row r="1" spans="2:43" ht="14.55" x14ac:dyDescent="0.3">
      <c r="AI1" s="85" t="s">
        <v>2301</v>
      </c>
      <c r="AJ1" s="85"/>
      <c r="AK1" s="85"/>
      <c r="AL1" s="85"/>
      <c r="AM1" s="85"/>
      <c r="AN1" s="85" t="s">
        <v>25</v>
      </c>
      <c r="AO1" s="85"/>
      <c r="AP1" s="85"/>
      <c r="AQ1" s="85"/>
    </row>
    <row r="2" spans="2:43" x14ac:dyDescent="0.3">
      <c r="B2" s="1" t="s">
        <v>113</v>
      </c>
      <c r="C2" s="1" t="s">
        <v>114</v>
      </c>
      <c r="D2" s="1" t="s">
        <v>115</v>
      </c>
      <c r="E2" s="1" t="s">
        <v>31</v>
      </c>
      <c r="F2" s="1" t="s">
        <v>32</v>
      </c>
      <c r="G2" s="1" t="s">
        <v>33</v>
      </c>
      <c r="H2" s="1" t="s">
        <v>34</v>
      </c>
      <c r="I2" s="1" t="s">
        <v>35</v>
      </c>
      <c r="J2" s="1" t="s">
        <v>388</v>
      </c>
      <c r="K2" s="1" t="s">
        <v>36</v>
      </c>
      <c r="L2" s="1" t="s">
        <v>37</v>
      </c>
      <c r="M2" s="1" t="s">
        <v>38</v>
      </c>
      <c r="N2" s="1" t="s">
        <v>39</v>
      </c>
      <c r="O2" s="1" t="s">
        <v>40</v>
      </c>
      <c r="P2" s="1" t="s">
        <v>41</v>
      </c>
      <c r="Q2" s="1" t="s">
        <v>2282</v>
      </c>
      <c r="R2" s="2" t="s">
        <v>42</v>
      </c>
      <c r="S2" s="3" t="s">
        <v>43</v>
      </c>
      <c r="T2" s="4" t="s">
        <v>44</v>
      </c>
      <c r="U2" s="5" t="s">
        <v>45</v>
      </c>
      <c r="V2" s="3" t="s">
        <v>3</v>
      </c>
      <c r="W2" s="3" t="s">
        <v>46</v>
      </c>
      <c r="X2" s="3" t="s">
        <v>5</v>
      </c>
      <c r="Y2" s="6" t="s">
        <v>47</v>
      </c>
      <c r="Z2" s="7" t="s">
        <v>48</v>
      </c>
      <c r="AA2" s="8" t="s">
        <v>49</v>
      </c>
      <c r="AB2" s="8" t="s">
        <v>50</v>
      </c>
      <c r="AC2" s="8" t="s">
        <v>51</v>
      </c>
      <c r="AD2" s="4" t="s">
        <v>6</v>
      </c>
      <c r="AE2" s="23" t="s">
        <v>52</v>
      </c>
      <c r="AF2" s="3" t="s">
        <v>53</v>
      </c>
      <c r="AG2" s="3" t="s">
        <v>54</v>
      </c>
      <c r="AI2" s="195" t="s">
        <v>2283</v>
      </c>
      <c r="AJ2" s="195" t="s">
        <v>2284</v>
      </c>
      <c r="AK2" s="195" t="s">
        <v>2285</v>
      </c>
      <c r="AL2" s="195" t="s">
        <v>2286</v>
      </c>
      <c r="AM2"/>
      <c r="AN2" s="195" t="s">
        <v>2283</v>
      </c>
      <c r="AO2" s="195" t="s">
        <v>2284</v>
      </c>
      <c r="AP2" s="195" t="s">
        <v>2285</v>
      </c>
      <c r="AQ2" s="195" t="s">
        <v>2286</v>
      </c>
    </row>
    <row r="3" spans="2:43" x14ac:dyDescent="0.3">
      <c r="B3" s="9" t="s">
        <v>116</v>
      </c>
      <c r="C3" s="9" t="s">
        <v>131</v>
      </c>
      <c r="D3" s="9" t="s">
        <v>56</v>
      </c>
      <c r="E3" s="9" t="s">
        <v>57</v>
      </c>
      <c r="F3" s="9" t="s">
        <v>118</v>
      </c>
      <c r="G3" s="9" t="s">
        <v>408</v>
      </c>
      <c r="H3" s="9" t="s">
        <v>60</v>
      </c>
      <c r="I3" s="9" t="s">
        <v>61</v>
      </c>
      <c r="J3" s="9" t="s">
        <v>2276</v>
      </c>
      <c r="K3" s="9" t="s">
        <v>62</v>
      </c>
      <c r="L3" s="223" t="s">
        <v>500</v>
      </c>
      <c r="M3" s="9" t="s">
        <v>73</v>
      </c>
      <c r="N3" s="9" t="s">
        <v>64</v>
      </c>
      <c r="O3" s="9" t="s">
        <v>65</v>
      </c>
      <c r="P3" s="9" t="s">
        <v>66</v>
      </c>
      <c r="Q3" s="9" t="s">
        <v>66</v>
      </c>
      <c r="R3" s="10">
        <f>AG3-AF3+1</f>
        <v>29</v>
      </c>
      <c r="S3" s="11">
        <f t="shared" ref="S3:S4" si="0">AA3*1000/Z3</f>
        <v>51492537.313432835</v>
      </c>
      <c r="T3" s="108">
        <v>2E-3</v>
      </c>
      <c r="U3" s="13">
        <v>0.14000000000000001</v>
      </c>
      <c r="V3" s="11">
        <f t="shared" ref="V3:V4" si="1">S3*U3</f>
        <v>7208955.2238805974</v>
      </c>
      <c r="W3" s="11">
        <f t="shared" ref="W3:W4" si="2">S3*T3</f>
        <v>102985.07462686567</v>
      </c>
      <c r="X3" s="11">
        <f t="shared" ref="X3:X4" si="3">S3/Y3</f>
        <v>12873134.328358209</v>
      </c>
      <c r="Y3" s="14">
        <v>4</v>
      </c>
      <c r="Z3" s="15">
        <v>134</v>
      </c>
      <c r="AA3" s="16">
        <v>6900000</v>
      </c>
      <c r="AB3" s="16">
        <f t="shared" ref="AB3:AB19" si="4">AA3/S3*1000</f>
        <v>134</v>
      </c>
      <c r="AC3" s="16">
        <f t="shared" ref="AC3:AC6" si="5">IFERROR(AA3/W3, 0)</f>
        <v>67</v>
      </c>
      <c r="AD3" s="207"/>
      <c r="AE3" s="11"/>
      <c r="AF3" s="17">
        <v>45384</v>
      </c>
      <c r="AG3" s="17">
        <v>45412</v>
      </c>
      <c r="AI3" s="267">
        <v>2.13</v>
      </c>
      <c r="AJ3" s="268">
        <f>AI3*S3/1000</f>
        <v>109679.10447761192</v>
      </c>
      <c r="AK3" s="268">
        <f>AJ3*5%</f>
        <v>5483.9552238805963</v>
      </c>
      <c r="AL3" s="269">
        <f>SUM(AJ3:AK3)</f>
        <v>115163.05970149252</v>
      </c>
      <c r="AN3" s="206">
        <v>1.43</v>
      </c>
      <c r="AO3" s="266">
        <f t="shared" ref="AO3:AO20" si="6">AN3*S3/1000</f>
        <v>73634.32835820895</v>
      </c>
      <c r="AP3" s="264">
        <f>AO3*5%</f>
        <v>3681.7164179104475</v>
      </c>
      <c r="AQ3" s="266">
        <f>SUM(AO3:AP3)</f>
        <v>77316.044776119394</v>
      </c>
    </row>
    <row r="4" spans="2:43" x14ac:dyDescent="0.3">
      <c r="B4" s="9" t="s">
        <v>116</v>
      </c>
      <c r="C4" s="9" t="s">
        <v>131</v>
      </c>
      <c r="D4" s="9" t="s">
        <v>56</v>
      </c>
      <c r="E4" s="9" t="s">
        <v>57</v>
      </c>
      <c r="F4" s="9" t="s">
        <v>118</v>
      </c>
      <c r="G4" s="9" t="s">
        <v>408</v>
      </c>
      <c r="H4" s="9" t="s">
        <v>60</v>
      </c>
      <c r="I4" s="9" t="s">
        <v>61</v>
      </c>
      <c r="J4" s="9" t="s">
        <v>2276</v>
      </c>
      <c r="K4" s="9" t="s">
        <v>62</v>
      </c>
      <c r="L4" s="223" t="s">
        <v>2277</v>
      </c>
      <c r="M4" s="9" t="s">
        <v>73</v>
      </c>
      <c r="N4" s="9" t="s">
        <v>64</v>
      </c>
      <c r="O4" s="9" t="s">
        <v>65</v>
      </c>
      <c r="P4" s="9" t="s">
        <v>66</v>
      </c>
      <c r="Q4" s="9" t="s">
        <v>66</v>
      </c>
      <c r="R4" s="10">
        <f>AG4-AF4+1</f>
        <v>13</v>
      </c>
      <c r="S4" s="11">
        <f t="shared" si="0"/>
        <v>62926829.26829268</v>
      </c>
      <c r="T4" s="108">
        <v>2E-3</v>
      </c>
      <c r="U4" s="13">
        <v>0.14000000000000001</v>
      </c>
      <c r="V4" s="11">
        <f t="shared" si="1"/>
        <v>8809756.0975609757</v>
      </c>
      <c r="W4" s="11">
        <f t="shared" si="2"/>
        <v>125853.65853658537</v>
      </c>
      <c r="X4" s="11">
        <f t="shared" si="3"/>
        <v>12585365.853658536</v>
      </c>
      <c r="Y4" s="14">
        <v>5</v>
      </c>
      <c r="Z4" s="15">
        <v>82</v>
      </c>
      <c r="AA4" s="16">
        <v>5160000</v>
      </c>
      <c r="AB4" s="16">
        <f t="shared" si="4"/>
        <v>82</v>
      </c>
      <c r="AC4" s="16">
        <f t="shared" si="5"/>
        <v>41</v>
      </c>
      <c r="AD4" s="207"/>
      <c r="AE4" s="11"/>
      <c r="AF4" s="17">
        <v>45384</v>
      </c>
      <c r="AG4" s="17">
        <v>45396</v>
      </c>
      <c r="AI4" s="267">
        <v>2.13</v>
      </c>
      <c r="AJ4" s="268">
        <f>AI4*S4/1000</f>
        <v>134034.14634146341</v>
      </c>
      <c r="AK4" s="268">
        <f t="shared" ref="AK4:AK6" si="7">AJ4*5%</f>
        <v>6701.707317073171</v>
      </c>
      <c r="AL4" s="269">
        <f t="shared" ref="AL4:AL6" si="8">SUM(AJ4:AK4)</f>
        <v>140735.85365853657</v>
      </c>
      <c r="AN4" s="206">
        <v>1.43</v>
      </c>
      <c r="AO4" s="266">
        <f t="shared" si="6"/>
        <v>89985.365853658528</v>
      </c>
      <c r="AP4" s="264">
        <f t="shared" ref="AP4:AP10" si="9">AO4*5%</f>
        <v>4499.2682926829266</v>
      </c>
      <c r="AQ4" s="266">
        <f t="shared" ref="AQ4:AQ6" si="10">SUM(AO4:AP4)</f>
        <v>94484.634146341457</v>
      </c>
    </row>
    <row r="5" spans="2:43" x14ac:dyDescent="0.3">
      <c r="B5" s="9" t="s">
        <v>116</v>
      </c>
      <c r="C5" s="9" t="s">
        <v>117</v>
      </c>
      <c r="D5" s="9" t="s">
        <v>56</v>
      </c>
      <c r="E5" s="9" t="s">
        <v>57</v>
      </c>
      <c r="F5" s="9" t="s">
        <v>118</v>
      </c>
      <c r="G5" s="9" t="s">
        <v>408</v>
      </c>
      <c r="H5" s="9" t="s">
        <v>60</v>
      </c>
      <c r="I5" s="9" t="s">
        <v>61</v>
      </c>
      <c r="J5" s="9" t="s">
        <v>2276</v>
      </c>
      <c r="K5" s="9" t="s">
        <v>62</v>
      </c>
      <c r="L5" s="224" t="s">
        <v>316</v>
      </c>
      <c r="M5" s="9" t="s">
        <v>73</v>
      </c>
      <c r="N5" s="9" t="s">
        <v>64</v>
      </c>
      <c r="O5" s="9" t="s">
        <v>65</v>
      </c>
      <c r="P5" s="9" t="s">
        <v>66</v>
      </c>
      <c r="Q5" s="9" t="s">
        <v>66</v>
      </c>
      <c r="R5" s="10">
        <f>AG5-AF5+1</f>
        <v>13</v>
      </c>
      <c r="S5" s="11">
        <f>AA5*1000/Z5</f>
        <v>100715651.68539326</v>
      </c>
      <c r="T5" s="108">
        <v>2E-3</v>
      </c>
      <c r="U5" s="13">
        <v>0.14000000000000001</v>
      </c>
      <c r="V5" s="11">
        <f>S5*U5</f>
        <v>14100191.235955058</v>
      </c>
      <c r="W5" s="11">
        <f>S5*T5</f>
        <v>201431.30337078651</v>
      </c>
      <c r="X5" s="11">
        <f>S5/Y5</f>
        <v>20143130.337078653</v>
      </c>
      <c r="Y5" s="14">
        <v>5</v>
      </c>
      <c r="Z5" s="15">
        <v>89</v>
      </c>
      <c r="AA5" s="16">
        <v>8963693</v>
      </c>
      <c r="AB5" s="16">
        <f t="shared" si="4"/>
        <v>89</v>
      </c>
      <c r="AC5" s="16">
        <f t="shared" si="5"/>
        <v>44.5</v>
      </c>
      <c r="AD5" s="207"/>
      <c r="AE5" s="11"/>
      <c r="AF5" s="17">
        <v>45384</v>
      </c>
      <c r="AG5" s="17">
        <v>45396</v>
      </c>
      <c r="AI5" s="267">
        <v>2.13</v>
      </c>
      <c r="AJ5" s="268">
        <f>AI5*S5/1000</f>
        <v>214524.33808988761</v>
      </c>
      <c r="AK5" s="268">
        <f t="shared" si="7"/>
        <v>10726.21690449438</v>
      </c>
      <c r="AL5" s="269">
        <f t="shared" si="8"/>
        <v>225250.55499438199</v>
      </c>
      <c r="AN5" s="206">
        <v>1.43</v>
      </c>
      <c r="AO5" s="266">
        <f t="shared" si="6"/>
        <v>144023.38191011234</v>
      </c>
      <c r="AP5" s="264">
        <f t="shared" si="9"/>
        <v>7201.1690955056174</v>
      </c>
      <c r="AQ5" s="266">
        <f t="shared" si="10"/>
        <v>151224.55100561795</v>
      </c>
    </row>
    <row r="6" spans="2:43" x14ac:dyDescent="0.3">
      <c r="B6" s="9" t="s">
        <v>116</v>
      </c>
      <c r="C6" s="9" t="s">
        <v>131</v>
      </c>
      <c r="D6" s="9" t="s">
        <v>56</v>
      </c>
      <c r="E6" s="9" t="s">
        <v>57</v>
      </c>
      <c r="F6" s="9" t="s">
        <v>58</v>
      </c>
      <c r="G6" s="9" t="s">
        <v>2275</v>
      </c>
      <c r="H6" s="9" t="s">
        <v>60</v>
      </c>
      <c r="I6" s="9" t="s">
        <v>61</v>
      </c>
      <c r="J6" s="9" t="s">
        <v>2276</v>
      </c>
      <c r="K6" s="9" t="s">
        <v>62</v>
      </c>
      <c r="L6" s="9" t="s">
        <v>2274</v>
      </c>
      <c r="M6" s="9" t="s">
        <v>73</v>
      </c>
      <c r="N6" s="9" t="s">
        <v>64</v>
      </c>
      <c r="O6" s="9" t="s">
        <v>65</v>
      </c>
      <c r="P6" s="9" t="s">
        <v>66</v>
      </c>
      <c r="Q6" s="9" t="s">
        <v>66</v>
      </c>
      <c r="R6" s="10">
        <f>AG6-AF6+1</f>
        <v>62</v>
      </c>
      <c r="S6" s="408">
        <f t="shared" ref="S6:S7" si="11">AA6*1000/Z6</f>
        <v>1458000</v>
      </c>
      <c r="T6" s="108" t="s">
        <v>21</v>
      </c>
      <c r="U6" s="13">
        <v>0.8</v>
      </c>
      <c r="V6" s="11">
        <f t="shared" ref="V6" si="12">S6*U6</f>
        <v>1166400</v>
      </c>
      <c r="W6" s="11" t="s">
        <v>21</v>
      </c>
      <c r="X6" s="11">
        <f t="shared" ref="X6:X7" si="13">S6/Y6</f>
        <v>486000</v>
      </c>
      <c r="Y6" s="14">
        <v>3</v>
      </c>
      <c r="Z6" s="15">
        <v>258</v>
      </c>
      <c r="AA6" s="16">
        <v>376164</v>
      </c>
      <c r="AB6" s="16">
        <f t="shared" si="4"/>
        <v>258</v>
      </c>
      <c r="AC6" s="16">
        <f t="shared" si="5"/>
        <v>0</v>
      </c>
      <c r="AD6" s="207"/>
      <c r="AE6" s="11"/>
      <c r="AF6" s="17">
        <v>45384</v>
      </c>
      <c r="AG6" s="17">
        <v>45445</v>
      </c>
      <c r="AI6" s="267">
        <v>2.13</v>
      </c>
      <c r="AJ6" s="268">
        <f>AI6*S6/1000</f>
        <v>3105.54</v>
      </c>
      <c r="AK6" s="268">
        <f t="shared" si="7"/>
        <v>155.27700000000002</v>
      </c>
      <c r="AL6" s="269">
        <f t="shared" si="8"/>
        <v>3260.817</v>
      </c>
      <c r="AN6" s="206">
        <v>1.43</v>
      </c>
      <c r="AO6" s="266">
        <f t="shared" si="6"/>
        <v>2084.94</v>
      </c>
      <c r="AP6" s="264">
        <f t="shared" si="9"/>
        <v>104.24700000000001</v>
      </c>
      <c r="AQ6" s="266">
        <f t="shared" si="10"/>
        <v>2189.1869999999999</v>
      </c>
    </row>
    <row r="7" spans="2:43" x14ac:dyDescent="0.3">
      <c r="B7" s="155" t="s">
        <v>116</v>
      </c>
      <c r="C7" s="155" t="s">
        <v>380</v>
      </c>
      <c r="D7" s="155" t="s">
        <v>386</v>
      </c>
      <c r="E7" s="155" t="s">
        <v>202</v>
      </c>
      <c r="F7" s="155" t="s">
        <v>58</v>
      </c>
      <c r="G7" s="155" t="s">
        <v>75</v>
      </c>
      <c r="H7" s="155" t="s">
        <v>60</v>
      </c>
      <c r="I7" s="155" t="s">
        <v>61</v>
      </c>
      <c r="J7" s="155" t="s">
        <v>2280</v>
      </c>
      <c r="K7" s="155" t="s">
        <v>62</v>
      </c>
      <c r="L7" s="155" t="s">
        <v>407</v>
      </c>
      <c r="M7" s="155" t="s">
        <v>73</v>
      </c>
      <c r="N7" s="155" t="s">
        <v>64</v>
      </c>
      <c r="O7" s="155" t="s">
        <v>65</v>
      </c>
      <c r="P7" s="155" t="s">
        <v>65</v>
      </c>
      <c r="Q7" s="155" t="s">
        <v>66</v>
      </c>
      <c r="R7" s="156">
        <v>2</v>
      </c>
      <c r="S7" s="157">
        <f t="shared" si="11"/>
        <v>16161615.757575758</v>
      </c>
      <c r="T7" s="158" t="s">
        <v>21</v>
      </c>
      <c r="U7" s="159" t="s">
        <v>21</v>
      </c>
      <c r="V7" s="157" t="s">
        <v>21</v>
      </c>
      <c r="W7" s="157" t="s">
        <v>21</v>
      </c>
      <c r="X7" s="157">
        <f t="shared" si="13"/>
        <v>4040403.9393939395</v>
      </c>
      <c r="Y7" s="160">
        <v>4</v>
      </c>
      <c r="Z7" s="161">
        <v>825</v>
      </c>
      <c r="AA7" s="162">
        <v>13333333</v>
      </c>
      <c r="AB7" s="162">
        <f t="shared" ref="AB7" si="14">AA7/S7*1000</f>
        <v>825</v>
      </c>
      <c r="AC7" s="162">
        <f t="shared" ref="AC7" si="15">IFERROR(AA7/W7, 0)</f>
        <v>0</v>
      </c>
      <c r="AD7" s="225"/>
      <c r="AE7" s="157"/>
      <c r="AF7" s="277">
        <v>45388</v>
      </c>
      <c r="AG7" s="277">
        <v>45397</v>
      </c>
      <c r="AI7" s="267"/>
      <c r="AJ7" s="267"/>
      <c r="AK7" s="267"/>
      <c r="AL7" s="270"/>
      <c r="AN7" s="206">
        <v>1.43</v>
      </c>
      <c r="AO7" s="266">
        <f t="shared" si="6"/>
        <v>23111.110533333333</v>
      </c>
      <c r="AP7" s="264">
        <f t="shared" si="9"/>
        <v>1155.5555266666668</v>
      </c>
      <c r="AQ7" s="266">
        <f t="shared" ref="AQ7:AQ10" si="16">SUM(AO7:AP7)</f>
        <v>24266.66606</v>
      </c>
    </row>
    <row r="8" spans="2:43" x14ac:dyDescent="0.3">
      <c r="B8" s="155" t="s">
        <v>116</v>
      </c>
      <c r="C8" s="155" t="s">
        <v>380</v>
      </c>
      <c r="D8" s="155" t="s">
        <v>386</v>
      </c>
      <c r="E8" s="155" t="s">
        <v>202</v>
      </c>
      <c r="F8" s="155" t="s">
        <v>58</v>
      </c>
      <c r="G8" s="155" t="s">
        <v>75</v>
      </c>
      <c r="H8" s="155" t="s">
        <v>60</v>
      </c>
      <c r="I8" s="155" t="s">
        <v>61</v>
      </c>
      <c r="J8" s="155" t="s">
        <v>2280</v>
      </c>
      <c r="K8" s="155" t="s">
        <v>76</v>
      </c>
      <c r="L8" s="155" t="s">
        <v>407</v>
      </c>
      <c r="M8" s="155" t="s">
        <v>73</v>
      </c>
      <c r="N8" s="155" t="s">
        <v>64</v>
      </c>
      <c r="O8" s="155" t="s">
        <v>65</v>
      </c>
      <c r="P8" s="155" t="s">
        <v>65</v>
      </c>
      <c r="Q8" s="155" t="s">
        <v>66</v>
      </c>
      <c r="R8" s="156">
        <v>2</v>
      </c>
      <c r="S8" s="157">
        <f t="shared" ref="S8" si="17">AA8*1000/Z8</f>
        <v>16161616.969696969</v>
      </c>
      <c r="T8" s="158" t="s">
        <v>21</v>
      </c>
      <c r="U8" s="159" t="s">
        <v>21</v>
      </c>
      <c r="V8" s="157" t="s">
        <v>21</v>
      </c>
      <c r="W8" s="157" t="s">
        <v>21</v>
      </c>
      <c r="X8" s="157">
        <f t="shared" ref="X8" si="18">S8/Y8</f>
        <v>4040404.2424242422</v>
      </c>
      <c r="Y8" s="160">
        <v>4</v>
      </c>
      <c r="Z8" s="161">
        <v>412.5</v>
      </c>
      <c r="AA8" s="162">
        <f>20000000-AA7</f>
        <v>6666667</v>
      </c>
      <c r="AB8" s="162">
        <f t="shared" ref="AB8" si="19">AA8/S8*1000</f>
        <v>412.50000000000006</v>
      </c>
      <c r="AC8" s="162">
        <f t="shared" ref="AC8:AC19" si="20">IFERROR(AA8/W8, 0)</f>
        <v>0</v>
      </c>
      <c r="AD8" s="225"/>
      <c r="AE8" s="157"/>
      <c r="AF8" s="277">
        <v>45388</v>
      </c>
      <c r="AG8" s="277">
        <v>45397</v>
      </c>
      <c r="AI8" s="267"/>
      <c r="AJ8" s="267"/>
      <c r="AK8" s="267"/>
      <c r="AL8" s="270"/>
      <c r="AN8" s="206">
        <v>1.43</v>
      </c>
      <c r="AO8" s="266">
        <f t="shared" si="6"/>
        <v>23111.112266666667</v>
      </c>
      <c r="AP8" s="264">
        <f t="shared" si="9"/>
        <v>1155.5556133333334</v>
      </c>
      <c r="AQ8" s="266">
        <f t="shared" si="16"/>
        <v>24266.667880000001</v>
      </c>
    </row>
    <row r="9" spans="2:43" x14ac:dyDescent="0.3">
      <c r="B9" s="9" t="s">
        <v>116</v>
      </c>
      <c r="C9" s="9" t="s">
        <v>117</v>
      </c>
      <c r="D9" s="9" t="s">
        <v>56</v>
      </c>
      <c r="E9" s="9" t="s">
        <v>120</v>
      </c>
      <c r="F9" s="9" t="s">
        <v>79</v>
      </c>
      <c r="G9" s="9" t="s">
        <v>72</v>
      </c>
      <c r="H9" s="9" t="s">
        <v>60</v>
      </c>
      <c r="I9" s="9" t="s">
        <v>61</v>
      </c>
      <c r="J9" s="9" t="s">
        <v>2276</v>
      </c>
      <c r="K9" s="9" t="s">
        <v>62</v>
      </c>
      <c r="L9" s="9" t="s">
        <v>121</v>
      </c>
      <c r="M9" s="9" t="s">
        <v>73</v>
      </c>
      <c r="N9" s="9" t="s">
        <v>64</v>
      </c>
      <c r="O9" s="9" t="s">
        <v>65</v>
      </c>
      <c r="P9" s="9" t="s">
        <v>65</v>
      </c>
      <c r="Q9" s="9" t="s">
        <v>66</v>
      </c>
      <c r="R9" s="10">
        <v>14</v>
      </c>
      <c r="S9" s="454">
        <f>AA9*1000/Z9</f>
        <v>9861111.1111111119</v>
      </c>
      <c r="T9" s="108">
        <v>1.2E-2</v>
      </c>
      <c r="U9" s="13">
        <v>0.85</v>
      </c>
      <c r="V9" s="11">
        <f>S9*U9</f>
        <v>8381944.444444445</v>
      </c>
      <c r="W9" s="11">
        <f>S9*T9</f>
        <v>118333.33333333334</v>
      </c>
      <c r="X9" s="11">
        <f>S9/Y9</f>
        <v>4930555.555555556</v>
      </c>
      <c r="Y9" s="14">
        <v>2</v>
      </c>
      <c r="Z9" s="15">
        <v>432</v>
      </c>
      <c r="AA9" s="16">
        <v>4260000</v>
      </c>
      <c r="AB9" s="16">
        <f t="shared" si="4"/>
        <v>431.99999999999994</v>
      </c>
      <c r="AC9" s="16">
        <f t="shared" si="20"/>
        <v>36</v>
      </c>
      <c r="AD9" s="207"/>
      <c r="AE9" s="11"/>
      <c r="AF9" s="17">
        <v>45384</v>
      </c>
      <c r="AG9" s="17">
        <v>45396</v>
      </c>
      <c r="AI9" s="267"/>
      <c r="AJ9" s="267"/>
      <c r="AK9" s="267"/>
      <c r="AL9" s="270"/>
      <c r="AN9" s="206">
        <v>1.43</v>
      </c>
      <c r="AO9" s="266">
        <f t="shared" si="6"/>
        <v>14101.388888888891</v>
      </c>
      <c r="AP9" s="264">
        <f t="shared" si="9"/>
        <v>705.06944444444457</v>
      </c>
      <c r="AQ9" s="266">
        <f t="shared" si="16"/>
        <v>14806.458333333336</v>
      </c>
    </row>
    <row r="10" spans="2:43" x14ac:dyDescent="0.3">
      <c r="B10" s="9" t="s">
        <v>116</v>
      </c>
      <c r="C10" s="9" t="s">
        <v>117</v>
      </c>
      <c r="D10" s="9" t="s">
        <v>56</v>
      </c>
      <c r="E10" s="9" t="s">
        <v>120</v>
      </c>
      <c r="F10" s="9" t="s">
        <v>58</v>
      </c>
      <c r="G10" s="9" t="s">
        <v>122</v>
      </c>
      <c r="H10" s="9" t="s">
        <v>60</v>
      </c>
      <c r="I10" s="9" t="s">
        <v>61</v>
      </c>
      <c r="J10" s="9" t="s">
        <v>2276</v>
      </c>
      <c r="K10" s="9" t="s">
        <v>62</v>
      </c>
      <c r="L10" s="9" t="s">
        <v>123</v>
      </c>
      <c r="M10" s="9" t="s">
        <v>73</v>
      </c>
      <c r="N10" s="9" t="s">
        <v>64</v>
      </c>
      <c r="O10" s="9" t="s">
        <v>65</v>
      </c>
      <c r="P10" s="9" t="s">
        <v>65</v>
      </c>
      <c r="Q10" s="9" t="s">
        <v>66</v>
      </c>
      <c r="R10" s="10">
        <v>14</v>
      </c>
      <c r="S10" s="454">
        <f>AA10*1000/Z10</f>
        <v>8450704.2253521122</v>
      </c>
      <c r="T10" s="108">
        <v>0</v>
      </c>
      <c r="U10" s="13">
        <v>0.05</v>
      </c>
      <c r="V10" s="11">
        <f>S10*U10</f>
        <v>422535.21126760566</v>
      </c>
      <c r="W10" s="11">
        <f>S10*T10</f>
        <v>0</v>
      </c>
      <c r="X10" s="11">
        <f>S10/Y10</f>
        <v>4225352.1126760561</v>
      </c>
      <c r="Y10" s="14">
        <v>2</v>
      </c>
      <c r="Z10" s="15">
        <v>355</v>
      </c>
      <c r="AA10" s="16">
        <v>3000000</v>
      </c>
      <c r="AB10" s="16">
        <f t="shared" si="4"/>
        <v>355.00000000000006</v>
      </c>
      <c r="AC10" s="16">
        <f t="shared" si="20"/>
        <v>0</v>
      </c>
      <c r="AD10" s="207"/>
      <c r="AE10" s="11"/>
      <c r="AF10" s="17">
        <v>45384</v>
      </c>
      <c r="AG10" s="17">
        <v>45396</v>
      </c>
      <c r="AI10" s="267"/>
      <c r="AJ10" s="267"/>
      <c r="AK10" s="267"/>
      <c r="AL10" s="270"/>
      <c r="AN10" s="206">
        <v>1.43</v>
      </c>
      <c r="AO10" s="266">
        <f t="shared" si="6"/>
        <v>12084.507042253521</v>
      </c>
      <c r="AP10" s="264">
        <f t="shared" si="9"/>
        <v>604.22535211267609</v>
      </c>
      <c r="AQ10" s="266">
        <f t="shared" si="16"/>
        <v>12688.732394366198</v>
      </c>
    </row>
    <row r="11" spans="2:43" x14ac:dyDescent="0.3">
      <c r="B11" s="9" t="s">
        <v>2305</v>
      </c>
      <c r="C11" s="9" t="s">
        <v>2306</v>
      </c>
      <c r="D11" s="9" t="s">
        <v>2310</v>
      </c>
      <c r="E11" s="9" t="s">
        <v>2311</v>
      </c>
      <c r="F11" s="9" t="s">
        <v>79</v>
      </c>
      <c r="G11" s="9" t="s">
        <v>2312</v>
      </c>
      <c r="H11" s="9" t="s">
        <v>2313</v>
      </c>
      <c r="I11" s="9" t="s">
        <v>2314</v>
      </c>
      <c r="J11" s="9" t="s">
        <v>2276</v>
      </c>
      <c r="K11" s="9" t="s">
        <v>21</v>
      </c>
      <c r="L11" s="223" t="s">
        <v>2333</v>
      </c>
      <c r="M11" s="9" t="s">
        <v>73</v>
      </c>
      <c r="N11" s="9" t="s">
        <v>64</v>
      </c>
      <c r="O11" s="9" t="s">
        <v>65</v>
      </c>
      <c r="P11" s="9" t="s">
        <v>65</v>
      </c>
      <c r="Q11" s="9" t="s">
        <v>66</v>
      </c>
      <c r="R11" s="10">
        <v>3</v>
      </c>
      <c r="S11" s="11">
        <v>389769</v>
      </c>
      <c r="T11" s="108">
        <v>0.01</v>
      </c>
      <c r="U11" s="13" t="s">
        <v>21</v>
      </c>
      <c r="V11" s="11" t="s">
        <v>21</v>
      </c>
      <c r="W11" s="11">
        <f>S11*T11</f>
        <v>3897.69</v>
      </c>
      <c r="X11" s="11">
        <f t="shared" ref="X11:X18" si="21">S11/Y11</f>
        <v>129923</v>
      </c>
      <c r="Y11" s="14">
        <v>3</v>
      </c>
      <c r="Z11" s="15">
        <v>435</v>
      </c>
      <c r="AA11" s="16">
        <f>S11*Z11/1000</f>
        <v>169549.51500000001</v>
      </c>
      <c r="AB11" s="16">
        <f t="shared" si="4"/>
        <v>435.00000000000006</v>
      </c>
      <c r="AC11" s="16">
        <f t="shared" si="20"/>
        <v>43.5</v>
      </c>
      <c r="AD11" s="221"/>
      <c r="AE11" s="11"/>
      <c r="AF11" s="17">
        <v>45420</v>
      </c>
      <c r="AG11" s="17">
        <v>45422</v>
      </c>
      <c r="AI11" s="267"/>
      <c r="AJ11" s="267"/>
      <c r="AK11" s="267"/>
      <c r="AL11" s="270"/>
      <c r="AN11" s="206">
        <v>1.43</v>
      </c>
      <c r="AO11" s="266">
        <f t="shared" si="6"/>
        <v>557.36966999999993</v>
      </c>
      <c r="AP11" s="264">
        <f t="shared" ref="AP11" si="22">AO11*5%</f>
        <v>27.868483499999996</v>
      </c>
      <c r="AQ11" s="266">
        <f t="shared" ref="AQ11" si="23">SUM(AO11:AP11)</f>
        <v>585.23815349999995</v>
      </c>
    </row>
    <row r="12" spans="2:43" x14ac:dyDescent="0.3">
      <c r="B12" s="9" t="s">
        <v>2305</v>
      </c>
      <c r="C12" s="9" t="s">
        <v>2307</v>
      </c>
      <c r="D12" s="9" t="s">
        <v>2310</v>
      </c>
      <c r="E12" s="9" t="s">
        <v>2311</v>
      </c>
      <c r="F12" s="9" t="s">
        <v>79</v>
      </c>
      <c r="G12" s="9" t="s">
        <v>2312</v>
      </c>
      <c r="H12" s="9" t="s">
        <v>2313</v>
      </c>
      <c r="I12" s="9" t="s">
        <v>2314</v>
      </c>
      <c r="J12" s="9" t="s">
        <v>2276</v>
      </c>
      <c r="K12" s="9" t="s">
        <v>21</v>
      </c>
      <c r="L12" s="223" t="s">
        <v>2333</v>
      </c>
      <c r="M12" s="9" t="s">
        <v>73</v>
      </c>
      <c r="N12" s="9" t="s">
        <v>64</v>
      </c>
      <c r="O12" s="9" t="s">
        <v>65</v>
      </c>
      <c r="P12" s="9" t="s">
        <v>65</v>
      </c>
      <c r="Q12" s="9" t="s">
        <v>66</v>
      </c>
      <c r="R12" s="10">
        <v>3</v>
      </c>
      <c r="S12" s="11">
        <v>1140429</v>
      </c>
      <c r="T12" s="108">
        <v>0.01</v>
      </c>
      <c r="U12" s="13" t="s">
        <v>21</v>
      </c>
      <c r="V12" s="11" t="s">
        <v>21</v>
      </c>
      <c r="W12" s="11">
        <f t="shared" ref="W12:W18" si="24">S12*T12</f>
        <v>11404.29</v>
      </c>
      <c r="X12" s="11">
        <f t="shared" si="21"/>
        <v>380143</v>
      </c>
      <c r="Y12" s="14">
        <v>3</v>
      </c>
      <c r="Z12" s="15">
        <v>435</v>
      </c>
      <c r="AA12" s="16">
        <f t="shared" ref="AA12:AA18" si="25">S12*Z12/1000</f>
        <v>496086.61499999999</v>
      </c>
      <c r="AB12" s="16">
        <f t="shared" si="4"/>
        <v>435</v>
      </c>
      <c r="AC12" s="16">
        <f t="shared" si="20"/>
        <v>43.499999999999993</v>
      </c>
      <c r="AD12" s="221"/>
      <c r="AE12" s="11"/>
      <c r="AF12" s="17">
        <v>45420</v>
      </c>
      <c r="AG12" s="17">
        <v>45422</v>
      </c>
      <c r="AI12" s="267"/>
      <c r="AJ12" s="267"/>
      <c r="AK12" s="267"/>
      <c r="AL12" s="270"/>
      <c r="AN12" s="206">
        <v>1.43</v>
      </c>
      <c r="AO12" s="266">
        <f t="shared" si="6"/>
        <v>1630.8134700000001</v>
      </c>
      <c r="AP12" s="264">
        <f t="shared" ref="AP12:AP18" si="26">AO12*5%</f>
        <v>81.540673500000011</v>
      </c>
      <c r="AQ12" s="266">
        <f t="shared" ref="AQ12:AQ18" si="27">SUM(AO12:AP12)</f>
        <v>1712.3541435</v>
      </c>
    </row>
    <row r="13" spans="2:43" x14ac:dyDescent="0.3">
      <c r="B13" s="9" t="s">
        <v>2305</v>
      </c>
      <c r="C13" s="9" t="s">
        <v>181</v>
      </c>
      <c r="D13" s="9" t="s">
        <v>2310</v>
      </c>
      <c r="E13" s="9" t="s">
        <v>2311</v>
      </c>
      <c r="F13" s="9" t="s">
        <v>79</v>
      </c>
      <c r="G13" s="9" t="s">
        <v>2312</v>
      </c>
      <c r="H13" s="9" t="s">
        <v>2313</v>
      </c>
      <c r="I13" s="9" t="s">
        <v>2314</v>
      </c>
      <c r="J13" s="9" t="s">
        <v>2276</v>
      </c>
      <c r="K13" s="9" t="s">
        <v>21</v>
      </c>
      <c r="L13" s="223" t="s">
        <v>2333</v>
      </c>
      <c r="M13" s="9" t="s">
        <v>73</v>
      </c>
      <c r="N13" s="9" t="s">
        <v>64</v>
      </c>
      <c r="O13" s="9" t="s">
        <v>65</v>
      </c>
      <c r="P13" s="9" t="s">
        <v>65</v>
      </c>
      <c r="Q13" s="9" t="s">
        <v>66</v>
      </c>
      <c r="R13" s="10">
        <v>3</v>
      </c>
      <c r="S13" s="11">
        <v>102129</v>
      </c>
      <c r="T13" s="108">
        <v>0.01</v>
      </c>
      <c r="U13" s="13" t="s">
        <v>21</v>
      </c>
      <c r="V13" s="11" t="s">
        <v>21</v>
      </c>
      <c r="W13" s="11">
        <f t="shared" si="24"/>
        <v>1021.2900000000001</v>
      </c>
      <c r="X13" s="11">
        <f t="shared" si="21"/>
        <v>34043</v>
      </c>
      <c r="Y13" s="14">
        <v>3</v>
      </c>
      <c r="Z13" s="15">
        <v>435</v>
      </c>
      <c r="AA13" s="16">
        <f t="shared" si="25"/>
        <v>44426.114999999998</v>
      </c>
      <c r="AB13" s="16">
        <f t="shared" si="4"/>
        <v>435</v>
      </c>
      <c r="AC13" s="16">
        <f t="shared" si="20"/>
        <v>43.499999999999993</v>
      </c>
      <c r="AD13" s="221"/>
      <c r="AE13" s="11"/>
      <c r="AF13" s="17">
        <v>45420</v>
      </c>
      <c r="AG13" s="17">
        <v>45422</v>
      </c>
      <c r="AI13" s="267"/>
      <c r="AJ13" s="267"/>
      <c r="AK13" s="267"/>
      <c r="AL13" s="270"/>
      <c r="AN13" s="206">
        <v>1.43</v>
      </c>
      <c r="AO13" s="266">
        <f t="shared" si="6"/>
        <v>146.04446999999999</v>
      </c>
      <c r="AP13" s="264">
        <f t="shared" si="26"/>
        <v>7.3022235000000002</v>
      </c>
      <c r="AQ13" s="266">
        <f t="shared" si="27"/>
        <v>153.34669349999999</v>
      </c>
    </row>
    <row r="14" spans="2:43" x14ac:dyDescent="0.3">
      <c r="B14" s="9" t="s">
        <v>2305</v>
      </c>
      <c r="C14" s="9" t="s">
        <v>175</v>
      </c>
      <c r="D14" s="9" t="s">
        <v>2310</v>
      </c>
      <c r="E14" s="9" t="s">
        <v>2311</v>
      </c>
      <c r="F14" s="9" t="s">
        <v>79</v>
      </c>
      <c r="G14" s="9" t="s">
        <v>2312</v>
      </c>
      <c r="H14" s="9" t="s">
        <v>2313</v>
      </c>
      <c r="I14" s="9" t="s">
        <v>2314</v>
      </c>
      <c r="J14" s="9" t="s">
        <v>2276</v>
      </c>
      <c r="K14" s="9" t="s">
        <v>21</v>
      </c>
      <c r="L14" s="223" t="s">
        <v>2333</v>
      </c>
      <c r="M14" s="9" t="s">
        <v>73</v>
      </c>
      <c r="N14" s="9" t="s">
        <v>64</v>
      </c>
      <c r="O14" s="9" t="s">
        <v>65</v>
      </c>
      <c r="P14" s="9" t="s">
        <v>65</v>
      </c>
      <c r="Q14" s="9" t="s">
        <v>66</v>
      </c>
      <c r="R14" s="10">
        <v>3</v>
      </c>
      <c r="S14" s="11">
        <v>131199</v>
      </c>
      <c r="T14" s="108">
        <v>0.01</v>
      </c>
      <c r="U14" s="13" t="s">
        <v>21</v>
      </c>
      <c r="V14" s="11" t="s">
        <v>21</v>
      </c>
      <c r="W14" s="11">
        <f t="shared" si="24"/>
        <v>1311.99</v>
      </c>
      <c r="X14" s="11">
        <f t="shared" si="21"/>
        <v>43733</v>
      </c>
      <c r="Y14" s="14">
        <v>3</v>
      </c>
      <c r="Z14" s="15">
        <v>435</v>
      </c>
      <c r="AA14" s="16">
        <f t="shared" si="25"/>
        <v>57071.565000000002</v>
      </c>
      <c r="AB14" s="16">
        <f t="shared" si="4"/>
        <v>435</v>
      </c>
      <c r="AC14" s="16">
        <f t="shared" si="20"/>
        <v>43.5</v>
      </c>
      <c r="AD14" s="221"/>
      <c r="AE14" s="11"/>
      <c r="AF14" s="17">
        <v>45420</v>
      </c>
      <c r="AG14" s="17">
        <v>45422</v>
      </c>
      <c r="AI14" s="267"/>
      <c r="AJ14" s="267"/>
      <c r="AK14" s="267"/>
      <c r="AL14" s="270"/>
      <c r="AN14" s="206">
        <v>1.43</v>
      </c>
      <c r="AO14" s="266">
        <f t="shared" si="6"/>
        <v>187.61456999999999</v>
      </c>
      <c r="AP14" s="264">
        <f t="shared" si="26"/>
        <v>9.3807285</v>
      </c>
      <c r="AQ14" s="266">
        <f t="shared" si="27"/>
        <v>196.99529849999999</v>
      </c>
    </row>
    <row r="15" spans="2:43" x14ac:dyDescent="0.3">
      <c r="B15" s="9" t="s">
        <v>2305</v>
      </c>
      <c r="C15" s="9" t="s">
        <v>2308</v>
      </c>
      <c r="D15" s="9" t="s">
        <v>2310</v>
      </c>
      <c r="E15" s="9" t="s">
        <v>2311</v>
      </c>
      <c r="F15" s="9" t="s">
        <v>79</v>
      </c>
      <c r="G15" s="9" t="s">
        <v>2312</v>
      </c>
      <c r="H15" s="9" t="s">
        <v>2313</v>
      </c>
      <c r="I15" s="9" t="s">
        <v>2314</v>
      </c>
      <c r="J15" s="9" t="s">
        <v>2276</v>
      </c>
      <c r="K15" s="9" t="s">
        <v>21</v>
      </c>
      <c r="L15" s="223" t="s">
        <v>2333</v>
      </c>
      <c r="M15" s="9" t="s">
        <v>73</v>
      </c>
      <c r="N15" s="9" t="s">
        <v>64</v>
      </c>
      <c r="O15" s="9" t="s">
        <v>65</v>
      </c>
      <c r="P15" s="9" t="s">
        <v>65</v>
      </c>
      <c r="Q15" s="9" t="s">
        <v>66</v>
      </c>
      <c r="R15" s="10">
        <v>3</v>
      </c>
      <c r="S15" s="11">
        <v>913794</v>
      </c>
      <c r="T15" s="108">
        <v>0.01</v>
      </c>
      <c r="U15" s="13" t="s">
        <v>21</v>
      </c>
      <c r="V15" s="11" t="s">
        <v>21</v>
      </c>
      <c r="W15" s="11">
        <f t="shared" si="24"/>
        <v>9137.94</v>
      </c>
      <c r="X15" s="11">
        <f t="shared" si="21"/>
        <v>304598</v>
      </c>
      <c r="Y15" s="14">
        <v>3</v>
      </c>
      <c r="Z15" s="15">
        <v>435</v>
      </c>
      <c r="AA15" s="16">
        <f t="shared" si="25"/>
        <v>397500.39</v>
      </c>
      <c r="AB15" s="16">
        <f t="shared" si="4"/>
        <v>435</v>
      </c>
      <c r="AC15" s="16">
        <f t="shared" si="20"/>
        <v>43.5</v>
      </c>
      <c r="AD15" s="221"/>
      <c r="AE15" s="11"/>
      <c r="AF15" s="17">
        <v>45420</v>
      </c>
      <c r="AG15" s="17">
        <v>45422</v>
      </c>
      <c r="AI15" s="267"/>
      <c r="AJ15" s="267"/>
      <c r="AK15" s="267"/>
      <c r="AL15" s="270"/>
      <c r="AN15" s="206">
        <v>1.43</v>
      </c>
      <c r="AO15" s="266">
        <f t="shared" si="6"/>
        <v>1306.72542</v>
      </c>
      <c r="AP15" s="264">
        <f t="shared" si="26"/>
        <v>65.336270999999996</v>
      </c>
      <c r="AQ15" s="266">
        <f t="shared" si="27"/>
        <v>1372.0616909999999</v>
      </c>
    </row>
    <row r="16" spans="2:43" x14ac:dyDescent="0.3">
      <c r="B16" s="9" t="s">
        <v>2305</v>
      </c>
      <c r="C16" s="9" t="s">
        <v>2309</v>
      </c>
      <c r="D16" s="9" t="s">
        <v>2310</v>
      </c>
      <c r="E16" s="9" t="s">
        <v>2311</v>
      </c>
      <c r="F16" s="9" t="s">
        <v>79</v>
      </c>
      <c r="G16" s="9" t="s">
        <v>2312</v>
      </c>
      <c r="H16" s="9" t="s">
        <v>2313</v>
      </c>
      <c r="I16" s="9" t="s">
        <v>2314</v>
      </c>
      <c r="J16" s="9" t="s">
        <v>2276</v>
      </c>
      <c r="K16" s="9" t="s">
        <v>21</v>
      </c>
      <c r="L16" s="223" t="s">
        <v>2333</v>
      </c>
      <c r="M16" s="9" t="s">
        <v>73</v>
      </c>
      <c r="N16" s="9" t="s">
        <v>64</v>
      </c>
      <c r="O16" s="9" t="s">
        <v>65</v>
      </c>
      <c r="P16" s="9" t="s">
        <v>65</v>
      </c>
      <c r="Q16" s="9" t="s">
        <v>66</v>
      </c>
      <c r="R16" s="10">
        <v>3</v>
      </c>
      <c r="S16" s="11">
        <v>165624</v>
      </c>
      <c r="T16" s="108">
        <v>0.01</v>
      </c>
      <c r="U16" s="13" t="s">
        <v>21</v>
      </c>
      <c r="V16" s="11" t="s">
        <v>21</v>
      </c>
      <c r="W16" s="11">
        <f t="shared" si="24"/>
        <v>1656.24</v>
      </c>
      <c r="X16" s="11">
        <f t="shared" si="21"/>
        <v>55208</v>
      </c>
      <c r="Y16" s="14">
        <v>3</v>
      </c>
      <c r="Z16" s="15">
        <v>435</v>
      </c>
      <c r="AA16" s="16">
        <f t="shared" si="25"/>
        <v>72046.44</v>
      </c>
      <c r="AB16" s="16">
        <f t="shared" si="4"/>
        <v>435</v>
      </c>
      <c r="AC16" s="16">
        <f t="shared" si="20"/>
        <v>43.5</v>
      </c>
      <c r="AD16" s="221"/>
      <c r="AE16" s="11"/>
      <c r="AF16" s="17">
        <v>45420</v>
      </c>
      <c r="AG16" s="17">
        <v>45422</v>
      </c>
      <c r="AI16" s="267"/>
      <c r="AJ16" s="267"/>
      <c r="AK16" s="267"/>
      <c r="AL16" s="270"/>
      <c r="AN16" s="206">
        <v>1.43</v>
      </c>
      <c r="AO16" s="266">
        <f t="shared" si="6"/>
        <v>236.84231999999997</v>
      </c>
      <c r="AP16" s="264">
        <f t="shared" si="26"/>
        <v>11.842115999999999</v>
      </c>
      <c r="AQ16" s="266">
        <f t="shared" si="27"/>
        <v>248.68443599999998</v>
      </c>
    </row>
    <row r="17" spans="2:43" x14ac:dyDescent="0.3">
      <c r="B17" s="9" t="s">
        <v>2305</v>
      </c>
      <c r="C17" s="9" t="s">
        <v>172</v>
      </c>
      <c r="D17" s="9" t="s">
        <v>2310</v>
      </c>
      <c r="E17" s="9" t="s">
        <v>2311</v>
      </c>
      <c r="F17" s="9" t="s">
        <v>79</v>
      </c>
      <c r="G17" s="9" t="s">
        <v>2312</v>
      </c>
      <c r="H17" s="9" t="s">
        <v>2313</v>
      </c>
      <c r="I17" s="9" t="s">
        <v>2314</v>
      </c>
      <c r="J17" s="9" t="s">
        <v>2276</v>
      </c>
      <c r="K17" s="9" t="s">
        <v>21</v>
      </c>
      <c r="L17" s="223" t="s">
        <v>2333</v>
      </c>
      <c r="M17" s="9" t="s">
        <v>73</v>
      </c>
      <c r="N17" s="9" t="s">
        <v>64</v>
      </c>
      <c r="O17" s="9" t="s">
        <v>65</v>
      </c>
      <c r="P17" s="9" t="s">
        <v>65</v>
      </c>
      <c r="Q17" s="9" t="s">
        <v>66</v>
      </c>
      <c r="R17" s="10">
        <v>3</v>
      </c>
      <c r="S17" s="11">
        <v>414630</v>
      </c>
      <c r="T17" s="108">
        <v>0.01</v>
      </c>
      <c r="U17" s="13" t="s">
        <v>21</v>
      </c>
      <c r="V17" s="11" t="s">
        <v>21</v>
      </c>
      <c r="W17" s="11">
        <f t="shared" si="24"/>
        <v>4146.3</v>
      </c>
      <c r="X17" s="11">
        <f t="shared" si="21"/>
        <v>138210</v>
      </c>
      <c r="Y17" s="14">
        <v>3</v>
      </c>
      <c r="Z17" s="15">
        <v>435</v>
      </c>
      <c r="AA17" s="16">
        <f t="shared" si="25"/>
        <v>180364.05</v>
      </c>
      <c r="AB17" s="16">
        <f t="shared" si="4"/>
        <v>435</v>
      </c>
      <c r="AC17" s="16">
        <f t="shared" si="20"/>
        <v>43.499999999999993</v>
      </c>
      <c r="AD17" s="221"/>
      <c r="AE17" s="11"/>
      <c r="AF17" s="17">
        <v>45420</v>
      </c>
      <c r="AG17" s="17">
        <v>45422</v>
      </c>
      <c r="AI17" s="267"/>
      <c r="AJ17" s="267"/>
      <c r="AK17" s="267"/>
      <c r="AL17" s="270"/>
      <c r="AN17" s="206">
        <v>1.43</v>
      </c>
      <c r="AO17" s="266">
        <f t="shared" si="6"/>
        <v>592.92090000000007</v>
      </c>
      <c r="AP17" s="264">
        <f t="shared" si="26"/>
        <v>29.646045000000004</v>
      </c>
      <c r="AQ17" s="266">
        <f t="shared" si="27"/>
        <v>622.56694500000003</v>
      </c>
    </row>
    <row r="18" spans="2:43" x14ac:dyDescent="0.3">
      <c r="B18" s="9" t="s">
        <v>2305</v>
      </c>
      <c r="C18" s="9" t="s">
        <v>179</v>
      </c>
      <c r="D18" s="9" t="s">
        <v>2310</v>
      </c>
      <c r="E18" s="9" t="s">
        <v>2311</v>
      </c>
      <c r="F18" s="9" t="s">
        <v>79</v>
      </c>
      <c r="G18" s="9" t="s">
        <v>2312</v>
      </c>
      <c r="H18" s="9" t="s">
        <v>2313</v>
      </c>
      <c r="I18" s="9" t="s">
        <v>2314</v>
      </c>
      <c r="J18" s="9" t="s">
        <v>2276</v>
      </c>
      <c r="K18" s="9" t="s">
        <v>21</v>
      </c>
      <c r="L18" s="223" t="s">
        <v>2333</v>
      </c>
      <c r="M18" s="9" t="s">
        <v>73</v>
      </c>
      <c r="N18" s="9" t="s">
        <v>64</v>
      </c>
      <c r="O18" s="9" t="s">
        <v>65</v>
      </c>
      <c r="P18" s="9" t="s">
        <v>65</v>
      </c>
      <c r="Q18" s="9" t="s">
        <v>66</v>
      </c>
      <c r="R18" s="10">
        <v>3</v>
      </c>
      <c r="S18" s="11">
        <v>428400</v>
      </c>
      <c r="T18" s="108">
        <v>0.01</v>
      </c>
      <c r="U18" s="13" t="s">
        <v>21</v>
      </c>
      <c r="V18" s="11" t="s">
        <v>21</v>
      </c>
      <c r="W18" s="11">
        <f t="shared" si="24"/>
        <v>4284</v>
      </c>
      <c r="X18" s="11">
        <f t="shared" si="21"/>
        <v>107100</v>
      </c>
      <c r="Y18" s="14">
        <v>4</v>
      </c>
      <c r="Z18" s="15">
        <v>435</v>
      </c>
      <c r="AA18" s="16">
        <f t="shared" si="25"/>
        <v>186354</v>
      </c>
      <c r="AB18" s="16">
        <f t="shared" si="4"/>
        <v>435</v>
      </c>
      <c r="AC18" s="16">
        <f t="shared" si="20"/>
        <v>43.5</v>
      </c>
      <c r="AD18" s="221"/>
      <c r="AE18" s="11"/>
      <c r="AF18" s="17">
        <v>45420</v>
      </c>
      <c r="AG18" s="17">
        <v>45422</v>
      </c>
      <c r="AI18" s="267"/>
      <c r="AJ18" s="267"/>
      <c r="AK18" s="267"/>
      <c r="AL18" s="270"/>
      <c r="AN18" s="206">
        <v>1.43</v>
      </c>
      <c r="AO18" s="266">
        <f t="shared" si="6"/>
        <v>612.61199999999997</v>
      </c>
      <c r="AP18" s="264">
        <f t="shared" si="26"/>
        <v>30.630600000000001</v>
      </c>
      <c r="AQ18" s="266">
        <f t="shared" si="27"/>
        <v>643.24259999999992</v>
      </c>
    </row>
    <row r="19" spans="2:43" x14ac:dyDescent="0.3">
      <c r="B19" s="155" t="s">
        <v>2305</v>
      </c>
      <c r="C19" s="155" t="s">
        <v>303</v>
      </c>
      <c r="D19" s="155" t="s">
        <v>386</v>
      </c>
      <c r="E19" s="155" t="s">
        <v>202</v>
      </c>
      <c r="F19" s="155" t="s">
        <v>58</v>
      </c>
      <c r="G19" s="155" t="s">
        <v>75</v>
      </c>
      <c r="H19" s="155" t="s">
        <v>60</v>
      </c>
      <c r="I19" s="155" t="s">
        <v>61</v>
      </c>
      <c r="J19" s="155" t="s">
        <v>2280</v>
      </c>
      <c r="K19" s="155" t="s">
        <v>76</v>
      </c>
      <c r="L19" s="310" t="s">
        <v>2337</v>
      </c>
      <c r="M19" s="155" t="s">
        <v>73</v>
      </c>
      <c r="N19" s="155" t="s">
        <v>64</v>
      </c>
      <c r="O19" s="155" t="s">
        <v>65</v>
      </c>
      <c r="P19" s="155" t="s">
        <v>65</v>
      </c>
      <c r="Q19" s="155" t="s">
        <v>66</v>
      </c>
      <c r="R19" s="156">
        <f>AG19-AF19+1</f>
        <v>11</v>
      </c>
      <c r="S19" s="157">
        <f t="shared" ref="S19" si="28">AA19*1000/Z19</f>
        <v>60330302.424242422</v>
      </c>
      <c r="T19" s="158" t="s">
        <v>21</v>
      </c>
      <c r="U19" s="159" t="s">
        <v>21</v>
      </c>
      <c r="V19" s="157" t="s">
        <v>21</v>
      </c>
      <c r="W19" s="157" t="s">
        <v>21</v>
      </c>
      <c r="X19" s="157">
        <v>5700000</v>
      </c>
      <c r="Y19" s="160">
        <v>4</v>
      </c>
      <c r="Z19" s="161">
        <v>330</v>
      </c>
      <c r="AA19" s="162">
        <v>19908999.800000001</v>
      </c>
      <c r="AB19" s="162">
        <f t="shared" si="4"/>
        <v>330</v>
      </c>
      <c r="AC19" s="162">
        <f t="shared" si="20"/>
        <v>0</v>
      </c>
      <c r="AD19" s="225"/>
      <c r="AE19" s="157"/>
      <c r="AF19" s="311">
        <v>45421</v>
      </c>
      <c r="AG19" s="311">
        <v>45431</v>
      </c>
      <c r="AI19" s="267"/>
      <c r="AJ19" s="267"/>
      <c r="AK19" s="267"/>
      <c r="AL19" s="270"/>
      <c r="AN19" s="206">
        <v>1.43</v>
      </c>
      <c r="AO19" s="266">
        <f t="shared" si="6"/>
        <v>86272.332466666659</v>
      </c>
      <c r="AP19" s="264">
        <f t="shared" ref="AP19" si="29">AO19*5%</f>
        <v>4313.6166233333333</v>
      </c>
      <c r="AQ19" s="266">
        <f t="shared" ref="AQ19" si="30">SUM(AO19:AP19)</f>
        <v>90585.949089999995</v>
      </c>
    </row>
    <row r="20" spans="2:43" x14ac:dyDescent="0.3">
      <c r="B20" s="456" t="s">
        <v>2305</v>
      </c>
      <c r="C20" s="456" t="s">
        <v>303</v>
      </c>
      <c r="D20" s="456" t="s">
        <v>2346</v>
      </c>
      <c r="E20" s="456" t="s">
        <v>120</v>
      </c>
      <c r="F20" s="456" t="s">
        <v>58</v>
      </c>
      <c r="G20" s="456" t="s">
        <v>2347</v>
      </c>
      <c r="H20" s="456" t="s">
        <v>60</v>
      </c>
      <c r="I20" s="456" t="s">
        <v>61</v>
      </c>
      <c r="J20" s="456" t="s">
        <v>2280</v>
      </c>
      <c r="K20" s="456" t="s">
        <v>76</v>
      </c>
      <c r="L20" s="464" t="s">
        <v>2337</v>
      </c>
      <c r="M20" s="456" t="s">
        <v>73</v>
      </c>
      <c r="N20" s="456" t="s">
        <v>64</v>
      </c>
      <c r="O20" s="456" t="s">
        <v>65</v>
      </c>
      <c r="P20" s="456" t="s">
        <v>65</v>
      </c>
      <c r="Q20" s="456" t="s">
        <v>66</v>
      </c>
      <c r="R20" s="457">
        <v>1</v>
      </c>
      <c r="S20" s="458">
        <v>19607843.137254901</v>
      </c>
      <c r="T20" s="459" t="s">
        <v>21</v>
      </c>
      <c r="U20" s="483">
        <v>0.9</v>
      </c>
      <c r="V20" s="458">
        <f>S20*U20</f>
        <v>17647058.823529411</v>
      </c>
      <c r="W20" s="458" t="s">
        <v>21</v>
      </c>
      <c r="X20" s="458">
        <v>2500000</v>
      </c>
      <c r="Y20" s="471">
        <f>S20/X20</f>
        <v>7.8431372549019605</v>
      </c>
      <c r="Z20" s="460">
        <v>510</v>
      </c>
      <c r="AA20" s="461">
        <f>S20*Z20/1000</f>
        <v>10000000</v>
      </c>
      <c r="AB20" s="461">
        <f t="shared" ref="AB20" si="31">AA20/S20*1000</f>
        <v>510</v>
      </c>
      <c r="AC20" s="461">
        <f t="shared" ref="AC20" si="32">IFERROR(AA20/W20, 0)</f>
        <v>0</v>
      </c>
      <c r="AD20" s="462"/>
      <c r="AE20" s="458"/>
      <c r="AF20" s="463">
        <v>45452</v>
      </c>
      <c r="AG20" s="463">
        <v>45452</v>
      </c>
      <c r="AI20" s="267"/>
      <c r="AJ20" s="267"/>
      <c r="AK20" s="267"/>
      <c r="AL20" s="270"/>
      <c r="AN20" s="206">
        <v>1.43</v>
      </c>
      <c r="AO20" s="266">
        <f t="shared" si="6"/>
        <v>28039.215686274507</v>
      </c>
      <c r="AP20" s="264">
        <f t="shared" ref="AP20" si="33">AO20*5%</f>
        <v>1401.9607843137255</v>
      </c>
      <c r="AQ20" s="266">
        <f t="shared" ref="AQ20" si="34">SUM(AO20:AP20)</f>
        <v>29441.176470588231</v>
      </c>
    </row>
    <row r="21" spans="2:43" x14ac:dyDescent="0.3">
      <c r="B21" s="205" t="s">
        <v>124</v>
      </c>
      <c r="C21" s="205"/>
      <c r="D21" s="208"/>
      <c r="E21" s="208"/>
      <c r="F21" s="208"/>
      <c r="G21" s="208"/>
      <c r="H21" s="208"/>
      <c r="I21" s="208"/>
      <c r="J21" s="208"/>
      <c r="K21" s="208"/>
      <c r="L21" s="208"/>
      <c r="M21" s="208"/>
      <c r="N21" s="208"/>
      <c r="O21" s="208"/>
      <c r="P21" s="208"/>
      <c r="Q21" s="208"/>
      <c r="R21" s="208"/>
      <c r="S21" s="209">
        <f>SUM(S3:S20)</f>
        <v>350852185.89235198</v>
      </c>
      <c r="T21" s="210">
        <f>W21/S21</f>
        <v>1.6686887909177855E-3</v>
      </c>
      <c r="U21" s="211">
        <f>V21/S21</f>
        <v>0.16456172530261173</v>
      </c>
      <c r="V21" s="209">
        <f>SUM(V3:V20)</f>
        <v>57736841.036638096</v>
      </c>
      <c r="W21" s="209">
        <f>SUM(W3:W20)</f>
        <v>585463.10986757092</v>
      </c>
      <c r="X21" s="209">
        <f>X4+SUM(X3,X5:X10,X11:X20)*50%</f>
        <v>42651335.111401863</v>
      </c>
      <c r="Y21" s="212">
        <f>S21/X21</f>
        <v>8.2260540022007334</v>
      </c>
      <c r="Z21" s="213"/>
      <c r="AA21" s="214">
        <f>SUM(AA3:AA20)</f>
        <v>80172255.489999995</v>
      </c>
      <c r="AB21" s="59">
        <f>AA21/S21*1000</f>
        <v>228.50721390288942</v>
      </c>
      <c r="AC21" s="59">
        <f>AA21/W21</f>
        <v>136.93818472718903</v>
      </c>
      <c r="AD21" s="215">
        <f>X21/AE21</f>
        <v>0.11283421987143349</v>
      </c>
      <c r="AE21" s="209">
        <v>378000000</v>
      </c>
      <c r="AF21" s="209"/>
      <c r="AG21" s="216"/>
      <c r="AI21" s="271"/>
      <c r="AJ21" s="271"/>
      <c r="AK21" s="271"/>
      <c r="AL21" s="272">
        <f>SUM(AL3:AL18)</f>
        <v>484410.28535441105</v>
      </c>
      <c r="AM21" s="271"/>
      <c r="AN21" s="271"/>
      <c r="AO21" s="271"/>
      <c r="AP21" s="271"/>
      <c r="AQ21" s="272">
        <f>SUM(AQ3:AQ18)</f>
        <v>406777.43155677838</v>
      </c>
    </row>
    <row r="22" spans="2:43" x14ac:dyDescent="0.3">
      <c r="AA22" s="218"/>
      <c r="AB22" s="218"/>
    </row>
    <row r="23" spans="2:43" x14ac:dyDescent="0.3">
      <c r="B23" s="226" t="s">
        <v>400</v>
      </c>
      <c r="T23" s="264"/>
      <c r="AA23" s="218"/>
    </row>
    <row r="24" spans="2:43" x14ac:dyDescent="0.3">
      <c r="B24" s="227" t="s">
        <v>401</v>
      </c>
      <c r="C24" s="227" t="s">
        <v>399</v>
      </c>
      <c r="D24" s="227" t="s">
        <v>403</v>
      </c>
      <c r="E24" s="227" t="s">
        <v>1</v>
      </c>
      <c r="F24" s="227" t="s">
        <v>2281</v>
      </c>
      <c r="AA24" s="218"/>
    </row>
    <row r="25" spans="2:43" x14ac:dyDescent="0.3">
      <c r="B25" s="34">
        <v>1</v>
      </c>
      <c r="C25" s="34" t="s">
        <v>402</v>
      </c>
      <c r="D25" s="228">
        <v>45388</v>
      </c>
      <c r="E25" s="229">
        <f>S$7/2</f>
        <v>8080807.8787878789</v>
      </c>
      <c r="F25" s="229" t="s">
        <v>391</v>
      </c>
      <c r="AA25" s="218"/>
    </row>
    <row r="26" spans="2:43" x14ac:dyDescent="0.3">
      <c r="B26" s="34">
        <v>2</v>
      </c>
      <c r="C26" s="34" t="s">
        <v>404</v>
      </c>
      <c r="D26" s="228">
        <v>45389</v>
      </c>
      <c r="E26" s="229">
        <f>S$7/2</f>
        <v>8080807.8787878789</v>
      </c>
      <c r="F26" s="229" t="s">
        <v>391</v>
      </c>
      <c r="AA26" s="218"/>
    </row>
    <row r="27" spans="2:43" x14ac:dyDescent="0.3">
      <c r="B27" s="34">
        <v>3</v>
      </c>
      <c r="C27" s="34" t="s">
        <v>405</v>
      </c>
      <c r="D27" s="228">
        <v>45393</v>
      </c>
      <c r="E27" s="229">
        <f>S$8/2</f>
        <v>8080808.4848484844</v>
      </c>
      <c r="F27" s="229" t="s">
        <v>392</v>
      </c>
      <c r="AA27" s="218"/>
    </row>
    <row r="28" spans="2:43" x14ac:dyDescent="0.3">
      <c r="B28" s="34">
        <v>4</v>
      </c>
      <c r="C28" s="34" t="s">
        <v>406</v>
      </c>
      <c r="D28" s="228">
        <v>45396</v>
      </c>
      <c r="E28" s="229">
        <f>S$8/2</f>
        <v>8080808.4848484844</v>
      </c>
      <c r="F28" s="229" t="s">
        <v>392</v>
      </c>
      <c r="AA28" s="218"/>
    </row>
    <row r="29" spans="2:43" x14ac:dyDescent="0.3">
      <c r="B29" s="205" t="s">
        <v>23</v>
      </c>
      <c r="C29" s="205"/>
      <c r="D29" s="205"/>
      <c r="E29" s="209">
        <f>SUM(E25:E28)</f>
        <v>32323232.727272727</v>
      </c>
      <c r="F29" s="209"/>
      <c r="AA29" s="218"/>
    </row>
  </sheetData>
  <hyperlinks>
    <hyperlink ref="L5" location="Targeting!C9:C115" display="25+ MF, interested in Ananya Panday OR Aditya Roy Kapur" xr:uid="{B3BCA69A-F15E-4AD5-8F8A-B3E8ACAEC997}"/>
    <hyperlink ref="L3" location="Targeting!E8:I148" display="IPL shoulder content (Cricket News and reviews, Crictubers)" xr:uid="{FF4E16A0-8A20-44FA-B4D8-B65D81A0C79D}"/>
    <hyperlink ref="L4" location="Targeting!K9:K1460" display="Fashion In-market: Custom intent: Daily/replenishable fashion" xr:uid="{68AA4053-2D96-4BA7-95C7-B40EC918FBC2}"/>
    <hyperlink ref="L11" location="Targeting!N2:P17" display="Ref targeting sheet" xr:uid="{4328DD87-7A79-49BE-B654-35CA83DA2713}"/>
    <hyperlink ref="L12:L18" location="Targeting!N2:P17" display="Ref targeting sheet" xr:uid="{B1737F6E-DC0F-4357-98F3-ADE7046FA4CF}"/>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7D16-8A31-4F3C-B74C-C510368FA09D}">
  <sheetPr codeName="Sheet5">
    <tabColor theme="0"/>
  </sheetPr>
  <dimension ref="A1:AU21"/>
  <sheetViews>
    <sheetView zoomScale="79" zoomScaleNormal="60" workbookViewId="0">
      <selection sqref="A1:XFD1"/>
    </sheetView>
  </sheetViews>
  <sheetFormatPr defaultColWidth="8.77734375" defaultRowHeight="14.4" x14ac:dyDescent="0.3"/>
  <cols>
    <col min="1" max="1" width="27.109375" style="206" customWidth="1"/>
    <col min="2" max="2" width="12.33203125" style="206" bestFit="1" customWidth="1"/>
    <col min="3" max="3" width="9" style="206" bestFit="1" customWidth="1"/>
    <col min="4" max="4" width="13.6640625" style="206" bestFit="1" customWidth="1"/>
    <col min="5" max="5" width="34" style="206" bestFit="1" customWidth="1"/>
    <col min="6" max="6" width="20.88671875" style="206" bestFit="1" customWidth="1"/>
    <col min="7" max="7" width="19.109375" style="206" bestFit="1" customWidth="1"/>
    <col min="8" max="8" width="8.88671875" style="206" customWidth="1"/>
    <col min="9" max="9" width="25" style="206" customWidth="1"/>
    <col min="10" max="10" width="6.6640625" style="206" bestFit="1" customWidth="1"/>
    <col min="11" max="11" width="36.5546875" style="206" bestFit="1" customWidth="1"/>
    <col min="12" max="12" width="27.6640625" style="206" customWidth="1"/>
    <col min="13" max="13" width="12.5546875" style="206" bestFit="1" customWidth="1"/>
    <col min="14" max="14" width="13.109375" style="206" bestFit="1" customWidth="1"/>
    <col min="15" max="15" width="3.33203125" style="206" bestFit="1" customWidth="1"/>
    <col min="16" max="16" width="9.44140625" style="206" bestFit="1" customWidth="1"/>
    <col min="17" max="17" width="12.33203125" style="219" bestFit="1" customWidth="1"/>
    <col min="18" max="18" width="9.44140625" style="206" bestFit="1" customWidth="1"/>
    <col min="19" max="19" width="6.77734375" style="206" customWidth="1"/>
    <col min="20" max="20" width="11.33203125" style="219" bestFit="1" customWidth="1"/>
    <col min="21" max="21" width="13.33203125" style="219" bestFit="1" customWidth="1"/>
    <col min="22" max="22" width="11.33203125" style="219" bestFit="1" customWidth="1"/>
    <col min="23" max="23" width="7.88671875" style="206" bestFit="1" customWidth="1"/>
    <col min="24" max="24" width="8.88671875" style="206" bestFit="1" customWidth="1"/>
    <col min="25" max="25" width="13.109375" style="206" bestFit="1" customWidth="1"/>
    <col min="26" max="26" width="8.77734375" style="206" bestFit="1" customWidth="1"/>
    <col min="27" max="27" width="7.6640625" style="206" bestFit="1" customWidth="1"/>
    <col min="28" max="28" width="7.5546875" style="206" bestFit="1" customWidth="1"/>
    <col min="29" max="29" width="14" style="220" bestFit="1" customWidth="1"/>
    <col min="30" max="31" width="10.109375" style="206" bestFit="1" customWidth="1"/>
    <col min="32" max="32" width="11.33203125" style="206" bestFit="1" customWidth="1"/>
    <col min="33" max="33" width="11.6640625" style="206" hidden="1" customWidth="1"/>
    <col min="34" max="35" width="10.33203125" style="206" hidden="1" customWidth="1"/>
    <col min="36" max="36" width="12.88671875" style="206" hidden="1" customWidth="1"/>
    <col min="37" max="38" width="8.77734375" style="206" hidden="1" customWidth="1"/>
    <col min="39" max="39" width="12.88671875" style="206" hidden="1" customWidth="1"/>
    <col min="40" max="40" width="12.33203125" style="206" hidden="1" customWidth="1"/>
    <col min="41" max="41" width="14.33203125" style="206" hidden="1" customWidth="1"/>
    <col min="42" max="42" width="13.21875" style="206" bestFit="1" customWidth="1"/>
    <col min="43" max="43" width="17.6640625" style="206" customWidth="1"/>
    <col min="44" max="44" width="11.6640625" style="206" bestFit="1" customWidth="1"/>
    <col min="45" max="45" width="8.77734375" style="206"/>
    <col min="46" max="46" width="12.6640625" style="206" bestFit="1" customWidth="1"/>
    <col min="47" max="47" width="11.6640625" style="206" bestFit="1" customWidth="1"/>
    <col min="48" max="16384" width="8.77734375" style="206"/>
  </cols>
  <sheetData>
    <row r="1" spans="1:47" x14ac:dyDescent="0.3">
      <c r="A1" s="1" t="s">
        <v>114</v>
      </c>
      <c r="B1" s="1" t="s">
        <v>30</v>
      </c>
      <c r="C1" s="1" t="s">
        <v>31</v>
      </c>
      <c r="D1" s="1" t="s">
        <v>32</v>
      </c>
      <c r="E1" s="1" t="s">
        <v>33</v>
      </c>
      <c r="F1" s="1" t="s">
        <v>34</v>
      </c>
      <c r="G1" s="1" t="s">
        <v>35</v>
      </c>
      <c r="H1" s="1" t="s">
        <v>125</v>
      </c>
      <c r="I1" s="1" t="s">
        <v>388</v>
      </c>
      <c r="J1" s="1" t="s">
        <v>36</v>
      </c>
      <c r="K1" s="1" t="s">
        <v>37</v>
      </c>
      <c r="L1" s="1" t="s">
        <v>38</v>
      </c>
      <c r="M1" s="1" t="s">
        <v>39</v>
      </c>
      <c r="N1" s="1" t="s">
        <v>40</v>
      </c>
      <c r="O1" s="1" t="s">
        <v>41</v>
      </c>
      <c r="P1" s="2" t="s">
        <v>42</v>
      </c>
      <c r="Q1" s="3" t="s">
        <v>43</v>
      </c>
      <c r="R1" s="4" t="s">
        <v>128</v>
      </c>
      <c r="S1" s="5" t="s">
        <v>45</v>
      </c>
      <c r="T1" s="3" t="s">
        <v>3</v>
      </c>
      <c r="U1" s="3" t="s">
        <v>129</v>
      </c>
      <c r="V1" s="3" t="s">
        <v>5</v>
      </c>
      <c r="W1" s="6" t="s">
        <v>47</v>
      </c>
      <c r="X1" s="7" t="s">
        <v>48</v>
      </c>
      <c r="Y1" s="8" t="s">
        <v>49</v>
      </c>
      <c r="Z1" s="8" t="s">
        <v>50</v>
      </c>
      <c r="AA1" s="8" t="s">
        <v>51</v>
      </c>
      <c r="AB1" s="4" t="s">
        <v>6</v>
      </c>
      <c r="AC1" s="23" t="s">
        <v>52</v>
      </c>
      <c r="AD1" s="3" t="s">
        <v>53</v>
      </c>
      <c r="AE1" s="3" t="s">
        <v>54</v>
      </c>
      <c r="AS1" s="218"/>
      <c r="AT1" s="218"/>
      <c r="AU1" s="218"/>
    </row>
    <row r="2" spans="1:47" x14ac:dyDescent="0.3">
      <c r="A2" s="204" t="s">
        <v>130</v>
      </c>
      <c r="B2" s="63"/>
      <c r="C2" s="63"/>
      <c r="D2" s="63"/>
      <c r="E2" s="63"/>
      <c r="F2" s="63"/>
      <c r="G2" s="63"/>
      <c r="H2" s="63"/>
      <c r="I2" s="63"/>
      <c r="J2" s="63"/>
      <c r="K2" s="63"/>
      <c r="L2" s="63"/>
      <c r="M2" s="63"/>
      <c r="N2" s="63"/>
      <c r="O2" s="63"/>
      <c r="P2" s="64"/>
      <c r="Q2" s="65"/>
      <c r="R2" s="66"/>
      <c r="S2" s="67"/>
      <c r="T2" s="65"/>
      <c r="U2" s="65"/>
      <c r="V2" s="65"/>
      <c r="W2" s="68"/>
      <c r="X2" s="69"/>
      <c r="Y2" s="70"/>
      <c r="Z2" s="70"/>
      <c r="AA2" s="70"/>
      <c r="AB2" s="66"/>
      <c r="AC2" s="71"/>
      <c r="AD2" s="65"/>
      <c r="AE2" s="65"/>
      <c r="AS2" s="218"/>
      <c r="AT2" s="218"/>
      <c r="AU2" s="218"/>
    </row>
    <row r="3" spans="1:47" ht="22.5" customHeight="1" x14ac:dyDescent="0.3">
      <c r="A3" s="9" t="s">
        <v>131</v>
      </c>
      <c r="B3" s="9" t="s">
        <v>132</v>
      </c>
      <c r="C3" s="9" t="s">
        <v>133</v>
      </c>
      <c r="D3" s="9" t="s">
        <v>79</v>
      </c>
      <c r="E3" s="9" t="s">
        <v>134</v>
      </c>
      <c r="F3" s="9" t="s">
        <v>135</v>
      </c>
      <c r="G3" s="9" t="s">
        <v>136</v>
      </c>
      <c r="H3" s="14" t="s">
        <v>21</v>
      </c>
      <c r="I3" s="164" t="s">
        <v>389</v>
      </c>
      <c r="J3" s="9" t="s">
        <v>21</v>
      </c>
      <c r="K3" s="9" t="s">
        <v>317</v>
      </c>
      <c r="L3" s="9" t="s">
        <v>73</v>
      </c>
      <c r="M3" s="9" t="s">
        <v>64</v>
      </c>
      <c r="N3" s="9" t="s">
        <v>65</v>
      </c>
      <c r="O3" s="9" t="s">
        <v>66</v>
      </c>
      <c r="P3" s="10">
        <f>AE3-AD3+1</f>
        <v>56</v>
      </c>
      <c r="Q3" s="11">
        <f>Y3*1000/X3</f>
        <v>13043478.260869564</v>
      </c>
      <c r="R3" s="13">
        <v>0.02</v>
      </c>
      <c r="S3" s="13" t="s">
        <v>21</v>
      </c>
      <c r="T3" s="11" t="s">
        <v>21</v>
      </c>
      <c r="U3" s="11">
        <f t="shared" ref="U3" si="0">Q3*R3</f>
        <v>260869.5652173913</v>
      </c>
      <c r="V3" s="11">
        <f t="shared" ref="V3" si="1">Q3/W3</f>
        <v>4347826.0869565215</v>
      </c>
      <c r="W3" s="14">
        <v>3</v>
      </c>
      <c r="X3" s="15">
        <v>115</v>
      </c>
      <c r="Y3" s="16">
        <v>1500000</v>
      </c>
      <c r="Z3" s="16">
        <f>Y3/Q3*1000</f>
        <v>115</v>
      </c>
      <c r="AA3" s="16">
        <f>IFERROR(Y3/U3, 0)</f>
        <v>5.75</v>
      </c>
      <c r="AB3" s="207"/>
      <c r="AC3" s="11"/>
      <c r="AD3" s="17">
        <v>45418</v>
      </c>
      <c r="AE3" s="527">
        <v>45473</v>
      </c>
      <c r="AG3" s="222"/>
      <c r="AI3" s="264"/>
      <c r="AJ3" s="264"/>
      <c r="AL3" s="206">
        <v>1.43</v>
      </c>
      <c r="AM3" s="206">
        <f t="shared" ref="AM3" si="2">AL3*Q3/1000</f>
        <v>18652.173913043476</v>
      </c>
      <c r="AN3" s="206">
        <f t="shared" ref="AN3:AN8" si="3">AM3*5%</f>
        <v>932.60869565217388</v>
      </c>
      <c r="AO3" s="265">
        <f t="shared" ref="AO3" si="4">AM3+AN3</f>
        <v>19584.782608695648</v>
      </c>
      <c r="AP3" s="218"/>
      <c r="AQ3" s="218"/>
      <c r="AR3" s="218"/>
      <c r="AS3" s="218"/>
      <c r="AT3" s="218"/>
      <c r="AU3" s="218"/>
    </row>
    <row r="4" spans="1:47" x14ac:dyDescent="0.3">
      <c r="A4" s="9" t="s">
        <v>131</v>
      </c>
      <c r="B4" s="9" t="s">
        <v>132</v>
      </c>
      <c r="C4" s="9" t="s">
        <v>133</v>
      </c>
      <c r="D4" s="9" t="s">
        <v>79</v>
      </c>
      <c r="E4" s="9" t="s">
        <v>134</v>
      </c>
      <c r="F4" s="9" t="s">
        <v>135</v>
      </c>
      <c r="G4" s="9" t="s">
        <v>136</v>
      </c>
      <c r="H4" s="14" t="s">
        <v>21</v>
      </c>
      <c r="I4" s="164" t="s">
        <v>389</v>
      </c>
      <c r="J4" s="9" t="s">
        <v>21</v>
      </c>
      <c r="K4" s="9" t="s">
        <v>318</v>
      </c>
      <c r="L4" s="9" t="s">
        <v>73</v>
      </c>
      <c r="M4" s="9" t="s">
        <v>64</v>
      </c>
      <c r="N4" s="9" t="s">
        <v>65</v>
      </c>
      <c r="O4" s="9" t="s">
        <v>66</v>
      </c>
      <c r="P4" s="10">
        <f>AE4-AD4+1</f>
        <v>56</v>
      </c>
      <c r="Q4" s="11">
        <f>Y4*1000/X4</f>
        <v>7826086.9565217393</v>
      </c>
      <c r="R4" s="13">
        <v>0.02</v>
      </c>
      <c r="S4" s="13" t="s">
        <v>21</v>
      </c>
      <c r="T4" s="11" t="s">
        <v>21</v>
      </c>
      <c r="U4" s="11">
        <f t="shared" ref="U4" si="5">Q4*R4</f>
        <v>156521.73913043478</v>
      </c>
      <c r="V4" s="11">
        <f t="shared" ref="V4" si="6">Q4/W4</f>
        <v>2608695.6521739131</v>
      </c>
      <c r="W4" s="14">
        <v>3</v>
      </c>
      <c r="X4" s="15">
        <v>115</v>
      </c>
      <c r="Y4" s="16">
        <v>900000</v>
      </c>
      <c r="Z4" s="16">
        <f>Y4/Q4*1000</f>
        <v>115</v>
      </c>
      <c r="AA4" s="16">
        <f>IFERROR(Y4/U4, 0)</f>
        <v>5.75</v>
      </c>
      <c r="AB4" s="207"/>
      <c r="AC4" s="11"/>
      <c r="AD4" s="17">
        <v>45418</v>
      </c>
      <c r="AE4" s="527">
        <v>45473</v>
      </c>
      <c r="AI4" s="264"/>
      <c r="AJ4" s="264"/>
      <c r="AL4" s="206">
        <v>1.43</v>
      </c>
      <c r="AM4" s="206">
        <f t="shared" ref="AM4:AM8" si="7">AL4*Q4/1000</f>
        <v>11191.304347826086</v>
      </c>
      <c r="AN4" s="206">
        <f t="shared" si="3"/>
        <v>559.56521739130437</v>
      </c>
      <c r="AO4" s="265">
        <f t="shared" ref="AO4:AO8" si="8">AM4+AN4</f>
        <v>11750.86956521739</v>
      </c>
      <c r="AP4" s="218"/>
      <c r="AQ4" s="218"/>
      <c r="AR4" s="218"/>
      <c r="AS4" s="218"/>
      <c r="AT4" s="218"/>
      <c r="AU4" s="218"/>
    </row>
    <row r="5" spans="1:47" x14ac:dyDescent="0.3">
      <c r="A5" s="9" t="s">
        <v>131</v>
      </c>
      <c r="B5" s="9" t="s">
        <v>132</v>
      </c>
      <c r="C5" s="9" t="s">
        <v>137</v>
      </c>
      <c r="D5" s="9" t="s">
        <v>79</v>
      </c>
      <c r="E5" s="9" t="s">
        <v>134</v>
      </c>
      <c r="F5" s="9" t="s">
        <v>138</v>
      </c>
      <c r="G5" s="9" t="s">
        <v>138</v>
      </c>
      <c r="H5" s="14" t="s">
        <v>21</v>
      </c>
      <c r="I5" s="164" t="s">
        <v>389</v>
      </c>
      <c r="J5" s="9" t="s">
        <v>21</v>
      </c>
      <c r="K5" s="9" t="s">
        <v>319</v>
      </c>
      <c r="L5" s="9" t="s">
        <v>139</v>
      </c>
      <c r="M5" s="9" t="s">
        <v>64</v>
      </c>
      <c r="N5" s="9" t="s">
        <v>65</v>
      </c>
      <c r="O5" s="9" t="s">
        <v>66</v>
      </c>
      <c r="P5" s="10">
        <f t="shared" ref="P5:P9" si="9">AE5-AD5+1</f>
        <v>55</v>
      </c>
      <c r="Q5" s="11">
        <f>U5/R5</f>
        <v>10285714.285714285</v>
      </c>
      <c r="R5" s="13">
        <v>0.02</v>
      </c>
      <c r="S5" s="13" t="s">
        <v>21</v>
      </c>
      <c r="T5" s="13" t="s">
        <v>21</v>
      </c>
      <c r="U5" s="11">
        <f>Y5/X5</f>
        <v>205714.28571428571</v>
      </c>
      <c r="V5" s="11">
        <f t="shared" ref="V5:V10" si="10">Q5/W5</f>
        <v>3428571.4285714286</v>
      </c>
      <c r="W5" s="14">
        <v>3</v>
      </c>
      <c r="X5" s="15">
        <v>7</v>
      </c>
      <c r="Y5" s="16">
        <v>1440000</v>
      </c>
      <c r="Z5" s="16">
        <f>Y5/Q5*1000</f>
        <v>140</v>
      </c>
      <c r="AA5" s="16">
        <f>IFERROR(Y5/U5, 0)</f>
        <v>7</v>
      </c>
      <c r="AB5" s="207"/>
      <c r="AC5" s="11"/>
      <c r="AD5" s="17">
        <v>45419</v>
      </c>
      <c r="AE5" s="527">
        <v>45473</v>
      </c>
      <c r="AG5" s="218"/>
      <c r="AI5" s="264"/>
      <c r="AJ5" s="264"/>
      <c r="AL5" s="206">
        <v>1.43</v>
      </c>
      <c r="AM5" s="206">
        <f t="shared" si="7"/>
        <v>14708.571428571428</v>
      </c>
      <c r="AN5" s="206">
        <f t="shared" si="3"/>
        <v>735.42857142857144</v>
      </c>
      <c r="AO5" s="265">
        <f t="shared" si="8"/>
        <v>15443.999999999998</v>
      </c>
      <c r="AP5" s="218"/>
      <c r="AQ5" s="218"/>
      <c r="AR5" s="218"/>
      <c r="AS5" s="218"/>
      <c r="AT5" s="218"/>
      <c r="AU5" s="218"/>
    </row>
    <row r="6" spans="1:47" x14ac:dyDescent="0.3">
      <c r="A6" s="9" t="s">
        <v>131</v>
      </c>
      <c r="B6" s="9" t="s">
        <v>132</v>
      </c>
      <c r="C6" s="9" t="s">
        <v>140</v>
      </c>
      <c r="D6" s="9" t="s">
        <v>79</v>
      </c>
      <c r="E6" s="9" t="s">
        <v>134</v>
      </c>
      <c r="F6" s="9" t="s">
        <v>138</v>
      </c>
      <c r="G6" s="9" t="s">
        <v>138</v>
      </c>
      <c r="H6" s="14" t="s">
        <v>21</v>
      </c>
      <c r="I6" s="164" t="s">
        <v>389</v>
      </c>
      <c r="J6" s="9" t="s">
        <v>21</v>
      </c>
      <c r="K6" s="9" t="s">
        <v>319</v>
      </c>
      <c r="L6" s="9" t="s">
        <v>80</v>
      </c>
      <c r="M6" s="9" t="s">
        <v>64</v>
      </c>
      <c r="N6" s="9" t="s">
        <v>66</v>
      </c>
      <c r="O6" s="9" t="s">
        <v>66</v>
      </c>
      <c r="P6" s="10">
        <f t="shared" si="9"/>
        <v>59</v>
      </c>
      <c r="Q6" s="11">
        <f>U6/R6</f>
        <v>6400000</v>
      </c>
      <c r="R6" s="13">
        <v>0.05</v>
      </c>
      <c r="S6" s="13" t="s">
        <v>21</v>
      </c>
      <c r="T6" s="13" t="s">
        <v>21</v>
      </c>
      <c r="U6" s="11">
        <f>Y6/X6</f>
        <v>320000</v>
      </c>
      <c r="V6" s="11">
        <f t="shared" si="10"/>
        <v>1600000</v>
      </c>
      <c r="W6" s="14">
        <v>4</v>
      </c>
      <c r="X6" s="15">
        <v>6</v>
      </c>
      <c r="Y6" s="16">
        <v>1920000</v>
      </c>
      <c r="Z6" s="16">
        <f t="shared" ref="Z6" si="11">Y6/Q6*1000</f>
        <v>300</v>
      </c>
      <c r="AA6" s="276">
        <f t="shared" ref="AA6" si="12">IFERROR(Y6/U6, 0)</f>
        <v>6</v>
      </c>
      <c r="AB6" s="221"/>
      <c r="AC6" s="11"/>
      <c r="AD6" s="17">
        <v>45415</v>
      </c>
      <c r="AE6" s="527">
        <v>45473</v>
      </c>
      <c r="AG6" s="206">
        <v>1.66</v>
      </c>
      <c r="AH6" s="206">
        <f t="shared" ref="AH6" si="13">AG6*Q6/1000</f>
        <v>10624</v>
      </c>
      <c r="AI6" s="264">
        <f t="shared" ref="AI6" si="14">AH6*5%</f>
        <v>531.20000000000005</v>
      </c>
      <c r="AJ6" s="264">
        <f t="shared" ref="AJ6" si="15">AH6+AI6</f>
        <v>11155.2</v>
      </c>
      <c r="AL6" s="206">
        <v>1.43</v>
      </c>
      <c r="AM6" s="206">
        <f t="shared" si="7"/>
        <v>9152</v>
      </c>
      <c r="AN6" s="206">
        <f t="shared" si="3"/>
        <v>457.6</v>
      </c>
      <c r="AO6" s="265">
        <f t="shared" si="8"/>
        <v>9609.6</v>
      </c>
      <c r="AP6" s="218"/>
      <c r="AQ6" s="218"/>
      <c r="AR6" s="218"/>
      <c r="AS6" s="218"/>
      <c r="AT6" s="218"/>
      <c r="AU6" s="218"/>
    </row>
    <row r="7" spans="1:47" x14ac:dyDescent="0.3">
      <c r="A7" s="9" t="s">
        <v>119</v>
      </c>
      <c r="B7" s="9" t="s">
        <v>56</v>
      </c>
      <c r="C7" s="9" t="s">
        <v>299</v>
      </c>
      <c r="D7" s="9" t="s">
        <v>79</v>
      </c>
      <c r="E7" s="9" t="s">
        <v>383</v>
      </c>
      <c r="F7" s="9" t="s">
        <v>387</v>
      </c>
      <c r="G7" s="9" t="s">
        <v>61</v>
      </c>
      <c r="H7" s="14" t="s">
        <v>21</v>
      </c>
      <c r="I7" s="164" t="s">
        <v>389</v>
      </c>
      <c r="J7" s="9" t="s">
        <v>390</v>
      </c>
      <c r="K7" s="9" t="s">
        <v>384</v>
      </c>
      <c r="L7" s="9" t="s">
        <v>73</v>
      </c>
      <c r="M7" s="9" t="s">
        <v>64</v>
      </c>
      <c r="N7" s="9" t="s">
        <v>65</v>
      </c>
      <c r="O7" s="9" t="s">
        <v>385</v>
      </c>
      <c r="P7" s="10">
        <f t="shared" si="9"/>
        <v>59</v>
      </c>
      <c r="Q7" s="11">
        <f>Y7*1000/X7</f>
        <v>6652806.6528066527</v>
      </c>
      <c r="R7" s="108">
        <v>1.2E-2</v>
      </c>
      <c r="S7" s="13">
        <v>1</v>
      </c>
      <c r="T7" s="11">
        <f>Q7*S7</f>
        <v>6652806.6528066527</v>
      </c>
      <c r="U7" s="11">
        <f>Q7*R7</f>
        <v>79833.679833679838</v>
      </c>
      <c r="V7" s="11">
        <f t="shared" si="10"/>
        <v>1663201.6632016632</v>
      </c>
      <c r="W7" s="14">
        <v>4</v>
      </c>
      <c r="X7" s="153">
        <v>240.5</v>
      </c>
      <c r="Y7" s="16">
        <v>1600000</v>
      </c>
      <c r="Z7" s="16">
        <f>Y7/Q7*1000</f>
        <v>240.5</v>
      </c>
      <c r="AA7" s="16">
        <f>IFERROR(Y7/U7, 0)</f>
        <v>20.041666666666664</v>
      </c>
      <c r="AB7" s="221"/>
      <c r="AC7" s="11"/>
      <c r="AD7" s="17">
        <v>45415</v>
      </c>
      <c r="AE7" s="527">
        <v>45473</v>
      </c>
      <c r="AG7" s="206">
        <v>4.33</v>
      </c>
      <c r="AH7" s="206">
        <f t="shared" ref="AH7:AH10" si="16">AG7*Q7/1000</f>
        <v>28806.652806652808</v>
      </c>
      <c r="AI7" s="264">
        <f t="shared" ref="AI7:AI10" si="17">AH7*5%</f>
        <v>1440.3326403326405</v>
      </c>
      <c r="AJ7" s="264">
        <f t="shared" ref="AJ7:AJ10" si="18">AH7+AI7</f>
        <v>30246.985446985447</v>
      </c>
      <c r="AL7" s="206">
        <v>1.43</v>
      </c>
      <c r="AM7" s="206">
        <f t="shared" si="7"/>
        <v>9513.5135135135133</v>
      </c>
      <c r="AN7" s="206">
        <f t="shared" si="3"/>
        <v>475.67567567567568</v>
      </c>
      <c r="AO7" s="265">
        <f t="shared" si="8"/>
        <v>9989.1891891891883</v>
      </c>
      <c r="AP7" s="218"/>
      <c r="AQ7" s="218"/>
      <c r="AR7" s="218"/>
      <c r="AS7" s="218"/>
      <c r="AT7" s="218"/>
      <c r="AU7" s="218"/>
    </row>
    <row r="8" spans="1:47" x14ac:dyDescent="0.3">
      <c r="A8" s="9" t="s">
        <v>382</v>
      </c>
      <c r="B8" s="9" t="s">
        <v>56</v>
      </c>
      <c r="C8" s="9" t="s">
        <v>299</v>
      </c>
      <c r="D8" s="9" t="s">
        <v>79</v>
      </c>
      <c r="E8" s="9" t="s">
        <v>383</v>
      </c>
      <c r="F8" s="9" t="s">
        <v>387</v>
      </c>
      <c r="G8" s="9" t="s">
        <v>61</v>
      </c>
      <c r="H8" s="14" t="s">
        <v>21</v>
      </c>
      <c r="I8" s="164" t="s">
        <v>389</v>
      </c>
      <c r="J8" s="9" t="s">
        <v>390</v>
      </c>
      <c r="K8" s="164" t="s">
        <v>384</v>
      </c>
      <c r="L8" s="9" t="s">
        <v>73</v>
      </c>
      <c r="M8" s="9" t="s">
        <v>64</v>
      </c>
      <c r="N8" s="9" t="s">
        <v>65</v>
      </c>
      <c r="O8" s="9" t="s">
        <v>385</v>
      </c>
      <c r="P8" s="10">
        <f t="shared" si="9"/>
        <v>59</v>
      </c>
      <c r="Q8" s="11">
        <f>Y8*1000/X8</f>
        <v>2910602.9106029104</v>
      </c>
      <c r="R8" s="108">
        <v>1.2E-2</v>
      </c>
      <c r="S8" s="13">
        <v>1</v>
      </c>
      <c r="T8" s="11">
        <f>Q8*S8</f>
        <v>2910602.9106029104</v>
      </c>
      <c r="U8" s="11">
        <f>Q8*R8</f>
        <v>34927.234927234924</v>
      </c>
      <c r="V8" s="11">
        <f t="shared" si="10"/>
        <v>727650.72765072761</v>
      </c>
      <c r="W8" s="14">
        <v>4</v>
      </c>
      <c r="X8" s="153">
        <v>240.5</v>
      </c>
      <c r="Y8" s="16">
        <v>700000</v>
      </c>
      <c r="Z8" s="16">
        <f>Y8/Q8*1000</f>
        <v>240.50000000000003</v>
      </c>
      <c r="AA8" s="16">
        <f>IFERROR(Y8/U8, 0)</f>
        <v>20.041666666666668</v>
      </c>
      <c r="AB8" s="221"/>
      <c r="AC8" s="11"/>
      <c r="AD8" s="17">
        <v>45415</v>
      </c>
      <c r="AE8" s="527">
        <v>45473</v>
      </c>
      <c r="AG8" s="206">
        <v>4.33</v>
      </c>
      <c r="AH8" s="206">
        <f t="shared" si="16"/>
        <v>12602.910602910602</v>
      </c>
      <c r="AI8" s="264">
        <f t="shared" si="17"/>
        <v>630.14553014553019</v>
      </c>
      <c r="AJ8" s="264">
        <f t="shared" si="18"/>
        <v>13233.056133056132</v>
      </c>
      <c r="AL8" s="206">
        <v>1.43</v>
      </c>
      <c r="AM8" s="206">
        <f t="shared" si="7"/>
        <v>4162.1621621621616</v>
      </c>
      <c r="AN8" s="206">
        <f t="shared" si="3"/>
        <v>208.1081081081081</v>
      </c>
      <c r="AO8" s="265">
        <f t="shared" si="8"/>
        <v>4370.27027027027</v>
      </c>
      <c r="AP8" s="218"/>
      <c r="AQ8" s="218"/>
      <c r="AR8" s="218"/>
      <c r="AS8" s="218"/>
      <c r="AT8" s="218"/>
      <c r="AU8" s="218"/>
    </row>
    <row r="9" spans="1:47" x14ac:dyDescent="0.3">
      <c r="A9" s="301" t="s">
        <v>119</v>
      </c>
      <c r="B9" s="301" t="s">
        <v>56</v>
      </c>
      <c r="C9" s="301" t="s">
        <v>299</v>
      </c>
      <c r="D9" s="301" t="s">
        <v>79</v>
      </c>
      <c r="E9" s="301" t="s">
        <v>383</v>
      </c>
      <c r="F9" s="301" t="s">
        <v>2338</v>
      </c>
      <c r="G9" s="301" t="s">
        <v>61</v>
      </c>
      <c r="H9" s="302" t="s">
        <v>21</v>
      </c>
      <c r="I9" s="301" t="s">
        <v>389</v>
      </c>
      <c r="J9" s="301" t="s">
        <v>2339</v>
      </c>
      <c r="K9" s="301" t="s">
        <v>384</v>
      </c>
      <c r="L9" s="301" t="s">
        <v>73</v>
      </c>
      <c r="M9" s="301" t="s">
        <v>64</v>
      </c>
      <c r="N9" s="301" t="s">
        <v>65</v>
      </c>
      <c r="O9" s="301" t="s">
        <v>385</v>
      </c>
      <c r="P9" s="303">
        <f t="shared" si="9"/>
        <v>42</v>
      </c>
      <c r="Q9" s="304">
        <f>Y9*1000/X9</f>
        <v>5821205.8212058209</v>
      </c>
      <c r="R9" s="305">
        <v>1.2E-2</v>
      </c>
      <c r="S9" s="306">
        <v>1</v>
      </c>
      <c r="T9" s="304">
        <f>Q9*S9</f>
        <v>5821205.8212058209</v>
      </c>
      <c r="U9" s="304">
        <f>Q9*R9</f>
        <v>69854.469854469848</v>
      </c>
      <c r="V9" s="304">
        <f t="shared" si="10"/>
        <v>1455301.4553014552</v>
      </c>
      <c r="W9" s="302">
        <v>4</v>
      </c>
      <c r="X9" s="307">
        <v>240.5</v>
      </c>
      <c r="Y9" s="307">
        <v>1400000</v>
      </c>
      <c r="Z9" s="307">
        <f>Y9/Q9*1000</f>
        <v>240.50000000000003</v>
      </c>
      <c r="AA9" s="307">
        <f>IFERROR(Y9/U9, 0)</f>
        <v>20.041666666666668</v>
      </c>
      <c r="AB9" s="308"/>
      <c r="AC9" s="304"/>
      <c r="AD9" s="309">
        <v>45432</v>
      </c>
      <c r="AE9" s="527">
        <v>45473</v>
      </c>
      <c r="AG9" s="206">
        <v>4.33</v>
      </c>
      <c r="AH9" s="206">
        <f t="shared" si="16"/>
        <v>25205.821205821205</v>
      </c>
      <c r="AI9" s="264">
        <f t="shared" si="17"/>
        <v>1260.2910602910604</v>
      </c>
      <c r="AJ9" s="264">
        <f t="shared" si="18"/>
        <v>26466.112266112264</v>
      </c>
      <c r="AL9" s="206">
        <v>1.43</v>
      </c>
      <c r="AM9" s="206">
        <f t="shared" ref="AM9:AM10" si="19">AL9*Q9/1000</f>
        <v>8324.3243243243232</v>
      </c>
      <c r="AN9" s="206">
        <f t="shared" ref="AN9:AN10" si="20">AM9*5%</f>
        <v>416.2162162162162</v>
      </c>
      <c r="AO9" s="265">
        <f t="shared" ref="AO9:AO10" si="21">AM9+AN9</f>
        <v>8740.54054054054</v>
      </c>
      <c r="AP9" s="218"/>
      <c r="AQ9" s="218"/>
      <c r="AR9" s="218"/>
      <c r="AS9" s="218"/>
      <c r="AT9" s="218"/>
      <c r="AU9" s="218"/>
    </row>
    <row r="10" spans="1:47" x14ac:dyDescent="0.3">
      <c r="A10" s="301" t="s">
        <v>382</v>
      </c>
      <c r="B10" s="301" t="s">
        <v>56</v>
      </c>
      <c r="C10" s="301" t="s">
        <v>299</v>
      </c>
      <c r="D10" s="301" t="s">
        <v>79</v>
      </c>
      <c r="E10" s="301" t="s">
        <v>383</v>
      </c>
      <c r="F10" s="301" t="s">
        <v>2338</v>
      </c>
      <c r="G10" s="301" t="s">
        <v>61</v>
      </c>
      <c r="H10" s="302" t="s">
        <v>21</v>
      </c>
      <c r="I10" s="301" t="s">
        <v>389</v>
      </c>
      <c r="J10" s="301" t="s">
        <v>2339</v>
      </c>
      <c r="K10" s="301" t="s">
        <v>384</v>
      </c>
      <c r="L10" s="301" t="s">
        <v>73</v>
      </c>
      <c r="M10" s="301" t="s">
        <v>64</v>
      </c>
      <c r="N10" s="301" t="s">
        <v>65</v>
      </c>
      <c r="O10" s="301" t="s">
        <v>385</v>
      </c>
      <c r="P10" s="303">
        <f t="shared" ref="P10" si="22">AE10-AD10+1</f>
        <v>42</v>
      </c>
      <c r="Q10" s="304">
        <f>Y10*1000/X10</f>
        <v>2494802.494802495</v>
      </c>
      <c r="R10" s="305">
        <v>1.2E-2</v>
      </c>
      <c r="S10" s="306">
        <v>1</v>
      </c>
      <c r="T10" s="304">
        <f>Q10*S10</f>
        <v>2494802.494802495</v>
      </c>
      <c r="U10" s="304">
        <f>Q10*R10</f>
        <v>29937.629937629939</v>
      </c>
      <c r="V10" s="304">
        <f t="shared" si="10"/>
        <v>623700.62370062375</v>
      </c>
      <c r="W10" s="302">
        <v>4</v>
      </c>
      <c r="X10" s="307">
        <v>240.5</v>
      </c>
      <c r="Y10" s="307">
        <v>600000</v>
      </c>
      <c r="Z10" s="307">
        <f>Y10/Q10*1000</f>
        <v>240.5</v>
      </c>
      <c r="AA10" s="307">
        <f>IFERROR(Y10/U10, 0)</f>
        <v>20.041666666666664</v>
      </c>
      <c r="AB10" s="308"/>
      <c r="AC10" s="304"/>
      <c r="AD10" s="309">
        <v>45432</v>
      </c>
      <c r="AE10" s="527">
        <v>45473</v>
      </c>
      <c r="AG10" s="206">
        <v>4.33</v>
      </c>
      <c r="AH10" s="206">
        <f t="shared" si="16"/>
        <v>10802.494802494803</v>
      </c>
      <c r="AI10" s="264">
        <f t="shared" si="17"/>
        <v>540.12474012474013</v>
      </c>
      <c r="AJ10" s="264">
        <f t="shared" si="18"/>
        <v>11342.619542619543</v>
      </c>
      <c r="AL10" s="206">
        <v>1.43</v>
      </c>
      <c r="AM10" s="206">
        <f t="shared" si="19"/>
        <v>3567.5675675675679</v>
      </c>
      <c r="AN10" s="206">
        <f t="shared" si="20"/>
        <v>178.37837837837841</v>
      </c>
      <c r="AO10" s="265">
        <f t="shared" si="21"/>
        <v>3745.9459459459463</v>
      </c>
      <c r="AP10" s="218"/>
      <c r="AQ10" s="218"/>
      <c r="AR10" s="218"/>
      <c r="AS10" s="218"/>
      <c r="AT10" s="218"/>
      <c r="AU10" s="218"/>
    </row>
    <row r="11" spans="1:47" x14ac:dyDescent="0.3">
      <c r="A11" s="205" t="s">
        <v>381</v>
      </c>
      <c r="B11" s="208"/>
      <c r="C11" s="208"/>
      <c r="D11" s="208"/>
      <c r="E11" s="208"/>
      <c r="F11" s="208"/>
      <c r="G11" s="208"/>
      <c r="H11" s="208"/>
      <c r="I11" s="208"/>
      <c r="J11" s="208"/>
      <c r="K11" s="208"/>
      <c r="L11" s="208"/>
      <c r="M11" s="208"/>
      <c r="N11" s="208"/>
      <c r="O11" s="208"/>
      <c r="P11" s="208"/>
      <c r="Q11" s="209">
        <f>SUM(Q3:Q10)</f>
        <v>55434697.38252347</v>
      </c>
      <c r="R11" s="211">
        <f>U11/Q11</f>
        <v>2.0883285365964559E-2</v>
      </c>
      <c r="S11" s="211" t="s">
        <v>21</v>
      </c>
      <c r="T11" s="209" t="s">
        <v>21</v>
      </c>
      <c r="U11" s="209">
        <f>SUM(U3:U10)</f>
        <v>1157658.6046151263</v>
      </c>
      <c r="V11" s="209">
        <f>V3+SUM(V4:V10)*50%</f>
        <v>10401386.862256426</v>
      </c>
      <c r="W11" s="212">
        <f>Q11/V11</f>
        <v>5.3295486569853185</v>
      </c>
      <c r="X11" s="213"/>
      <c r="Y11" s="214">
        <f>SUM(Y3:Y10)</f>
        <v>10060000</v>
      </c>
      <c r="Z11" s="59">
        <f>Y11/Q11*1000</f>
        <v>181.47478880567587</v>
      </c>
      <c r="AA11" s="59">
        <f>Y11/U11</f>
        <v>8.6899539811605635</v>
      </c>
      <c r="AB11" s="215">
        <f>V11/AC11</f>
        <v>0.14248475153775927</v>
      </c>
      <c r="AC11" s="209">
        <v>73000000</v>
      </c>
      <c r="AD11" s="209"/>
      <c r="AE11" s="216"/>
      <c r="AT11" s="218"/>
      <c r="AU11" s="218"/>
    </row>
    <row r="12" spans="1:47" x14ac:dyDescent="0.3">
      <c r="A12" s="217"/>
    </row>
    <row r="13" spans="1:47" x14ac:dyDescent="0.3">
      <c r="A13" s="1" t="s">
        <v>114</v>
      </c>
      <c r="B13" s="1" t="s">
        <v>30</v>
      </c>
      <c r="C13" s="1" t="s">
        <v>31</v>
      </c>
      <c r="D13" s="1" t="s">
        <v>32</v>
      </c>
      <c r="E13" s="1" t="s">
        <v>33</v>
      </c>
      <c r="F13" s="1" t="s">
        <v>34</v>
      </c>
      <c r="G13" s="1" t="s">
        <v>35</v>
      </c>
      <c r="H13" s="1" t="s">
        <v>125</v>
      </c>
      <c r="I13" s="1" t="s">
        <v>388</v>
      </c>
      <c r="J13" s="1" t="s">
        <v>36</v>
      </c>
      <c r="K13" s="1" t="s">
        <v>37</v>
      </c>
      <c r="L13" s="1" t="s">
        <v>38</v>
      </c>
      <c r="M13" s="1" t="s">
        <v>39</v>
      </c>
      <c r="N13" s="1" t="s">
        <v>40</v>
      </c>
      <c r="O13" s="1" t="s">
        <v>41</v>
      </c>
      <c r="P13" s="2" t="s">
        <v>42</v>
      </c>
      <c r="Q13" s="3" t="s">
        <v>43</v>
      </c>
      <c r="R13" s="4" t="s">
        <v>44</v>
      </c>
      <c r="S13" s="5" t="s">
        <v>45</v>
      </c>
      <c r="T13" s="3" t="s">
        <v>3</v>
      </c>
      <c r="U13" s="3" t="s">
        <v>46</v>
      </c>
      <c r="V13" s="3" t="s">
        <v>5</v>
      </c>
      <c r="W13" s="6" t="s">
        <v>47</v>
      </c>
      <c r="X13" s="7" t="s">
        <v>48</v>
      </c>
      <c r="Y13" s="8" t="s">
        <v>49</v>
      </c>
      <c r="Z13" s="8" t="s">
        <v>50</v>
      </c>
      <c r="AA13" s="8" t="s">
        <v>51</v>
      </c>
      <c r="AB13" s="4" t="s">
        <v>6</v>
      </c>
      <c r="AC13" s="23" t="s">
        <v>52</v>
      </c>
      <c r="AD13" s="3" t="s">
        <v>53</v>
      </c>
      <c r="AE13" s="3" t="s">
        <v>54</v>
      </c>
    </row>
    <row r="14" spans="1:47" x14ac:dyDescent="0.3">
      <c r="A14" s="204" t="s">
        <v>2292</v>
      </c>
      <c r="B14" s="63"/>
      <c r="C14" s="63"/>
      <c r="D14" s="63"/>
      <c r="E14" s="63"/>
      <c r="F14" s="63"/>
      <c r="G14" s="63"/>
      <c r="H14" s="63"/>
      <c r="I14" s="63"/>
      <c r="J14" s="63"/>
      <c r="K14" s="63"/>
      <c r="L14" s="63"/>
      <c r="M14" s="63"/>
      <c r="N14" s="63"/>
      <c r="O14" s="63"/>
      <c r="P14" s="64"/>
      <c r="Q14" s="65"/>
      <c r="R14" s="66"/>
      <c r="S14" s="67"/>
      <c r="T14" s="65"/>
      <c r="U14" s="65"/>
      <c r="V14" s="65"/>
      <c r="W14" s="68"/>
      <c r="X14" s="69"/>
      <c r="Y14" s="70"/>
      <c r="Z14" s="70"/>
      <c r="AA14" s="70"/>
      <c r="AB14" s="66"/>
      <c r="AC14" s="71"/>
      <c r="AD14" s="65"/>
      <c r="AE14" s="65"/>
    </row>
    <row r="15" spans="1:47" x14ac:dyDescent="0.3">
      <c r="A15" s="9" t="s">
        <v>119</v>
      </c>
      <c r="B15" s="9" t="s">
        <v>56</v>
      </c>
      <c r="C15" s="9" t="s">
        <v>207</v>
      </c>
      <c r="D15" s="9" t="s">
        <v>67</v>
      </c>
      <c r="E15" s="9" t="s">
        <v>75</v>
      </c>
      <c r="F15" s="9" t="s">
        <v>60</v>
      </c>
      <c r="G15" s="9" t="s">
        <v>2293</v>
      </c>
      <c r="H15" s="14">
        <v>2</v>
      </c>
      <c r="I15" s="164" t="s">
        <v>2276</v>
      </c>
      <c r="J15" s="9" t="s">
        <v>126</v>
      </c>
      <c r="K15" s="9" t="s">
        <v>2294</v>
      </c>
      <c r="L15" s="9" t="s">
        <v>2295</v>
      </c>
      <c r="M15" s="9" t="s">
        <v>64</v>
      </c>
      <c r="N15" s="9" t="s">
        <v>65</v>
      </c>
      <c r="O15" s="9" t="s">
        <v>65</v>
      </c>
      <c r="P15" s="10">
        <f>AE15-AD15+1</f>
        <v>8</v>
      </c>
      <c r="Q15" s="11">
        <f>Y15*1000/X15</f>
        <v>882352.9411764706</v>
      </c>
      <c r="R15" s="12">
        <v>2.5000000000000001E-3</v>
      </c>
      <c r="S15" s="13">
        <v>0.75</v>
      </c>
      <c r="T15" s="11">
        <f>Q15*S15</f>
        <v>661764.70588235301</v>
      </c>
      <c r="U15" s="11">
        <f t="shared" ref="U15:U18" si="23">Q15*R15</f>
        <v>2205.8823529411766</v>
      </c>
      <c r="V15" s="11">
        <f t="shared" ref="V15:V18" si="24">Q15/W15</f>
        <v>441176.4705882353</v>
      </c>
      <c r="W15" s="14">
        <v>2</v>
      </c>
      <c r="X15" s="15">
        <v>136</v>
      </c>
      <c r="Y15" s="16">
        <v>120000</v>
      </c>
      <c r="Z15" s="16">
        <f t="shared" ref="Z15:Z18" si="25">Y15/Q15*1000</f>
        <v>136</v>
      </c>
      <c r="AA15" s="16">
        <f>IFERROR(Y15/U15, 0)</f>
        <v>54.4</v>
      </c>
      <c r="AB15" s="207">
        <f>V15/AC15</f>
        <v>5.0001293630135384E-2</v>
      </c>
      <c r="AC15" s="11">
        <v>8823301.129999999</v>
      </c>
      <c r="AD15" s="17">
        <v>45400</v>
      </c>
      <c r="AE15" s="17">
        <v>45407</v>
      </c>
      <c r="AF15" s="218"/>
      <c r="AG15" s="222"/>
      <c r="AL15" s="206">
        <v>1.43</v>
      </c>
      <c r="AM15" s="206">
        <f t="shared" ref="AM15" si="26">AL15*Q15/1000</f>
        <v>1261.7647058823529</v>
      </c>
      <c r="AN15" s="206">
        <f t="shared" ref="AN15:AN18" si="27">AM15*5%</f>
        <v>63.088235294117652</v>
      </c>
      <c r="AO15" s="265">
        <f t="shared" ref="AO15" si="28">AM15+AN15</f>
        <v>1324.8529411764705</v>
      </c>
    </row>
    <row r="16" spans="1:47" x14ac:dyDescent="0.3">
      <c r="A16" s="9" t="s">
        <v>119</v>
      </c>
      <c r="B16" s="9" t="s">
        <v>56</v>
      </c>
      <c r="C16" s="9" t="s">
        <v>207</v>
      </c>
      <c r="D16" s="9" t="s">
        <v>67</v>
      </c>
      <c r="E16" s="9" t="s">
        <v>75</v>
      </c>
      <c r="F16" s="9" t="s">
        <v>60</v>
      </c>
      <c r="G16" s="9" t="s">
        <v>2293</v>
      </c>
      <c r="H16" s="14">
        <v>2</v>
      </c>
      <c r="I16" s="164" t="s">
        <v>2276</v>
      </c>
      <c r="J16" s="9" t="s">
        <v>126</v>
      </c>
      <c r="K16" s="9" t="s">
        <v>2294</v>
      </c>
      <c r="L16" s="9" t="s">
        <v>2296</v>
      </c>
      <c r="M16" s="9" t="s">
        <v>64</v>
      </c>
      <c r="N16" s="9" t="s">
        <v>65</v>
      </c>
      <c r="O16" s="9" t="s">
        <v>65</v>
      </c>
      <c r="P16" s="10">
        <f t="shared" ref="P16" si="29">AE16-AD16+1</f>
        <v>8</v>
      </c>
      <c r="Q16" s="11">
        <f>Y16*1000/X16</f>
        <v>882352.9411764706</v>
      </c>
      <c r="R16" s="12">
        <v>2.5000000000000001E-3</v>
      </c>
      <c r="S16" s="13">
        <v>0.75</v>
      </c>
      <c r="T16" s="11">
        <f>Q16*S16</f>
        <v>661764.70588235301</v>
      </c>
      <c r="U16" s="11">
        <f t="shared" si="23"/>
        <v>2205.8823529411766</v>
      </c>
      <c r="V16" s="11">
        <f t="shared" si="24"/>
        <v>441176.4705882353</v>
      </c>
      <c r="W16" s="14">
        <v>2</v>
      </c>
      <c r="X16" s="15">
        <v>136</v>
      </c>
      <c r="Y16" s="16">
        <v>120000</v>
      </c>
      <c r="Z16" s="16">
        <f t="shared" si="25"/>
        <v>136</v>
      </c>
      <c r="AA16" s="16">
        <f>IFERROR(Y16/U16, 0)</f>
        <v>54.4</v>
      </c>
      <c r="AB16" s="207">
        <f t="shared" ref="AB16:AB18" si="30">V16/AC16</f>
        <v>5.0001293630135384E-2</v>
      </c>
      <c r="AC16" s="11">
        <v>8823301.129999999</v>
      </c>
      <c r="AD16" s="17">
        <v>45400</v>
      </c>
      <c r="AE16" s="17">
        <v>45407</v>
      </c>
      <c r="AF16" s="218"/>
      <c r="AL16" s="206">
        <v>1.43</v>
      </c>
      <c r="AM16" s="206">
        <f t="shared" ref="AM16:AM18" si="31">AL16*Q16/1000</f>
        <v>1261.7647058823529</v>
      </c>
      <c r="AN16" s="206">
        <f t="shared" si="27"/>
        <v>63.088235294117652</v>
      </c>
      <c r="AO16" s="265">
        <f t="shared" ref="AO16:AO18" si="32">AM16+AN16</f>
        <v>1324.8529411764705</v>
      </c>
    </row>
    <row r="17" spans="1:41" x14ac:dyDescent="0.3">
      <c r="A17" s="9" t="s">
        <v>119</v>
      </c>
      <c r="B17" s="9" t="s">
        <v>56</v>
      </c>
      <c r="C17" s="9" t="s">
        <v>120</v>
      </c>
      <c r="D17" s="9" t="s">
        <v>67</v>
      </c>
      <c r="E17" s="9" t="s">
        <v>75</v>
      </c>
      <c r="F17" s="9" t="s">
        <v>60</v>
      </c>
      <c r="G17" s="9" t="s">
        <v>2293</v>
      </c>
      <c r="H17" s="14">
        <v>2</v>
      </c>
      <c r="I17" s="164" t="s">
        <v>2276</v>
      </c>
      <c r="J17" s="9" t="s">
        <v>126</v>
      </c>
      <c r="K17" s="9" t="s">
        <v>2294</v>
      </c>
      <c r="L17" s="9" t="s">
        <v>2295</v>
      </c>
      <c r="M17" s="9" t="s">
        <v>64</v>
      </c>
      <c r="N17" s="9" t="s">
        <v>65</v>
      </c>
      <c r="O17" s="9" t="s">
        <v>65</v>
      </c>
      <c r="P17" s="10">
        <f>AE17-AD17+1</f>
        <v>8</v>
      </c>
      <c r="Q17" s="11">
        <f>Y17*1000/X17</f>
        <v>1555555.5555555555</v>
      </c>
      <c r="R17" s="12">
        <v>5.0000000000000001E-3</v>
      </c>
      <c r="S17" s="13">
        <v>0.75</v>
      </c>
      <c r="T17" s="11">
        <f>Q17*S17</f>
        <v>1166666.6666666665</v>
      </c>
      <c r="U17" s="11">
        <f t="shared" si="23"/>
        <v>7777.7777777777774</v>
      </c>
      <c r="V17" s="11">
        <f t="shared" si="24"/>
        <v>777777.77777777775</v>
      </c>
      <c r="W17" s="14">
        <v>2</v>
      </c>
      <c r="X17" s="15">
        <v>180</v>
      </c>
      <c r="Y17" s="16">
        <v>280000</v>
      </c>
      <c r="Z17" s="16">
        <f t="shared" si="25"/>
        <v>180</v>
      </c>
      <c r="AA17" s="16">
        <f>IFERROR(Y17/U17, 0)</f>
        <v>36</v>
      </c>
      <c r="AB17" s="207">
        <f t="shared" si="30"/>
        <v>4.670994045574671E-2</v>
      </c>
      <c r="AC17" s="11">
        <v>16651226.059999997</v>
      </c>
      <c r="AD17" s="17">
        <v>45400</v>
      </c>
      <c r="AE17" s="17">
        <v>45407</v>
      </c>
      <c r="AF17" s="218"/>
      <c r="AL17" s="206">
        <v>1.43</v>
      </c>
      <c r="AM17" s="206">
        <f t="shared" si="31"/>
        <v>2224.4444444444443</v>
      </c>
      <c r="AN17" s="206">
        <f t="shared" si="27"/>
        <v>111.22222222222223</v>
      </c>
      <c r="AO17" s="265">
        <f t="shared" si="32"/>
        <v>2335.6666666666665</v>
      </c>
    </row>
    <row r="18" spans="1:41" x14ac:dyDescent="0.3">
      <c r="A18" s="9" t="s">
        <v>119</v>
      </c>
      <c r="B18" s="9" t="s">
        <v>56</v>
      </c>
      <c r="C18" s="9" t="s">
        <v>120</v>
      </c>
      <c r="D18" s="9" t="s">
        <v>67</v>
      </c>
      <c r="E18" s="9" t="s">
        <v>75</v>
      </c>
      <c r="F18" s="9" t="s">
        <v>60</v>
      </c>
      <c r="G18" s="9" t="s">
        <v>2293</v>
      </c>
      <c r="H18" s="14">
        <v>2</v>
      </c>
      <c r="I18" s="164" t="s">
        <v>2276</v>
      </c>
      <c r="J18" s="9" t="s">
        <v>126</v>
      </c>
      <c r="K18" s="9" t="s">
        <v>2294</v>
      </c>
      <c r="L18" s="9" t="s">
        <v>2296</v>
      </c>
      <c r="M18" s="9" t="s">
        <v>64</v>
      </c>
      <c r="N18" s="9" t="s">
        <v>65</v>
      </c>
      <c r="O18" s="9" t="s">
        <v>65</v>
      </c>
      <c r="P18" s="10">
        <f t="shared" ref="P18" si="33">AE18-AD18+1</f>
        <v>7</v>
      </c>
      <c r="Q18" s="11">
        <f>Y18*1000/X18</f>
        <v>1555555.5555555555</v>
      </c>
      <c r="R18" s="12">
        <v>5.0000000000000001E-3</v>
      </c>
      <c r="S18" s="13">
        <v>0.75</v>
      </c>
      <c r="T18" s="11">
        <f>Q18*S18</f>
        <v>1166666.6666666665</v>
      </c>
      <c r="U18" s="11">
        <f t="shared" si="23"/>
        <v>7777.7777777777774</v>
      </c>
      <c r="V18" s="11">
        <f t="shared" si="24"/>
        <v>777777.77777777775</v>
      </c>
      <c r="W18" s="14">
        <v>2</v>
      </c>
      <c r="X18" s="15">
        <v>180</v>
      </c>
      <c r="Y18" s="16">
        <v>280000</v>
      </c>
      <c r="Z18" s="16">
        <f t="shared" si="25"/>
        <v>180</v>
      </c>
      <c r="AA18" s="16">
        <f>IFERROR(Y18/U18, 0)</f>
        <v>36</v>
      </c>
      <c r="AB18" s="207">
        <f t="shared" si="30"/>
        <v>4.670994045574671E-2</v>
      </c>
      <c r="AC18" s="11">
        <v>16651226.059999997</v>
      </c>
      <c r="AD18" s="17">
        <v>45400</v>
      </c>
      <c r="AE18" s="17">
        <v>45406</v>
      </c>
      <c r="AF18" s="218"/>
      <c r="AL18" s="206">
        <v>1.43</v>
      </c>
      <c r="AM18" s="206">
        <f t="shared" si="31"/>
        <v>2224.4444444444443</v>
      </c>
      <c r="AN18" s="206">
        <f t="shared" si="27"/>
        <v>111.22222222222223</v>
      </c>
      <c r="AO18" s="265">
        <f t="shared" si="32"/>
        <v>2335.6666666666665</v>
      </c>
    </row>
    <row r="19" spans="1:41" x14ac:dyDescent="0.3">
      <c r="A19" s="205" t="s">
        <v>103</v>
      </c>
      <c r="B19" s="208"/>
      <c r="C19" s="208"/>
      <c r="D19" s="208"/>
      <c r="E19" s="208"/>
      <c r="F19" s="208"/>
      <c r="G19" s="208"/>
      <c r="H19" s="208"/>
      <c r="I19" s="208"/>
      <c r="J19" s="208"/>
      <c r="K19" s="208"/>
      <c r="L19" s="208"/>
      <c r="M19" s="208"/>
      <c r="N19" s="208"/>
      <c r="O19" s="208"/>
      <c r="P19" s="208"/>
      <c r="Q19" s="209">
        <f>SUM(Q15:Q18)</f>
        <v>4875816.9934640527</v>
      </c>
      <c r="R19" s="210">
        <f>U19/Q19</f>
        <v>4.0951742627345841E-3</v>
      </c>
      <c r="S19" s="211">
        <f>T19/Q19</f>
        <v>0.74999999999999989</v>
      </c>
      <c r="T19" s="209">
        <f>SUM(T15:T18)</f>
        <v>3656862.745098039</v>
      </c>
      <c r="U19" s="209">
        <f>SUM(U15:U18)</f>
        <v>19967.320261437908</v>
      </c>
      <c r="V19" s="209">
        <f>V15+SUM(V16:V18)*50%</f>
        <v>1439542.4836601308</v>
      </c>
      <c r="W19" s="212">
        <f>Q19/V19</f>
        <v>3.3870601589103293</v>
      </c>
      <c r="X19" s="213"/>
      <c r="Y19" s="214">
        <f>SUM(Y15:Y18)</f>
        <v>800000</v>
      </c>
      <c r="Z19" s="59">
        <f>Y19/Q19*1000</f>
        <v>164.07506702412866</v>
      </c>
      <c r="AA19" s="59">
        <v>7</v>
      </c>
      <c r="AB19" s="215">
        <f>V19/AC19</f>
        <v>6.834500858023855E-2</v>
      </c>
      <c r="AC19" s="209">
        <f>AC17+AC16*50%</f>
        <v>21062876.624999996</v>
      </c>
      <c r="AD19" s="209"/>
      <c r="AE19" s="216"/>
    </row>
    <row r="20" spans="1:41" x14ac:dyDescent="0.3">
      <c r="AG20" s="271"/>
      <c r="AH20" s="271"/>
      <c r="AI20" s="271"/>
      <c r="AJ20" s="275">
        <f>SUM(AJ1:AJ19)</f>
        <v>92443.973388773389</v>
      </c>
      <c r="AK20" s="271"/>
      <c r="AL20" s="271"/>
      <c r="AM20" s="271"/>
      <c r="AN20" s="271"/>
      <c r="AO20" s="275">
        <f>SUM(AO1:AO19)</f>
        <v>90556.237335545273</v>
      </c>
    </row>
    <row r="21" spans="1:41" x14ac:dyDescent="0.3">
      <c r="AC21" s="21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64366-09DE-4EA6-9659-017F70D253EA}">
  <sheetPr>
    <tabColor rgb="FFFF0000"/>
  </sheetPr>
  <dimension ref="A1:AV127"/>
  <sheetViews>
    <sheetView showGridLines="0" topLeftCell="C1" zoomScale="93" zoomScaleNormal="70" workbookViewId="0">
      <selection activeCell="C2" sqref="C2"/>
    </sheetView>
  </sheetViews>
  <sheetFormatPr defaultRowHeight="14.4" x14ac:dyDescent="0.3"/>
  <cols>
    <col min="1" max="1" width="3.33203125" customWidth="1"/>
    <col min="2" max="2" width="22.77734375" bestFit="1" customWidth="1"/>
    <col min="3" max="3" width="10.88671875" bestFit="1" customWidth="1"/>
    <col min="4" max="4" width="8" bestFit="1" customWidth="1"/>
    <col min="5" max="5" width="12.5546875" bestFit="1" customWidth="1"/>
    <col min="6" max="6" width="32.21875" bestFit="1" customWidth="1"/>
    <col min="7" max="7" width="20" bestFit="1" customWidth="1"/>
    <col min="8" max="8" width="17.44140625" bestFit="1" customWidth="1"/>
    <col min="9" max="9" width="8.21875" bestFit="1" customWidth="1"/>
    <col min="10" max="10" width="6.33203125" bestFit="1" customWidth="1"/>
    <col min="11" max="11" width="36.5546875" bestFit="1" customWidth="1"/>
    <col min="12" max="12" width="25" bestFit="1" customWidth="1"/>
    <col min="13" max="13" width="12.44140625" bestFit="1" customWidth="1"/>
    <col min="14" max="14" width="12.77734375" bestFit="1" customWidth="1"/>
    <col min="15" max="15" width="3.109375" bestFit="1" customWidth="1"/>
    <col min="16" max="16" width="9.21875" bestFit="1" customWidth="1"/>
    <col min="17" max="17" width="11" bestFit="1" customWidth="1"/>
    <col min="18" max="18" width="5.21875" bestFit="1" customWidth="1"/>
    <col min="19" max="19" width="4.77734375" bestFit="1" customWidth="1"/>
    <col min="20" max="20" width="11" bestFit="1" customWidth="1"/>
    <col min="21" max="21" width="8.21875" style="323" bestFit="1" customWidth="1"/>
    <col min="22" max="22" width="10.109375" bestFit="1" customWidth="1"/>
    <col min="23" max="23" width="7.44140625" bestFit="1" customWidth="1"/>
    <col min="24" max="24" width="8.33203125" bestFit="1" customWidth="1"/>
    <col min="25" max="25" width="12.6640625" bestFit="1" customWidth="1"/>
    <col min="26" max="26" width="6.21875" bestFit="1" customWidth="1"/>
    <col min="27" max="27" width="5.6640625" bestFit="1" customWidth="1"/>
    <col min="28" max="28" width="7.21875" bestFit="1" customWidth="1"/>
    <col min="29" max="29" width="10.109375" bestFit="1" customWidth="1"/>
    <col min="30" max="30" width="9.44140625" bestFit="1" customWidth="1"/>
    <col min="31" max="31" width="9.21875" bestFit="1" customWidth="1"/>
    <col min="32" max="32" width="29.77734375" bestFit="1" customWidth="1"/>
    <col min="33" max="33" width="9.5546875" bestFit="1" customWidth="1"/>
    <col min="34" max="34" width="10" bestFit="1" customWidth="1"/>
    <col min="35" max="35" width="9.44140625" hidden="1" customWidth="1"/>
    <col min="36" max="36" width="10.33203125" hidden="1" customWidth="1"/>
    <col min="37" max="37" width="8.77734375" hidden="1" customWidth="1"/>
    <col min="38" max="38" width="10.33203125" hidden="1" customWidth="1"/>
    <col min="39" max="40" width="8.77734375" hidden="1" customWidth="1"/>
    <col min="41" max="41" width="12.77734375" hidden="1" customWidth="1"/>
    <col min="42" max="42" width="8.77734375" hidden="1" customWidth="1"/>
    <col min="43" max="43" width="12" hidden="1" customWidth="1"/>
    <col min="44" max="44" width="11.33203125" bestFit="1" customWidth="1"/>
    <col min="45" max="45" width="12.21875" customWidth="1"/>
    <col min="46" max="46" width="9.77734375" bestFit="1" customWidth="1"/>
    <col min="47" max="47" width="12.21875" bestFit="1" customWidth="1"/>
  </cols>
  <sheetData>
    <row r="1" spans="2:46" x14ac:dyDescent="0.3">
      <c r="AI1" s="85" t="s">
        <v>2301</v>
      </c>
      <c r="AJ1" s="85"/>
      <c r="AK1" s="85"/>
      <c r="AL1" s="85"/>
      <c r="AM1" s="85"/>
      <c r="AN1" s="85" t="s">
        <v>25</v>
      </c>
      <c r="AO1" s="85"/>
      <c r="AP1" s="85"/>
      <c r="AQ1" s="85"/>
    </row>
    <row r="2" spans="2:46" x14ac:dyDescent="0.3">
      <c r="B2" s="1" t="s">
        <v>29</v>
      </c>
      <c r="C2" s="1" t="s">
        <v>30</v>
      </c>
      <c r="D2" s="1" t="s">
        <v>31</v>
      </c>
      <c r="E2" s="1" t="s">
        <v>32</v>
      </c>
      <c r="F2" s="1" t="s">
        <v>33</v>
      </c>
      <c r="G2" s="1" t="s">
        <v>34</v>
      </c>
      <c r="H2" s="1" t="s">
        <v>35</v>
      </c>
      <c r="I2" s="1" t="s">
        <v>388</v>
      </c>
      <c r="J2" s="1" t="s">
        <v>36</v>
      </c>
      <c r="K2" s="1" t="s">
        <v>37</v>
      </c>
      <c r="L2" s="1" t="s">
        <v>38</v>
      </c>
      <c r="M2" s="1" t="s">
        <v>39</v>
      </c>
      <c r="N2" s="1" t="s">
        <v>40</v>
      </c>
      <c r="O2" s="1" t="s">
        <v>41</v>
      </c>
      <c r="P2" s="2" t="s">
        <v>42</v>
      </c>
      <c r="Q2" s="3" t="s">
        <v>43</v>
      </c>
      <c r="R2" s="4" t="s">
        <v>44</v>
      </c>
      <c r="S2" s="5" t="s">
        <v>45</v>
      </c>
      <c r="T2" s="3" t="s">
        <v>3</v>
      </c>
      <c r="U2" s="322" t="s">
        <v>46</v>
      </c>
      <c r="V2" s="3" t="s">
        <v>5</v>
      </c>
      <c r="W2" s="6" t="s">
        <v>47</v>
      </c>
      <c r="X2" s="7" t="s">
        <v>48</v>
      </c>
      <c r="Y2" s="8" t="s">
        <v>49</v>
      </c>
      <c r="Z2" s="8" t="s">
        <v>50</v>
      </c>
      <c r="AA2" s="8" t="s">
        <v>51</v>
      </c>
      <c r="AB2" s="4" t="s">
        <v>6</v>
      </c>
      <c r="AC2" s="23" t="s">
        <v>52</v>
      </c>
      <c r="AD2" s="3" t="s">
        <v>53</v>
      </c>
      <c r="AE2" s="3" t="s">
        <v>54</v>
      </c>
      <c r="AF2" s="3" t="s">
        <v>2344</v>
      </c>
      <c r="AG2" s="431"/>
      <c r="AI2" s="195" t="s">
        <v>2283</v>
      </c>
      <c r="AJ2" s="195" t="s">
        <v>2284</v>
      </c>
      <c r="AK2" s="195" t="s">
        <v>2285</v>
      </c>
      <c r="AL2" s="195" t="s">
        <v>2286</v>
      </c>
      <c r="AN2" s="195" t="s">
        <v>2283</v>
      </c>
      <c r="AO2" s="195" t="s">
        <v>2284</v>
      </c>
      <c r="AP2" s="195" t="s">
        <v>2285</v>
      </c>
      <c r="AQ2" s="195" t="s">
        <v>2286</v>
      </c>
    </row>
    <row r="3" spans="2:46" x14ac:dyDescent="0.3">
      <c r="B3" s="313" t="s">
        <v>87</v>
      </c>
      <c r="C3" s="313" t="s">
        <v>56</v>
      </c>
      <c r="D3" s="313" t="s">
        <v>57</v>
      </c>
      <c r="E3" s="313" t="s">
        <v>67</v>
      </c>
      <c r="F3" s="313" t="s">
        <v>75</v>
      </c>
      <c r="G3" s="313" t="s">
        <v>60</v>
      </c>
      <c r="H3" s="313" t="s">
        <v>68</v>
      </c>
      <c r="I3" s="313" t="s">
        <v>2276</v>
      </c>
      <c r="J3" s="313" t="s">
        <v>76</v>
      </c>
      <c r="K3" s="313" t="s">
        <v>2340</v>
      </c>
      <c r="L3" s="324" t="s">
        <v>152</v>
      </c>
      <c r="M3" s="313" t="s">
        <v>64</v>
      </c>
      <c r="N3" s="313" t="s">
        <v>65</v>
      </c>
      <c r="O3" s="313" t="s">
        <v>66</v>
      </c>
      <c r="P3" s="450">
        <v>14</v>
      </c>
      <c r="Q3" s="315">
        <f t="shared" ref="Q3:Q11" si="0">Y3*1000/X3</f>
        <v>4792792.7927927924</v>
      </c>
      <c r="R3" s="316">
        <v>6.5042609925518779E-3</v>
      </c>
      <c r="S3" s="317">
        <v>0.85590434334133847</v>
      </c>
      <c r="T3" s="315">
        <f t="shared" ref="T3:T11" si="1">Q3*S3</f>
        <v>4102172.1680864147</v>
      </c>
      <c r="U3" s="315">
        <f t="shared" ref="U3:U11" si="2">Q3*R3</f>
        <v>31173.575207545935</v>
      </c>
      <c r="V3" s="315">
        <f t="shared" ref="V3:V11" si="3">Q3/W3</f>
        <v>1369369.3693693692</v>
      </c>
      <c r="W3" s="318">
        <v>3.5</v>
      </c>
      <c r="X3" s="321">
        <v>111</v>
      </c>
      <c r="Y3" s="319">
        <v>532000</v>
      </c>
      <c r="Z3" s="319">
        <f t="shared" ref="Z3:Z38" si="4">Y3/Q3*1000</f>
        <v>111</v>
      </c>
      <c r="AA3" s="319">
        <f t="shared" ref="AA3:AA11" si="5">IFERROR(Y3/U3, 0)</f>
        <v>17.065735850253809</v>
      </c>
      <c r="AB3" s="320">
        <f t="shared" ref="AB3:AB38" si="6">V3/AC3</f>
        <v>0.25030537049356982</v>
      </c>
      <c r="AC3" s="315">
        <f>'Audience Sizing'!E5</f>
        <v>5470795</v>
      </c>
      <c r="AD3" s="474">
        <v>45434</v>
      </c>
      <c r="AE3" s="475">
        <v>45473</v>
      </c>
      <c r="AF3" s="346" t="s">
        <v>2342</v>
      </c>
      <c r="AG3" s="312"/>
      <c r="AH3" s="298"/>
      <c r="AI3">
        <v>2.13</v>
      </c>
      <c r="AJ3" s="262">
        <f>AI3*Q3/1000</f>
        <v>10208.648648648648</v>
      </c>
      <c r="AK3" s="262">
        <f>AJ3*5%</f>
        <v>510.43243243243245</v>
      </c>
      <c r="AL3" s="263">
        <f>AJ3+AK3</f>
        <v>10719.08108108108</v>
      </c>
      <c r="AN3">
        <v>1.43</v>
      </c>
      <c r="AO3" s="262">
        <f t="shared" ref="AO3:AO11" si="7">AN3*Q3/1000</f>
        <v>6853.6936936936927</v>
      </c>
      <c r="AP3" s="262">
        <f t="shared" ref="AP3:AP11" si="8">AO3*5%</f>
        <v>342.68468468468467</v>
      </c>
      <c r="AQ3" s="262">
        <f t="shared" ref="AQ3:AQ11" si="9">SUM(AO3:AP3)</f>
        <v>7196.3783783783774</v>
      </c>
      <c r="AR3" s="89"/>
      <c r="AT3" s="89"/>
    </row>
    <row r="4" spans="2:46" x14ac:dyDescent="0.3">
      <c r="B4" s="313" t="s">
        <v>87</v>
      </c>
      <c r="C4" s="313" t="s">
        <v>56</v>
      </c>
      <c r="D4" s="313" t="s">
        <v>57</v>
      </c>
      <c r="E4" s="313" t="s">
        <v>67</v>
      </c>
      <c r="F4" s="313" t="s">
        <v>75</v>
      </c>
      <c r="G4" s="313" t="s">
        <v>60</v>
      </c>
      <c r="H4" s="313" t="s">
        <v>69</v>
      </c>
      <c r="I4" s="313" t="s">
        <v>2276</v>
      </c>
      <c r="J4" s="313" t="s">
        <v>76</v>
      </c>
      <c r="K4" s="313" t="s">
        <v>2341</v>
      </c>
      <c r="L4" s="324" t="s">
        <v>152</v>
      </c>
      <c r="M4" s="313" t="s">
        <v>64</v>
      </c>
      <c r="N4" s="313" t="s">
        <v>65</v>
      </c>
      <c r="O4" s="313" t="s">
        <v>66</v>
      </c>
      <c r="P4" s="450">
        <v>14</v>
      </c>
      <c r="Q4" s="315">
        <f t="shared" si="0"/>
        <v>4792792.7927927924</v>
      </c>
      <c r="R4" s="316">
        <v>6.2886136944147455E-3</v>
      </c>
      <c r="S4" s="317">
        <v>0.85791079517305968</v>
      </c>
      <c r="T4" s="315">
        <f t="shared" si="1"/>
        <v>4111788.6759645739</v>
      </c>
      <c r="U4" s="315">
        <f t="shared" si="2"/>
        <v>30140.022391249047</v>
      </c>
      <c r="V4" s="315">
        <f t="shared" si="3"/>
        <v>1369369.3693693692</v>
      </c>
      <c r="W4" s="318">
        <v>3.5</v>
      </c>
      <c r="X4" s="321">
        <v>111</v>
      </c>
      <c r="Y4" s="319">
        <v>532000</v>
      </c>
      <c r="Z4" s="319">
        <f t="shared" si="4"/>
        <v>111</v>
      </c>
      <c r="AA4" s="319">
        <f t="shared" si="5"/>
        <v>17.650949063477228</v>
      </c>
      <c r="AB4" s="320">
        <f t="shared" si="6"/>
        <v>0.25030537049356982</v>
      </c>
      <c r="AC4" s="315">
        <f>'Audience Sizing'!E5</f>
        <v>5470795</v>
      </c>
      <c r="AD4" s="474">
        <v>45434</v>
      </c>
      <c r="AE4" s="475">
        <v>45473</v>
      </c>
      <c r="AF4" s="346" t="s">
        <v>2342</v>
      </c>
      <c r="AG4" s="312"/>
      <c r="AH4" s="298"/>
      <c r="AI4">
        <v>2.13</v>
      </c>
      <c r="AJ4" s="262">
        <f>AI4*Q4/1000</f>
        <v>10208.648648648648</v>
      </c>
      <c r="AK4" s="262">
        <f>AJ4*5%</f>
        <v>510.43243243243245</v>
      </c>
      <c r="AL4" s="263">
        <f>AJ4+AK4</f>
        <v>10719.08108108108</v>
      </c>
      <c r="AN4">
        <v>1.43</v>
      </c>
      <c r="AO4" s="262">
        <f t="shared" si="7"/>
        <v>6853.6936936936927</v>
      </c>
      <c r="AP4" s="262">
        <f t="shared" si="8"/>
        <v>342.68468468468467</v>
      </c>
      <c r="AQ4" s="262">
        <f t="shared" si="9"/>
        <v>7196.3783783783774</v>
      </c>
      <c r="AR4" s="89"/>
      <c r="AT4" s="89"/>
    </row>
    <row r="5" spans="2:46" x14ac:dyDescent="0.3">
      <c r="B5" s="492" t="s">
        <v>87</v>
      </c>
      <c r="C5" s="492" t="s">
        <v>56</v>
      </c>
      <c r="D5" s="492" t="s">
        <v>57</v>
      </c>
      <c r="E5" s="492" t="s">
        <v>58</v>
      </c>
      <c r="F5" s="492" t="s">
        <v>75</v>
      </c>
      <c r="G5" s="492" t="s">
        <v>60</v>
      </c>
      <c r="H5" s="492" t="s">
        <v>61</v>
      </c>
      <c r="I5" s="492" t="s">
        <v>2276</v>
      </c>
      <c r="J5" s="492" t="s">
        <v>76</v>
      </c>
      <c r="K5" s="492" t="s">
        <v>312</v>
      </c>
      <c r="L5" s="493" t="s">
        <v>77</v>
      </c>
      <c r="M5" s="492" t="s">
        <v>64</v>
      </c>
      <c r="N5" s="492" t="s">
        <v>65</v>
      </c>
      <c r="O5" s="492" t="s">
        <v>66</v>
      </c>
      <c r="P5" s="494"/>
      <c r="Q5" s="495">
        <f t="shared" si="0"/>
        <v>1788709.9236641221</v>
      </c>
      <c r="R5" s="496"/>
      <c r="S5" s="497">
        <v>0.75</v>
      </c>
      <c r="T5" s="495">
        <f t="shared" si="1"/>
        <v>1341532.4427480916</v>
      </c>
      <c r="U5" s="495">
        <f t="shared" si="2"/>
        <v>0</v>
      </c>
      <c r="V5" s="495">
        <f t="shared" si="3"/>
        <v>447177.48091603053</v>
      </c>
      <c r="W5" s="498">
        <v>4</v>
      </c>
      <c r="X5" s="499">
        <v>131</v>
      </c>
      <c r="Y5" s="500">
        <v>234321</v>
      </c>
      <c r="Z5" s="500">
        <f t="shared" si="4"/>
        <v>131</v>
      </c>
      <c r="AA5" s="500">
        <f t="shared" si="5"/>
        <v>0</v>
      </c>
      <c r="AB5" s="501">
        <f t="shared" si="6"/>
        <v>0.32147405354913905</v>
      </c>
      <c r="AC5" s="495">
        <f>'Audience Sizing'!F5</f>
        <v>1391022</v>
      </c>
      <c r="AD5" s="526">
        <v>45460</v>
      </c>
      <c r="AE5" s="527">
        <v>45473</v>
      </c>
      <c r="AF5" s="346"/>
      <c r="AG5" s="312"/>
      <c r="AH5" s="298"/>
      <c r="AI5">
        <v>2.13</v>
      </c>
      <c r="AJ5" s="262">
        <f>AI5*Q5/1000</f>
        <v>3809.9521374045803</v>
      </c>
      <c r="AK5" s="262">
        <f>AJ5*5%</f>
        <v>190.49760687022902</v>
      </c>
      <c r="AL5" s="263">
        <f>AJ5+AK5</f>
        <v>4000.4497442748093</v>
      </c>
      <c r="AN5">
        <v>1.43</v>
      </c>
      <c r="AO5" s="262">
        <f t="shared" si="7"/>
        <v>2557.8551908396944</v>
      </c>
      <c r="AP5" s="262">
        <f t="shared" si="8"/>
        <v>127.89275954198473</v>
      </c>
      <c r="AQ5" s="262">
        <f t="shared" si="9"/>
        <v>2685.7479503816789</v>
      </c>
      <c r="AR5" s="89"/>
      <c r="AT5" s="89"/>
    </row>
    <row r="6" spans="2:46" x14ac:dyDescent="0.3">
      <c r="B6" s="492" t="s">
        <v>87</v>
      </c>
      <c r="C6" s="492" t="s">
        <v>56</v>
      </c>
      <c r="D6" s="492" t="s">
        <v>71</v>
      </c>
      <c r="E6" s="492" t="s">
        <v>58</v>
      </c>
      <c r="F6" s="492" t="s">
        <v>72</v>
      </c>
      <c r="G6" s="492" t="s">
        <v>60</v>
      </c>
      <c r="H6" s="492" t="s">
        <v>61</v>
      </c>
      <c r="I6" s="492" t="s">
        <v>2276</v>
      </c>
      <c r="J6" s="492" t="s">
        <v>76</v>
      </c>
      <c r="K6" s="492" t="s">
        <v>2353</v>
      </c>
      <c r="L6" s="493" t="s">
        <v>152</v>
      </c>
      <c r="M6" s="492" t="s">
        <v>64</v>
      </c>
      <c r="N6" s="492" t="s">
        <v>65</v>
      </c>
      <c r="O6" s="492" t="s">
        <v>66</v>
      </c>
      <c r="P6" s="494"/>
      <c r="Q6" s="495">
        <f t="shared" si="0"/>
        <v>1041426.6666666666</v>
      </c>
      <c r="R6" s="496">
        <v>0</v>
      </c>
      <c r="S6" s="497">
        <v>0.85</v>
      </c>
      <c r="T6" s="495">
        <f t="shared" si="1"/>
        <v>885212.66666666663</v>
      </c>
      <c r="U6" s="495">
        <f t="shared" si="2"/>
        <v>0</v>
      </c>
      <c r="V6" s="495">
        <f t="shared" si="3"/>
        <v>173571.11111111109</v>
      </c>
      <c r="W6" s="498">
        <v>6</v>
      </c>
      <c r="X6" s="499">
        <v>225</v>
      </c>
      <c r="Y6" s="500">
        <v>234321</v>
      </c>
      <c r="Z6" s="500">
        <f t="shared" si="4"/>
        <v>225</v>
      </c>
      <c r="AA6" s="500">
        <f t="shared" si="5"/>
        <v>0</v>
      </c>
      <c r="AB6" s="501">
        <f t="shared" si="6"/>
        <v>5.5632087336116395E-2</v>
      </c>
      <c r="AC6" s="495">
        <f>'Audience Sizing'!G5</f>
        <v>3119982</v>
      </c>
      <c r="AD6" s="526">
        <v>45460</v>
      </c>
      <c r="AE6" s="527">
        <v>45473</v>
      </c>
      <c r="AF6" s="346"/>
      <c r="AG6" s="312"/>
      <c r="AH6" s="298"/>
      <c r="AJ6" s="262"/>
      <c r="AK6" s="262"/>
      <c r="AL6" s="263"/>
      <c r="AN6">
        <v>1.43</v>
      </c>
      <c r="AO6" s="262">
        <f t="shared" si="7"/>
        <v>1489.2401333333332</v>
      </c>
      <c r="AP6" s="262">
        <f t="shared" si="8"/>
        <v>74.462006666666667</v>
      </c>
      <c r="AQ6" s="262">
        <f t="shared" si="9"/>
        <v>1563.7021399999999</v>
      </c>
      <c r="AR6" s="89"/>
      <c r="AT6" s="89"/>
    </row>
    <row r="7" spans="2:46" x14ac:dyDescent="0.3">
      <c r="B7" s="492" t="s">
        <v>87</v>
      </c>
      <c r="C7" s="492" t="s">
        <v>56</v>
      </c>
      <c r="D7" s="492" t="s">
        <v>299</v>
      </c>
      <c r="E7" s="492" t="s">
        <v>79</v>
      </c>
      <c r="F7" s="492" t="s">
        <v>383</v>
      </c>
      <c r="G7" s="492" t="s">
        <v>2338</v>
      </c>
      <c r="H7" s="492" t="s">
        <v>61</v>
      </c>
      <c r="I7" s="492" t="s">
        <v>2276</v>
      </c>
      <c r="J7" s="492" t="s">
        <v>76</v>
      </c>
      <c r="K7" s="492" t="s">
        <v>312</v>
      </c>
      <c r="L7" s="493" t="s">
        <v>152</v>
      </c>
      <c r="M7" s="492" t="s">
        <v>64</v>
      </c>
      <c r="N7" s="492" t="s">
        <v>65</v>
      </c>
      <c r="O7" s="492" t="s">
        <v>65</v>
      </c>
      <c r="P7" s="494"/>
      <c r="Q7" s="495">
        <f t="shared" si="0"/>
        <v>831600.83160083159</v>
      </c>
      <c r="R7" s="496">
        <v>1.2E-2</v>
      </c>
      <c r="S7" s="497">
        <v>1</v>
      </c>
      <c r="T7" s="495">
        <f t="shared" si="1"/>
        <v>831600.83160083159</v>
      </c>
      <c r="U7" s="495">
        <f t="shared" si="2"/>
        <v>9979.2099792099798</v>
      </c>
      <c r="V7" s="495">
        <f t="shared" si="3"/>
        <v>207900.2079002079</v>
      </c>
      <c r="W7" s="498">
        <v>4</v>
      </c>
      <c r="X7" s="499">
        <v>240.5</v>
      </c>
      <c r="Y7" s="500">
        <v>200000</v>
      </c>
      <c r="Z7" s="500">
        <f t="shared" si="4"/>
        <v>240.5</v>
      </c>
      <c r="AA7" s="500">
        <f t="shared" si="5"/>
        <v>20.041666666666664</v>
      </c>
      <c r="AB7" s="501"/>
      <c r="AC7" s="495"/>
      <c r="AD7" s="526">
        <v>45460</v>
      </c>
      <c r="AE7" s="527">
        <v>45473</v>
      </c>
      <c r="AF7" s="346"/>
      <c r="AG7" s="312"/>
      <c r="AH7" s="298"/>
      <c r="AJ7" s="262"/>
      <c r="AK7" s="262"/>
      <c r="AL7" s="263"/>
      <c r="AN7">
        <v>1.43</v>
      </c>
      <c r="AO7" s="262">
        <f t="shared" ref="AO7" si="10">AN7*Q7/1000</f>
        <v>1189.1891891891892</v>
      </c>
      <c r="AP7" s="262">
        <f t="shared" ref="AP7" si="11">AO7*5%</f>
        <v>59.45945945945946</v>
      </c>
      <c r="AQ7" s="262">
        <f t="shared" ref="AQ7" si="12">SUM(AO7:AP7)</f>
        <v>1248.6486486486485</v>
      </c>
      <c r="AR7" s="89"/>
      <c r="AT7" s="89"/>
    </row>
    <row r="8" spans="2:46" x14ac:dyDescent="0.3">
      <c r="B8" s="313" t="s">
        <v>87</v>
      </c>
      <c r="C8" s="313" t="s">
        <v>56</v>
      </c>
      <c r="D8" s="313" t="s">
        <v>71</v>
      </c>
      <c r="E8" s="313" t="s">
        <v>67</v>
      </c>
      <c r="F8" s="313" t="s">
        <v>72</v>
      </c>
      <c r="G8" s="313" t="s">
        <v>60</v>
      </c>
      <c r="H8" s="313" t="s">
        <v>68</v>
      </c>
      <c r="I8" s="313" t="s">
        <v>2276</v>
      </c>
      <c r="J8" s="313" t="s">
        <v>76</v>
      </c>
      <c r="K8" s="313" t="s">
        <v>2298</v>
      </c>
      <c r="L8" s="324" t="s">
        <v>152</v>
      </c>
      <c r="M8" s="313" t="s">
        <v>64</v>
      </c>
      <c r="N8" s="313" t="s">
        <v>65</v>
      </c>
      <c r="O8" s="313" t="s">
        <v>65</v>
      </c>
      <c r="P8" s="314">
        <v>13</v>
      </c>
      <c r="Q8" s="315">
        <f t="shared" si="0"/>
        <v>1682429.4541165717</v>
      </c>
      <c r="R8" s="316">
        <v>7.0000000000000001E-3</v>
      </c>
      <c r="S8" s="317">
        <v>0.85</v>
      </c>
      <c r="T8" s="315">
        <f t="shared" si="1"/>
        <v>1430065.035999086</v>
      </c>
      <c r="U8" s="315">
        <f t="shared" si="2"/>
        <v>11777.006178816002</v>
      </c>
      <c r="V8" s="315">
        <f t="shared" si="3"/>
        <v>560809.81803885719</v>
      </c>
      <c r="W8" s="318">
        <v>3</v>
      </c>
      <c r="X8" s="321">
        <v>175</v>
      </c>
      <c r="Y8" s="319">
        <v>294425.15447040001</v>
      </c>
      <c r="Z8" s="319">
        <f t="shared" si="4"/>
        <v>175</v>
      </c>
      <c r="AA8" s="319">
        <f t="shared" si="5"/>
        <v>24.999999999999996</v>
      </c>
      <c r="AB8" s="320">
        <f t="shared" si="6"/>
        <v>0.17974777355730168</v>
      </c>
      <c r="AC8" s="315">
        <f>'Audience Sizing'!G5</f>
        <v>3119982</v>
      </c>
      <c r="AD8" s="475">
        <v>45435</v>
      </c>
      <c r="AE8" s="475">
        <v>45473</v>
      </c>
      <c r="AF8" s="346" t="s">
        <v>2342</v>
      </c>
      <c r="AG8" s="312"/>
      <c r="AH8" s="298"/>
      <c r="AL8" s="263"/>
      <c r="AN8">
        <v>1.43</v>
      </c>
      <c r="AO8" s="262">
        <f t="shared" si="7"/>
        <v>2405.8741193866972</v>
      </c>
      <c r="AP8" s="262">
        <f t="shared" si="8"/>
        <v>120.29370596933487</v>
      </c>
      <c r="AQ8" s="262">
        <f t="shared" si="9"/>
        <v>2526.1678253560322</v>
      </c>
      <c r="AR8" s="263"/>
      <c r="AT8" s="89"/>
    </row>
    <row r="9" spans="2:46" x14ac:dyDescent="0.3">
      <c r="B9" s="313" t="s">
        <v>87</v>
      </c>
      <c r="C9" s="313" t="s">
        <v>56</v>
      </c>
      <c r="D9" s="313" t="s">
        <v>71</v>
      </c>
      <c r="E9" s="313" t="s">
        <v>67</v>
      </c>
      <c r="F9" s="313" t="s">
        <v>72</v>
      </c>
      <c r="G9" s="313" t="s">
        <v>60</v>
      </c>
      <c r="H9" s="313" t="s">
        <v>68</v>
      </c>
      <c r="I9" s="313" t="s">
        <v>2276</v>
      </c>
      <c r="J9" s="313" t="s">
        <v>76</v>
      </c>
      <c r="K9" s="313" t="s">
        <v>2299</v>
      </c>
      <c r="L9" s="324" t="s">
        <v>152</v>
      </c>
      <c r="M9" s="313" t="s">
        <v>64</v>
      </c>
      <c r="N9" s="313" t="s">
        <v>65</v>
      </c>
      <c r="O9" s="313" t="s">
        <v>65</v>
      </c>
      <c r="P9" s="314">
        <v>13</v>
      </c>
      <c r="Q9" s="315">
        <f t="shared" si="0"/>
        <v>560809.81803885719</v>
      </c>
      <c r="R9" s="316">
        <v>3.0000000000000001E-3</v>
      </c>
      <c r="S9" s="317">
        <v>0.85</v>
      </c>
      <c r="T9" s="315">
        <f t="shared" si="1"/>
        <v>476688.34533302858</v>
      </c>
      <c r="U9" s="315">
        <f t="shared" si="2"/>
        <v>1682.4294541165716</v>
      </c>
      <c r="V9" s="315">
        <f t="shared" si="3"/>
        <v>186936.6060129524</v>
      </c>
      <c r="W9" s="318">
        <v>3</v>
      </c>
      <c r="X9" s="321">
        <v>105</v>
      </c>
      <c r="Y9" s="319">
        <v>58885.030894080002</v>
      </c>
      <c r="Z9" s="319">
        <f t="shared" si="4"/>
        <v>105</v>
      </c>
      <c r="AA9" s="319">
        <f t="shared" si="5"/>
        <v>35</v>
      </c>
      <c r="AB9" s="320">
        <f t="shared" si="6"/>
        <v>5.9915924519100557E-2</v>
      </c>
      <c r="AC9" s="315">
        <f>'Audience Sizing'!G5</f>
        <v>3119982</v>
      </c>
      <c r="AD9" s="475">
        <v>45435</v>
      </c>
      <c r="AE9" s="475">
        <v>45473</v>
      </c>
      <c r="AF9" s="346" t="s">
        <v>2342</v>
      </c>
      <c r="AG9" s="312"/>
      <c r="AH9" s="298"/>
      <c r="AL9" s="263"/>
      <c r="AN9">
        <v>1.43</v>
      </c>
      <c r="AO9" s="262">
        <f t="shared" si="7"/>
        <v>801.95803979556581</v>
      </c>
      <c r="AP9" s="262">
        <f t="shared" si="8"/>
        <v>40.097901989778293</v>
      </c>
      <c r="AQ9" s="262">
        <f t="shared" si="9"/>
        <v>842.05594178534409</v>
      </c>
      <c r="AR9" s="263"/>
      <c r="AT9" s="89"/>
    </row>
    <row r="10" spans="2:46" x14ac:dyDescent="0.3">
      <c r="B10" s="313" t="s">
        <v>87</v>
      </c>
      <c r="C10" s="313" t="s">
        <v>56</v>
      </c>
      <c r="D10" s="313" t="s">
        <v>71</v>
      </c>
      <c r="E10" s="313" t="s">
        <v>67</v>
      </c>
      <c r="F10" s="313" t="s">
        <v>72</v>
      </c>
      <c r="G10" s="313" t="s">
        <v>60</v>
      </c>
      <c r="H10" s="313" t="s">
        <v>69</v>
      </c>
      <c r="I10" s="313" t="s">
        <v>2276</v>
      </c>
      <c r="J10" s="313" t="s">
        <v>76</v>
      </c>
      <c r="K10" s="313" t="s">
        <v>2334</v>
      </c>
      <c r="L10" s="324" t="s">
        <v>152</v>
      </c>
      <c r="M10" s="313" t="s">
        <v>64</v>
      </c>
      <c r="N10" s="313" t="s">
        <v>65</v>
      </c>
      <c r="O10" s="313" t="s">
        <v>65</v>
      </c>
      <c r="P10" s="314">
        <v>13</v>
      </c>
      <c r="Q10" s="315">
        <f t="shared" si="0"/>
        <v>1682429.4541165717</v>
      </c>
      <c r="R10" s="316">
        <v>7.0000000000000001E-3</v>
      </c>
      <c r="S10" s="317">
        <v>0.85</v>
      </c>
      <c r="T10" s="315">
        <f t="shared" si="1"/>
        <v>1430065.035999086</v>
      </c>
      <c r="U10" s="315">
        <f t="shared" si="2"/>
        <v>11777.006178816002</v>
      </c>
      <c r="V10" s="315">
        <f t="shared" si="3"/>
        <v>560809.81803885719</v>
      </c>
      <c r="W10" s="318">
        <v>3</v>
      </c>
      <c r="X10" s="321">
        <v>175</v>
      </c>
      <c r="Y10" s="319">
        <v>294425.15447040001</v>
      </c>
      <c r="Z10" s="319">
        <f t="shared" si="4"/>
        <v>175</v>
      </c>
      <c r="AA10" s="319">
        <f t="shared" si="5"/>
        <v>24.999999999999996</v>
      </c>
      <c r="AB10" s="320">
        <f t="shared" si="6"/>
        <v>0.17974777355730168</v>
      </c>
      <c r="AC10" s="315">
        <f>'Audience Sizing'!G5</f>
        <v>3119982</v>
      </c>
      <c r="AD10" s="475">
        <v>45435</v>
      </c>
      <c r="AE10" s="475">
        <v>45473</v>
      </c>
      <c r="AF10" s="346" t="s">
        <v>2342</v>
      </c>
      <c r="AG10" s="312"/>
      <c r="AH10" s="298"/>
      <c r="AL10" s="263"/>
      <c r="AN10">
        <v>1.43</v>
      </c>
      <c r="AO10" s="262">
        <f t="shared" si="7"/>
        <v>2405.8741193866972</v>
      </c>
      <c r="AP10" s="262">
        <f t="shared" si="8"/>
        <v>120.29370596933487</v>
      </c>
      <c r="AQ10" s="262">
        <f t="shared" si="9"/>
        <v>2526.1678253560322</v>
      </c>
      <c r="AR10" s="263"/>
      <c r="AT10" s="89"/>
    </row>
    <row r="11" spans="2:46" x14ac:dyDescent="0.3">
      <c r="B11" s="313" t="s">
        <v>87</v>
      </c>
      <c r="C11" s="313" t="s">
        <v>56</v>
      </c>
      <c r="D11" s="313" t="s">
        <v>71</v>
      </c>
      <c r="E11" s="313" t="s">
        <v>67</v>
      </c>
      <c r="F11" s="313" t="s">
        <v>72</v>
      </c>
      <c r="G11" s="313" t="s">
        <v>60</v>
      </c>
      <c r="H11" s="313" t="s">
        <v>69</v>
      </c>
      <c r="I11" s="313" t="s">
        <v>2276</v>
      </c>
      <c r="J11" s="313" t="s">
        <v>76</v>
      </c>
      <c r="K11" s="313" t="s">
        <v>2300</v>
      </c>
      <c r="L11" s="324" t="s">
        <v>152</v>
      </c>
      <c r="M11" s="313" t="s">
        <v>64</v>
      </c>
      <c r="N11" s="313" t="s">
        <v>65</v>
      </c>
      <c r="O11" s="313" t="s">
        <v>65</v>
      </c>
      <c r="P11" s="314">
        <v>13</v>
      </c>
      <c r="Q11" s="315">
        <f t="shared" si="0"/>
        <v>560809.81803885719</v>
      </c>
      <c r="R11" s="316">
        <v>3.0000000000000001E-3</v>
      </c>
      <c r="S11" s="317">
        <v>0.85</v>
      </c>
      <c r="T11" s="315">
        <f t="shared" si="1"/>
        <v>476688.34533302858</v>
      </c>
      <c r="U11" s="315">
        <f t="shared" si="2"/>
        <v>1682.4294541165716</v>
      </c>
      <c r="V11" s="315">
        <f t="shared" si="3"/>
        <v>186936.6060129524</v>
      </c>
      <c r="W11" s="318">
        <v>3</v>
      </c>
      <c r="X11" s="321">
        <v>105</v>
      </c>
      <c r="Y11" s="319">
        <v>58885.030894080002</v>
      </c>
      <c r="Z11" s="319">
        <f t="shared" si="4"/>
        <v>105</v>
      </c>
      <c r="AA11" s="319">
        <f t="shared" si="5"/>
        <v>35</v>
      </c>
      <c r="AB11" s="320">
        <f t="shared" si="6"/>
        <v>5.9915924519100557E-2</v>
      </c>
      <c r="AC11" s="315">
        <f>'Audience Sizing'!G5</f>
        <v>3119982</v>
      </c>
      <c r="AD11" s="475">
        <v>45435</v>
      </c>
      <c r="AE11" s="475">
        <v>45473</v>
      </c>
      <c r="AF11" s="346" t="s">
        <v>2342</v>
      </c>
      <c r="AG11" s="312"/>
      <c r="AH11" s="298"/>
      <c r="AL11" s="263"/>
      <c r="AN11">
        <v>1.43</v>
      </c>
      <c r="AO11" s="262">
        <f t="shared" si="7"/>
        <v>801.95803979556581</v>
      </c>
      <c r="AP11" s="262">
        <f t="shared" si="8"/>
        <v>40.097901989778293</v>
      </c>
      <c r="AQ11" s="262">
        <f t="shared" si="9"/>
        <v>842.05594178534409</v>
      </c>
      <c r="AR11" s="263"/>
      <c r="AT11" s="89"/>
    </row>
    <row r="12" spans="2:46" x14ac:dyDescent="0.3">
      <c r="B12" s="425" t="s">
        <v>90</v>
      </c>
      <c r="C12" s="325"/>
      <c r="D12" s="325"/>
      <c r="E12" s="325"/>
      <c r="F12" s="325"/>
      <c r="G12" s="325"/>
      <c r="H12" s="325"/>
      <c r="I12" s="325"/>
      <c r="J12" s="325"/>
      <c r="K12" s="325"/>
      <c r="L12" s="325"/>
      <c r="M12" s="325"/>
      <c r="N12" s="325"/>
      <c r="O12" s="325"/>
      <c r="P12" s="326"/>
      <c r="Q12" s="333">
        <f>SUM(Q3:Q11)</f>
        <v>17733801.551828064</v>
      </c>
      <c r="R12" s="327">
        <f>U12/Q12</f>
        <v>5.5381063421083617E-3</v>
      </c>
      <c r="S12" s="328">
        <f>T12/Q12</f>
        <v>0.85068131069594088</v>
      </c>
      <c r="T12" s="333">
        <f>SUM(T3:T11)</f>
        <v>15085813.547730807</v>
      </c>
      <c r="U12" s="333">
        <f>SUM(U3:U11)</f>
        <v>98211.678843870104</v>
      </c>
      <c r="V12" s="329">
        <f>V4+V3*20%+SUM(V5:V11)*50%</f>
        <v>2805314.0672587277</v>
      </c>
      <c r="W12" s="429">
        <f>Q12/V12</f>
        <v>6.321503092577804</v>
      </c>
      <c r="X12" s="330"/>
      <c r="Y12" s="331">
        <f>SUM(Y3:Y11)</f>
        <v>2439262.3707289603</v>
      </c>
      <c r="Z12" s="331">
        <f t="shared" si="4"/>
        <v>137.54875758590589</v>
      </c>
      <c r="AA12" s="331">
        <f>Y12/U12</f>
        <v>24.836785191369398</v>
      </c>
      <c r="AB12" s="332">
        <f t="shared" si="6"/>
        <v>0.50866982180575304</v>
      </c>
      <c r="AC12" s="333">
        <v>5515000</v>
      </c>
      <c r="AD12" s="334"/>
      <c r="AE12" s="335"/>
      <c r="AF12" s="312"/>
      <c r="AG12" s="312"/>
      <c r="AH12" s="27"/>
      <c r="AL12" s="263"/>
    </row>
    <row r="13" spans="2:46" x14ac:dyDescent="0.3">
      <c r="B13" s="313" t="s">
        <v>91</v>
      </c>
      <c r="C13" s="313" t="s">
        <v>56</v>
      </c>
      <c r="D13" s="313" t="s">
        <v>57</v>
      </c>
      <c r="E13" s="313" t="s">
        <v>67</v>
      </c>
      <c r="F13" s="313" t="s">
        <v>75</v>
      </c>
      <c r="G13" s="313" t="s">
        <v>60</v>
      </c>
      <c r="H13" s="313" t="s">
        <v>68</v>
      </c>
      <c r="I13" s="313" t="s">
        <v>2276</v>
      </c>
      <c r="J13" s="313" t="s">
        <v>76</v>
      </c>
      <c r="K13" s="313" t="s">
        <v>2340</v>
      </c>
      <c r="L13" s="324" t="s">
        <v>152</v>
      </c>
      <c r="M13" s="313" t="s">
        <v>64</v>
      </c>
      <c r="N13" s="313" t="s">
        <v>65</v>
      </c>
      <c r="O13" s="313" t="s">
        <v>66</v>
      </c>
      <c r="P13" s="450">
        <v>14</v>
      </c>
      <c r="Q13" s="315">
        <f t="shared" ref="Q13:Q21" si="13">Y13*1000/X13</f>
        <v>3988118.8118811883</v>
      </c>
      <c r="R13" s="316">
        <v>7.1300787423667217E-3</v>
      </c>
      <c r="S13" s="317">
        <v>0.85590434334133847</v>
      </c>
      <c r="T13" s="315">
        <f t="shared" ref="T13:T21" si="14">Q13*S13</f>
        <v>3413448.2128504072</v>
      </c>
      <c r="U13" s="315">
        <f t="shared" ref="U13:U21" si="15">Q13*R13</f>
        <v>28435.601162626888</v>
      </c>
      <c r="V13" s="315">
        <f t="shared" ref="V13:V21" si="16">Q13/W13</f>
        <v>1139462.5176803395</v>
      </c>
      <c r="W13" s="318">
        <v>3.5</v>
      </c>
      <c r="X13" s="321">
        <v>101</v>
      </c>
      <c r="Y13" s="319">
        <v>402800</v>
      </c>
      <c r="Z13" s="319">
        <f t="shared" si="4"/>
        <v>100.99999999999999</v>
      </c>
      <c r="AA13" s="319">
        <f t="shared" ref="AA13:AA21" si="17">IFERROR(Y13/U13, 0)</f>
        <v>14.165341456870724</v>
      </c>
      <c r="AB13" s="320">
        <f t="shared" si="6"/>
        <v>0.2569960175426898</v>
      </c>
      <c r="AC13" s="315">
        <f>'Audience Sizing'!E6</f>
        <v>4433775</v>
      </c>
      <c r="AD13" s="474">
        <v>45434</v>
      </c>
      <c r="AE13" s="475">
        <v>45473</v>
      </c>
      <c r="AF13" s="346" t="s">
        <v>2342</v>
      </c>
      <c r="AG13" s="312"/>
      <c r="AH13" s="298"/>
      <c r="AI13">
        <v>2.13</v>
      </c>
      <c r="AJ13" s="262">
        <f>AI13*Q13/1000</f>
        <v>8494.6930693069298</v>
      </c>
      <c r="AK13" s="262">
        <f>AJ13*5%</f>
        <v>424.73465346534653</v>
      </c>
      <c r="AL13" s="263">
        <f>AJ13+AK13</f>
        <v>8919.427722772276</v>
      </c>
      <c r="AN13">
        <v>1.43</v>
      </c>
      <c r="AO13" s="262">
        <f t="shared" ref="AO13:AO21" si="18">AN13*Q13/1000</f>
        <v>5703.0099009900987</v>
      </c>
      <c r="AP13" s="262">
        <f t="shared" ref="AP13:AP21" si="19">AO13*5%</f>
        <v>285.15049504950497</v>
      </c>
      <c r="AQ13" s="262">
        <f t="shared" ref="AQ13:AQ21" si="20">SUM(AO13:AP13)</f>
        <v>5988.1603960396033</v>
      </c>
      <c r="AR13" s="89"/>
      <c r="AT13" s="89"/>
    </row>
    <row r="14" spans="2:46" x14ac:dyDescent="0.3">
      <c r="B14" s="313" t="s">
        <v>91</v>
      </c>
      <c r="C14" s="313" t="s">
        <v>56</v>
      </c>
      <c r="D14" s="313" t="s">
        <v>57</v>
      </c>
      <c r="E14" s="313" t="s">
        <v>67</v>
      </c>
      <c r="F14" s="313" t="s">
        <v>75</v>
      </c>
      <c r="G14" s="313" t="s">
        <v>60</v>
      </c>
      <c r="H14" s="313" t="s">
        <v>69</v>
      </c>
      <c r="I14" s="313" t="s">
        <v>2276</v>
      </c>
      <c r="J14" s="313" t="s">
        <v>76</v>
      </c>
      <c r="K14" s="313" t="s">
        <v>2341</v>
      </c>
      <c r="L14" s="324" t="s">
        <v>152</v>
      </c>
      <c r="M14" s="313" t="s">
        <v>64</v>
      </c>
      <c r="N14" s="313" t="s">
        <v>65</v>
      </c>
      <c r="O14" s="313" t="s">
        <v>66</v>
      </c>
      <c r="P14" s="450">
        <v>14</v>
      </c>
      <c r="Q14" s="315">
        <f t="shared" si="13"/>
        <v>3611881.1881188117</v>
      </c>
      <c r="R14" s="316">
        <v>6.9553596982198261E-3</v>
      </c>
      <c r="S14" s="317">
        <v>0.85791079517305968</v>
      </c>
      <c r="T14" s="315">
        <f t="shared" si="14"/>
        <v>3098671.8621696252</v>
      </c>
      <c r="U14" s="315">
        <f t="shared" si="15"/>
        <v>25121.932850599926</v>
      </c>
      <c r="V14" s="315">
        <f t="shared" si="16"/>
        <v>1031966.053748232</v>
      </c>
      <c r="W14" s="318">
        <v>3.5</v>
      </c>
      <c r="X14" s="321">
        <v>101</v>
      </c>
      <c r="Y14" s="319">
        <v>364800</v>
      </c>
      <c r="Z14" s="319">
        <f t="shared" si="4"/>
        <v>101</v>
      </c>
      <c r="AA14" s="319">
        <f t="shared" si="17"/>
        <v>14.521175666277939</v>
      </c>
      <c r="AB14" s="320">
        <f t="shared" si="6"/>
        <v>0.23275111022734171</v>
      </c>
      <c r="AC14" s="315">
        <f>'Audience Sizing'!E6</f>
        <v>4433775</v>
      </c>
      <c r="AD14" s="474">
        <v>45434</v>
      </c>
      <c r="AE14" s="475">
        <v>45473</v>
      </c>
      <c r="AF14" s="346" t="s">
        <v>2342</v>
      </c>
      <c r="AG14" s="312"/>
      <c r="AH14" s="298"/>
      <c r="AI14">
        <v>2.13</v>
      </c>
      <c r="AJ14" s="262">
        <f>AI14*Q14/1000</f>
        <v>7693.3069306930684</v>
      </c>
      <c r="AK14" s="262">
        <f>AJ14*5%</f>
        <v>384.66534653465345</v>
      </c>
      <c r="AL14" s="263">
        <f>AJ14+AK14</f>
        <v>8077.9722772277219</v>
      </c>
      <c r="AN14">
        <v>1.43</v>
      </c>
      <c r="AO14" s="262">
        <f t="shared" si="18"/>
        <v>5164.9900990099004</v>
      </c>
      <c r="AP14" s="262">
        <f t="shared" si="19"/>
        <v>258.24950495049501</v>
      </c>
      <c r="AQ14" s="262">
        <f t="shared" si="20"/>
        <v>5423.2396039603955</v>
      </c>
      <c r="AR14" s="89"/>
      <c r="AT14" s="89"/>
    </row>
    <row r="15" spans="2:46" x14ac:dyDescent="0.3">
      <c r="B15" s="492" t="s">
        <v>91</v>
      </c>
      <c r="C15" s="492" t="s">
        <v>56</v>
      </c>
      <c r="D15" s="492" t="s">
        <v>57</v>
      </c>
      <c r="E15" s="492" t="s">
        <v>58</v>
      </c>
      <c r="F15" s="492" t="s">
        <v>75</v>
      </c>
      <c r="G15" s="492" t="s">
        <v>60</v>
      </c>
      <c r="H15" s="492" t="s">
        <v>61</v>
      </c>
      <c r="I15" s="492" t="s">
        <v>2276</v>
      </c>
      <c r="J15" s="492" t="s">
        <v>76</v>
      </c>
      <c r="K15" s="492" t="s">
        <v>312</v>
      </c>
      <c r="L15" s="493" t="s">
        <v>77</v>
      </c>
      <c r="M15" s="492" t="s">
        <v>64</v>
      </c>
      <c r="N15" s="492" t="s">
        <v>65</v>
      </c>
      <c r="O15" s="492" t="s">
        <v>66</v>
      </c>
      <c r="P15" s="494">
        <v>13</v>
      </c>
      <c r="Q15" s="495">
        <f t="shared" si="13"/>
        <v>1788709.9236641221</v>
      </c>
      <c r="R15" s="496"/>
      <c r="S15" s="497">
        <v>0.75</v>
      </c>
      <c r="T15" s="495">
        <f t="shared" si="14"/>
        <v>1341532.4427480916</v>
      </c>
      <c r="U15" s="495">
        <f t="shared" si="15"/>
        <v>0</v>
      </c>
      <c r="V15" s="495">
        <f t="shared" si="16"/>
        <v>447177.48091603053</v>
      </c>
      <c r="W15" s="498">
        <v>4</v>
      </c>
      <c r="X15" s="499">
        <v>131</v>
      </c>
      <c r="Y15" s="500">
        <v>234321</v>
      </c>
      <c r="Z15" s="500">
        <f t="shared" si="4"/>
        <v>131</v>
      </c>
      <c r="AA15" s="500">
        <f t="shared" si="17"/>
        <v>0</v>
      </c>
      <c r="AB15" s="501">
        <f t="shared" si="6"/>
        <v>0.31155376518032329</v>
      </c>
      <c r="AC15" s="495">
        <f>'Audience Sizing'!F6</f>
        <v>1435314</v>
      </c>
      <c r="AD15" s="526">
        <v>45460</v>
      </c>
      <c r="AE15" s="527">
        <v>45473</v>
      </c>
      <c r="AF15" s="346"/>
      <c r="AG15" s="312"/>
      <c r="AH15" s="298"/>
      <c r="AI15">
        <v>2.13</v>
      </c>
      <c r="AJ15" s="262">
        <f>AI15*Q15/1000</f>
        <v>3809.9521374045803</v>
      </c>
      <c r="AK15" s="262">
        <f>AJ15*5%</f>
        <v>190.49760687022902</v>
      </c>
      <c r="AL15" s="263">
        <f>AJ15+AK15</f>
        <v>4000.4497442748093</v>
      </c>
      <c r="AN15">
        <v>1.43</v>
      </c>
      <c r="AO15" s="262">
        <f t="shared" si="18"/>
        <v>2557.8551908396944</v>
      </c>
      <c r="AP15" s="262">
        <f t="shared" si="19"/>
        <v>127.89275954198473</v>
      </c>
      <c r="AQ15" s="262">
        <f t="shared" si="20"/>
        <v>2685.7479503816789</v>
      </c>
      <c r="AR15" s="89"/>
      <c r="AT15" s="89"/>
    </row>
    <row r="16" spans="2:46" x14ac:dyDescent="0.3">
      <c r="B16" s="492" t="s">
        <v>91</v>
      </c>
      <c r="C16" s="492" t="s">
        <v>56</v>
      </c>
      <c r="D16" s="492" t="s">
        <v>71</v>
      </c>
      <c r="E16" s="492" t="s">
        <v>58</v>
      </c>
      <c r="F16" s="492" t="s">
        <v>72</v>
      </c>
      <c r="G16" s="492" t="s">
        <v>60</v>
      </c>
      <c r="H16" s="492" t="s">
        <v>61</v>
      </c>
      <c r="I16" s="492" t="s">
        <v>2276</v>
      </c>
      <c r="J16" s="492" t="s">
        <v>76</v>
      </c>
      <c r="K16" s="492" t="s">
        <v>2353</v>
      </c>
      <c r="L16" s="493" t="s">
        <v>152</v>
      </c>
      <c r="M16" s="492" t="s">
        <v>64</v>
      </c>
      <c r="N16" s="492" t="s">
        <v>65</v>
      </c>
      <c r="O16" s="492" t="s">
        <v>66</v>
      </c>
      <c r="P16" s="494"/>
      <c r="Q16" s="495">
        <f t="shared" si="13"/>
        <v>1041426.6666666666</v>
      </c>
      <c r="R16" s="496">
        <v>0</v>
      </c>
      <c r="S16" s="497">
        <v>0.85</v>
      </c>
      <c r="T16" s="495">
        <f t="shared" si="14"/>
        <v>885212.66666666663</v>
      </c>
      <c r="U16" s="495">
        <f t="shared" si="15"/>
        <v>0</v>
      </c>
      <c r="V16" s="495">
        <f t="shared" si="16"/>
        <v>173571.11111111109</v>
      </c>
      <c r="W16" s="498">
        <v>6</v>
      </c>
      <c r="X16" s="499">
        <v>225</v>
      </c>
      <c r="Y16" s="500">
        <v>234321</v>
      </c>
      <c r="Z16" s="500">
        <f t="shared" si="4"/>
        <v>225</v>
      </c>
      <c r="AA16" s="500">
        <f t="shared" si="17"/>
        <v>0</v>
      </c>
      <c r="AB16" s="501">
        <f t="shared" si="6"/>
        <v>4.1843783671918849E-2</v>
      </c>
      <c r="AC16" s="495">
        <f>'Audience Sizing'!G6</f>
        <v>4148074</v>
      </c>
      <c r="AD16" s="526">
        <v>45460</v>
      </c>
      <c r="AE16" s="527">
        <v>45473</v>
      </c>
      <c r="AF16" s="346"/>
      <c r="AG16" s="312"/>
      <c r="AH16" s="298"/>
      <c r="AJ16" s="262"/>
      <c r="AK16" s="262"/>
      <c r="AL16" s="263"/>
      <c r="AN16">
        <v>1.43</v>
      </c>
      <c r="AO16" s="262">
        <f t="shared" si="18"/>
        <v>1489.2401333333332</v>
      </c>
      <c r="AP16" s="262">
        <f t="shared" si="19"/>
        <v>74.462006666666667</v>
      </c>
      <c r="AQ16" s="262">
        <f t="shared" si="20"/>
        <v>1563.7021399999999</v>
      </c>
      <c r="AR16" s="89"/>
      <c r="AT16" s="89"/>
    </row>
    <row r="17" spans="1:47" x14ac:dyDescent="0.3">
      <c r="B17" s="492" t="s">
        <v>91</v>
      </c>
      <c r="C17" s="492" t="s">
        <v>56</v>
      </c>
      <c r="D17" s="492" t="s">
        <v>299</v>
      </c>
      <c r="E17" s="492" t="s">
        <v>79</v>
      </c>
      <c r="F17" s="492" t="s">
        <v>383</v>
      </c>
      <c r="G17" s="492" t="s">
        <v>2338</v>
      </c>
      <c r="H17" s="492" t="s">
        <v>61</v>
      </c>
      <c r="I17" s="492" t="s">
        <v>2276</v>
      </c>
      <c r="J17" s="492" t="s">
        <v>76</v>
      </c>
      <c r="K17" s="492" t="s">
        <v>312</v>
      </c>
      <c r="L17" s="493" t="s">
        <v>152</v>
      </c>
      <c r="M17" s="492" t="s">
        <v>64</v>
      </c>
      <c r="N17" s="492" t="s">
        <v>65</v>
      </c>
      <c r="O17" s="492" t="s">
        <v>65</v>
      </c>
      <c r="P17" s="494"/>
      <c r="Q17" s="495">
        <f t="shared" si="13"/>
        <v>831600.83160083159</v>
      </c>
      <c r="R17" s="496">
        <v>1.2E-2</v>
      </c>
      <c r="S17" s="497">
        <v>1</v>
      </c>
      <c r="T17" s="495">
        <f t="shared" si="14"/>
        <v>831600.83160083159</v>
      </c>
      <c r="U17" s="495">
        <f t="shared" si="15"/>
        <v>9979.2099792099798</v>
      </c>
      <c r="V17" s="495">
        <f t="shared" si="16"/>
        <v>207900.2079002079</v>
      </c>
      <c r="W17" s="498">
        <v>4</v>
      </c>
      <c r="X17" s="499">
        <v>240.5</v>
      </c>
      <c r="Y17" s="500">
        <v>200000</v>
      </c>
      <c r="Z17" s="500">
        <f t="shared" si="4"/>
        <v>240.5</v>
      </c>
      <c r="AA17" s="500">
        <f t="shared" si="17"/>
        <v>20.041666666666664</v>
      </c>
      <c r="AB17" s="501"/>
      <c r="AC17" s="495"/>
      <c r="AD17" s="526">
        <v>45460</v>
      </c>
      <c r="AE17" s="527">
        <v>45473</v>
      </c>
      <c r="AF17" s="346"/>
      <c r="AG17" s="312"/>
      <c r="AH17" s="298"/>
      <c r="AJ17" s="262"/>
      <c r="AK17" s="262"/>
      <c r="AL17" s="263"/>
      <c r="AN17">
        <v>1.43</v>
      </c>
      <c r="AO17" s="262">
        <f t="shared" ref="AO17" si="21">AN17*Q17/1000</f>
        <v>1189.1891891891892</v>
      </c>
      <c r="AP17" s="262">
        <f t="shared" ref="AP17" si="22">AO17*5%</f>
        <v>59.45945945945946</v>
      </c>
      <c r="AQ17" s="262">
        <f t="shared" ref="AQ17" si="23">SUM(AO17:AP17)</f>
        <v>1248.6486486486485</v>
      </c>
      <c r="AR17" s="89"/>
      <c r="AT17" s="89"/>
    </row>
    <row r="18" spans="1:47" x14ac:dyDescent="0.3">
      <c r="B18" s="313" t="s">
        <v>91</v>
      </c>
      <c r="C18" s="313" t="s">
        <v>56</v>
      </c>
      <c r="D18" s="313" t="s">
        <v>71</v>
      </c>
      <c r="E18" s="313" t="s">
        <v>67</v>
      </c>
      <c r="F18" s="313" t="s">
        <v>72</v>
      </c>
      <c r="G18" s="313" t="s">
        <v>60</v>
      </c>
      <c r="H18" s="313" t="s">
        <v>68</v>
      </c>
      <c r="I18" s="313" t="s">
        <v>2276</v>
      </c>
      <c r="J18" s="313" t="s">
        <v>76</v>
      </c>
      <c r="K18" s="313" t="s">
        <v>2298</v>
      </c>
      <c r="L18" s="324" t="s">
        <v>152</v>
      </c>
      <c r="M18" s="313" t="s">
        <v>64</v>
      </c>
      <c r="N18" s="313" t="s">
        <v>65</v>
      </c>
      <c r="O18" s="313" t="s">
        <v>65</v>
      </c>
      <c r="P18" s="314">
        <v>13</v>
      </c>
      <c r="Q18" s="315">
        <f t="shared" si="13"/>
        <v>1682429.4541165717</v>
      </c>
      <c r="R18" s="316">
        <v>8.0000000000000002E-3</v>
      </c>
      <c r="S18" s="317">
        <v>0.85</v>
      </c>
      <c r="T18" s="315">
        <f t="shared" si="14"/>
        <v>1430065.035999086</v>
      </c>
      <c r="U18" s="315">
        <f t="shared" si="15"/>
        <v>13459.435632932575</v>
      </c>
      <c r="V18" s="315">
        <f t="shared" si="16"/>
        <v>560809.81803885719</v>
      </c>
      <c r="W18" s="318">
        <v>3</v>
      </c>
      <c r="X18" s="321">
        <v>175</v>
      </c>
      <c r="Y18" s="319">
        <v>294425.15447040001</v>
      </c>
      <c r="Z18" s="319">
        <f t="shared" si="4"/>
        <v>175</v>
      </c>
      <c r="AA18" s="319">
        <f t="shared" si="17"/>
        <v>21.874999999999996</v>
      </c>
      <c r="AB18" s="320">
        <f t="shared" si="6"/>
        <v>0.13519764064933681</v>
      </c>
      <c r="AC18" s="315">
        <f>'Audience Sizing'!G6</f>
        <v>4148074</v>
      </c>
      <c r="AD18" s="475">
        <v>45435</v>
      </c>
      <c r="AE18" s="475">
        <v>45473</v>
      </c>
      <c r="AF18" s="346" t="s">
        <v>2342</v>
      </c>
      <c r="AG18" s="312"/>
      <c r="AH18" s="298"/>
      <c r="AL18" s="263"/>
      <c r="AN18">
        <v>1.43</v>
      </c>
      <c r="AO18" s="262">
        <f t="shared" si="18"/>
        <v>2405.8741193866972</v>
      </c>
      <c r="AP18" s="262">
        <f t="shared" si="19"/>
        <v>120.29370596933487</v>
      </c>
      <c r="AQ18" s="262">
        <f t="shared" si="20"/>
        <v>2526.1678253560322</v>
      </c>
      <c r="AR18" s="263"/>
      <c r="AT18" s="89"/>
    </row>
    <row r="19" spans="1:47" x14ac:dyDescent="0.3">
      <c r="B19" s="313" t="s">
        <v>91</v>
      </c>
      <c r="C19" s="313" t="s">
        <v>56</v>
      </c>
      <c r="D19" s="313" t="s">
        <v>71</v>
      </c>
      <c r="E19" s="313" t="s">
        <v>67</v>
      </c>
      <c r="F19" s="313" t="s">
        <v>72</v>
      </c>
      <c r="G19" s="313" t="s">
        <v>60</v>
      </c>
      <c r="H19" s="313" t="s">
        <v>68</v>
      </c>
      <c r="I19" s="313" t="s">
        <v>2276</v>
      </c>
      <c r="J19" s="313" t="s">
        <v>76</v>
      </c>
      <c r="K19" s="313" t="s">
        <v>2299</v>
      </c>
      <c r="L19" s="324" t="s">
        <v>152</v>
      </c>
      <c r="M19" s="313" t="s">
        <v>64</v>
      </c>
      <c r="N19" s="313" t="s">
        <v>65</v>
      </c>
      <c r="O19" s="313" t="s">
        <v>65</v>
      </c>
      <c r="P19" s="314">
        <v>13</v>
      </c>
      <c r="Q19" s="315">
        <f t="shared" si="13"/>
        <v>560809.81803885719</v>
      </c>
      <c r="R19" s="316">
        <v>3.0000000000000001E-3</v>
      </c>
      <c r="S19" s="317">
        <v>0.85</v>
      </c>
      <c r="T19" s="315">
        <f t="shared" si="14"/>
        <v>476688.34533302858</v>
      </c>
      <c r="U19" s="315">
        <f t="shared" si="15"/>
        <v>1682.4294541165716</v>
      </c>
      <c r="V19" s="315">
        <f t="shared" si="16"/>
        <v>186936.6060129524</v>
      </c>
      <c r="W19" s="318">
        <v>3</v>
      </c>
      <c r="X19" s="321">
        <v>105</v>
      </c>
      <c r="Y19" s="319">
        <v>58885.030894080002</v>
      </c>
      <c r="Z19" s="319">
        <f t="shared" si="4"/>
        <v>105</v>
      </c>
      <c r="AA19" s="319">
        <f t="shared" si="17"/>
        <v>35</v>
      </c>
      <c r="AB19" s="320">
        <f t="shared" si="6"/>
        <v>4.5065880216445607E-2</v>
      </c>
      <c r="AC19" s="315">
        <f>'Audience Sizing'!G6</f>
        <v>4148074</v>
      </c>
      <c r="AD19" s="475">
        <v>45435</v>
      </c>
      <c r="AE19" s="475">
        <v>45473</v>
      </c>
      <c r="AF19" s="346" t="s">
        <v>2342</v>
      </c>
      <c r="AG19" s="312"/>
      <c r="AH19" s="298"/>
      <c r="AL19" s="263"/>
      <c r="AN19">
        <v>1.43</v>
      </c>
      <c r="AO19" s="262">
        <f t="shared" si="18"/>
        <v>801.95803979556581</v>
      </c>
      <c r="AP19" s="262">
        <f t="shared" si="19"/>
        <v>40.097901989778293</v>
      </c>
      <c r="AQ19" s="262">
        <f t="shared" si="20"/>
        <v>842.05594178534409</v>
      </c>
      <c r="AR19" s="263"/>
      <c r="AT19" s="89"/>
    </row>
    <row r="20" spans="1:47" x14ac:dyDescent="0.3">
      <c r="B20" s="313" t="s">
        <v>91</v>
      </c>
      <c r="C20" s="313" t="s">
        <v>56</v>
      </c>
      <c r="D20" s="313" t="s">
        <v>71</v>
      </c>
      <c r="E20" s="313" t="s">
        <v>67</v>
      </c>
      <c r="F20" s="313" t="s">
        <v>72</v>
      </c>
      <c r="G20" s="313" t="s">
        <v>60</v>
      </c>
      <c r="H20" s="313" t="s">
        <v>69</v>
      </c>
      <c r="I20" s="313" t="s">
        <v>2276</v>
      </c>
      <c r="J20" s="313" t="s">
        <v>76</v>
      </c>
      <c r="K20" s="313" t="s">
        <v>2334</v>
      </c>
      <c r="L20" s="324" t="s">
        <v>152</v>
      </c>
      <c r="M20" s="313" t="s">
        <v>64</v>
      </c>
      <c r="N20" s="313" t="s">
        <v>65</v>
      </c>
      <c r="O20" s="313" t="s">
        <v>65</v>
      </c>
      <c r="P20" s="314">
        <v>13</v>
      </c>
      <c r="Q20" s="315">
        <f t="shared" si="13"/>
        <v>1682429.4541165717</v>
      </c>
      <c r="R20" s="316">
        <v>7.4999999999999997E-3</v>
      </c>
      <c r="S20" s="317">
        <v>0.85</v>
      </c>
      <c r="T20" s="315">
        <f t="shared" si="14"/>
        <v>1430065.035999086</v>
      </c>
      <c r="U20" s="315">
        <f t="shared" si="15"/>
        <v>12618.220905874286</v>
      </c>
      <c r="V20" s="315">
        <f t="shared" si="16"/>
        <v>560809.81803885719</v>
      </c>
      <c r="W20" s="318">
        <v>3</v>
      </c>
      <c r="X20" s="321">
        <v>175</v>
      </c>
      <c r="Y20" s="319">
        <v>294425.15447040001</v>
      </c>
      <c r="Z20" s="319">
        <f t="shared" si="4"/>
        <v>175</v>
      </c>
      <c r="AA20" s="319">
        <f t="shared" si="17"/>
        <v>23.333333333333332</v>
      </c>
      <c r="AB20" s="320">
        <f t="shared" si="6"/>
        <v>0.13519764064933681</v>
      </c>
      <c r="AC20" s="315">
        <f>'Audience Sizing'!G6</f>
        <v>4148074</v>
      </c>
      <c r="AD20" s="475">
        <v>45435</v>
      </c>
      <c r="AE20" s="475">
        <v>45473</v>
      </c>
      <c r="AF20" s="346" t="s">
        <v>2342</v>
      </c>
      <c r="AG20" s="312"/>
      <c r="AH20" s="298"/>
      <c r="AL20" s="263"/>
      <c r="AN20">
        <v>1.43</v>
      </c>
      <c r="AO20" s="262">
        <f t="shared" si="18"/>
        <v>2405.8741193866972</v>
      </c>
      <c r="AP20" s="262">
        <f t="shared" si="19"/>
        <v>120.29370596933487</v>
      </c>
      <c r="AQ20" s="262">
        <f t="shared" si="20"/>
        <v>2526.1678253560322</v>
      </c>
      <c r="AR20" s="263"/>
      <c r="AT20" s="89"/>
    </row>
    <row r="21" spans="1:47" x14ac:dyDescent="0.3">
      <c r="B21" s="313" t="s">
        <v>91</v>
      </c>
      <c r="C21" s="313" t="s">
        <v>56</v>
      </c>
      <c r="D21" s="313" t="s">
        <v>71</v>
      </c>
      <c r="E21" s="313" t="s">
        <v>67</v>
      </c>
      <c r="F21" s="313" t="s">
        <v>72</v>
      </c>
      <c r="G21" s="313" t="s">
        <v>60</v>
      </c>
      <c r="H21" s="313" t="s">
        <v>69</v>
      </c>
      <c r="I21" s="313" t="s">
        <v>2276</v>
      </c>
      <c r="J21" s="313" t="s">
        <v>76</v>
      </c>
      <c r="K21" s="313" t="s">
        <v>2300</v>
      </c>
      <c r="L21" s="324" t="s">
        <v>152</v>
      </c>
      <c r="M21" s="313" t="s">
        <v>64</v>
      </c>
      <c r="N21" s="313" t="s">
        <v>65</v>
      </c>
      <c r="O21" s="313" t="s">
        <v>65</v>
      </c>
      <c r="P21" s="314">
        <v>13</v>
      </c>
      <c r="Q21" s="315">
        <f t="shared" si="13"/>
        <v>560809.81803885719</v>
      </c>
      <c r="R21" s="316">
        <v>4.0000000000000001E-3</v>
      </c>
      <c r="S21" s="317">
        <v>0.85</v>
      </c>
      <c r="T21" s="315">
        <f t="shared" si="14"/>
        <v>476688.34533302858</v>
      </c>
      <c r="U21" s="315">
        <f t="shared" si="15"/>
        <v>2243.2392721554288</v>
      </c>
      <c r="V21" s="315">
        <f t="shared" si="16"/>
        <v>186936.6060129524</v>
      </c>
      <c r="W21" s="318">
        <v>3</v>
      </c>
      <c r="X21" s="321">
        <v>105</v>
      </c>
      <c r="Y21" s="319">
        <v>58885.030894080002</v>
      </c>
      <c r="Z21" s="319">
        <f t="shared" si="4"/>
        <v>105</v>
      </c>
      <c r="AA21" s="319">
        <f t="shared" si="17"/>
        <v>26.25</v>
      </c>
      <c r="AB21" s="320">
        <f t="shared" si="6"/>
        <v>4.5065880216445607E-2</v>
      </c>
      <c r="AC21" s="315">
        <f>'Audience Sizing'!G6</f>
        <v>4148074</v>
      </c>
      <c r="AD21" s="475">
        <v>45435</v>
      </c>
      <c r="AE21" s="475">
        <v>45473</v>
      </c>
      <c r="AF21" s="346" t="s">
        <v>2342</v>
      </c>
      <c r="AG21" s="312"/>
      <c r="AH21" s="298"/>
      <c r="AL21" s="263"/>
      <c r="AN21">
        <v>1.43</v>
      </c>
      <c r="AO21" s="262">
        <f t="shared" si="18"/>
        <v>801.95803979556581</v>
      </c>
      <c r="AP21" s="262">
        <f t="shared" si="19"/>
        <v>40.097901989778293</v>
      </c>
      <c r="AQ21" s="262">
        <f t="shared" si="20"/>
        <v>842.05594178534409</v>
      </c>
      <c r="AR21" s="263"/>
      <c r="AT21" s="89"/>
    </row>
    <row r="22" spans="1:47" x14ac:dyDescent="0.3">
      <c r="B22" s="424" t="s">
        <v>2343</v>
      </c>
      <c r="C22" s="336"/>
      <c r="D22" s="336"/>
      <c r="E22" s="336"/>
      <c r="F22" s="336"/>
      <c r="G22" s="336"/>
      <c r="H22" s="336"/>
      <c r="I22" s="336"/>
      <c r="J22" s="336"/>
      <c r="K22" s="336"/>
      <c r="L22" s="336"/>
      <c r="M22" s="336"/>
      <c r="N22" s="336"/>
      <c r="O22" s="336"/>
      <c r="P22" s="337"/>
      <c r="Q22" s="343">
        <f>SUM(Q13:Q21)</f>
        <v>15748215.966242477</v>
      </c>
      <c r="R22" s="338">
        <f>U22/Q22</f>
        <v>5.9397248207686548E-3</v>
      </c>
      <c r="S22" s="339">
        <f>T22/Q22</f>
        <v>0.84987231616517289</v>
      </c>
      <c r="T22" s="343">
        <f>SUM(T13:T21)</f>
        <v>13383972.778699851</v>
      </c>
      <c r="U22" s="343">
        <f>SUM(U13:U21)</f>
        <v>93540.069257515672</v>
      </c>
      <c r="V22" s="351">
        <f>V14+V13*20%+SUM(V15:V21)*50%</f>
        <v>2421929.3812997844</v>
      </c>
      <c r="W22" s="428">
        <f>Q22/V22</f>
        <v>6.502343168152505</v>
      </c>
      <c r="X22" s="340"/>
      <c r="Y22" s="341">
        <f>SUM(Y13:Y21)</f>
        <v>2142862.3707289598</v>
      </c>
      <c r="Z22" s="341">
        <f t="shared" si="4"/>
        <v>136.07016663489702</v>
      </c>
      <c r="AA22" s="341">
        <f>Y22/U22</f>
        <v>22.908496730205137</v>
      </c>
      <c r="AB22" s="342">
        <f t="shared" si="6"/>
        <v>0.54145526074218298</v>
      </c>
      <c r="AC22" s="343">
        <v>4473000</v>
      </c>
      <c r="AD22" s="344"/>
      <c r="AE22" s="345"/>
      <c r="AF22" s="312"/>
      <c r="AG22" s="312"/>
      <c r="AL22" s="263"/>
    </row>
    <row r="23" spans="1:47" s="366" customFormat="1" x14ac:dyDescent="0.3">
      <c r="A23" s="367"/>
      <c r="B23" s="365" t="s">
        <v>99</v>
      </c>
      <c r="C23" s="362" t="s">
        <v>56</v>
      </c>
      <c r="D23" s="362" t="s">
        <v>57</v>
      </c>
      <c r="E23" s="362" t="s">
        <v>67</v>
      </c>
      <c r="F23" s="362" t="s">
        <v>75</v>
      </c>
      <c r="G23" s="362" t="s">
        <v>60</v>
      </c>
      <c r="H23" s="362" t="s">
        <v>68</v>
      </c>
      <c r="I23" s="362" t="s">
        <v>2276</v>
      </c>
      <c r="J23" s="362" t="s">
        <v>76</v>
      </c>
      <c r="K23" s="362" t="s">
        <v>2340</v>
      </c>
      <c r="L23" s="362" t="s">
        <v>152</v>
      </c>
      <c r="M23" s="362" t="s">
        <v>64</v>
      </c>
      <c r="N23" s="362" t="s">
        <v>65</v>
      </c>
      <c r="O23" s="362" t="s">
        <v>66</v>
      </c>
      <c r="P23" s="450">
        <v>14</v>
      </c>
      <c r="Q23" s="390">
        <f t="shared" ref="Q23:Q31" si="24">Y23*1000/X23</f>
        <v>1506472</v>
      </c>
      <c r="R23" s="363">
        <v>7.1300787423667217E-3</v>
      </c>
      <c r="S23" s="364">
        <v>0.85590434334133847</v>
      </c>
      <c r="T23" s="390">
        <f t="shared" ref="T23:T31" si="25">Q23*S23</f>
        <v>1289395.9279221129</v>
      </c>
      <c r="U23" s="390">
        <f t="shared" ref="U23:U31" si="26">Q23*R23</f>
        <v>10741.26398317068</v>
      </c>
      <c r="V23" s="391">
        <f t="shared" ref="V23:V31" si="27">Q23/W23</f>
        <v>430420.57142857142</v>
      </c>
      <c r="W23" s="392">
        <v>3.5</v>
      </c>
      <c r="X23" s="393">
        <v>100</v>
      </c>
      <c r="Y23" s="394">
        <v>150647.20000000001</v>
      </c>
      <c r="Z23" s="394">
        <f t="shared" si="4"/>
        <v>100</v>
      </c>
      <c r="AA23" s="394">
        <f t="shared" ref="AA23:AA31" si="28">IFERROR(Y23/U23, 0)</f>
        <v>14.025090551357154</v>
      </c>
      <c r="AB23" s="395">
        <f t="shared" si="6"/>
        <v>0.25416021096448804</v>
      </c>
      <c r="AC23" s="390">
        <f>'Audience Sizing'!$E8</f>
        <v>1693501</v>
      </c>
      <c r="AD23" s="474">
        <v>45434</v>
      </c>
      <c r="AE23" s="475">
        <v>45473</v>
      </c>
      <c r="AF23" s="346" t="s">
        <v>2342</v>
      </c>
      <c r="AG23" s="312"/>
      <c r="AH23" s="298"/>
      <c r="AI23" s="366">
        <v>2.13</v>
      </c>
      <c r="AJ23" s="366">
        <f>AI23*Q23/1000</f>
        <v>3208.7853599999999</v>
      </c>
      <c r="AK23" s="366">
        <f>AJ23*5%</f>
        <v>160.439268</v>
      </c>
      <c r="AL23" s="407">
        <f>AJ23+AK23</f>
        <v>3369.2246279999999</v>
      </c>
      <c r="AN23" s="366">
        <v>1.43</v>
      </c>
      <c r="AO23" s="366">
        <f t="shared" ref="AO23:AO31" si="29">AN23*Q23/1000</f>
        <v>2154.2549599999998</v>
      </c>
      <c r="AP23" s="366">
        <f t="shared" ref="AP23:AP31" si="30">AO23*5%</f>
        <v>107.71274799999999</v>
      </c>
      <c r="AQ23" s="389">
        <f t="shared" ref="AQ23:AQ31" si="31">SUM(AO23:AP23)</f>
        <v>2261.9677079999997</v>
      </c>
      <c r="AR23" s="89"/>
      <c r="AS23" s="389"/>
      <c r="AT23" s="89"/>
      <c r="AU23" s="389"/>
    </row>
    <row r="24" spans="1:47" s="366" customFormat="1" x14ac:dyDescent="0.3">
      <c r="A24" s="367"/>
      <c r="B24" s="365" t="s">
        <v>99</v>
      </c>
      <c r="C24" s="362" t="s">
        <v>56</v>
      </c>
      <c r="D24" s="362" t="s">
        <v>57</v>
      </c>
      <c r="E24" s="362" t="s">
        <v>67</v>
      </c>
      <c r="F24" s="362" t="s">
        <v>75</v>
      </c>
      <c r="G24" s="362" t="s">
        <v>60</v>
      </c>
      <c r="H24" s="362" t="s">
        <v>69</v>
      </c>
      <c r="I24" s="362" t="s">
        <v>2276</v>
      </c>
      <c r="J24" s="362" t="s">
        <v>76</v>
      </c>
      <c r="K24" s="362" t="s">
        <v>2341</v>
      </c>
      <c r="L24" s="362" t="s">
        <v>152</v>
      </c>
      <c r="M24" s="362" t="s">
        <v>64</v>
      </c>
      <c r="N24" s="362" t="s">
        <v>65</v>
      </c>
      <c r="O24" s="362" t="s">
        <v>66</v>
      </c>
      <c r="P24" s="450">
        <v>14</v>
      </c>
      <c r="Q24" s="390">
        <f t="shared" si="24"/>
        <v>1364352.0000000002</v>
      </c>
      <c r="R24" s="363">
        <v>6.9553596982198261E-3</v>
      </c>
      <c r="S24" s="364">
        <v>0.85791079517305968</v>
      </c>
      <c r="T24" s="390">
        <f t="shared" si="25"/>
        <v>1170492.3092159545</v>
      </c>
      <c r="U24" s="390">
        <f t="shared" si="26"/>
        <v>9489.5589149856169</v>
      </c>
      <c r="V24" s="391">
        <f t="shared" si="27"/>
        <v>389814.85714285722</v>
      </c>
      <c r="W24" s="392">
        <v>3.5</v>
      </c>
      <c r="X24" s="393">
        <v>100</v>
      </c>
      <c r="Y24" s="394">
        <v>136435.20000000004</v>
      </c>
      <c r="Z24" s="394">
        <f t="shared" si="4"/>
        <v>100.00000000000001</v>
      </c>
      <c r="AA24" s="394">
        <f t="shared" si="28"/>
        <v>14.37740164978014</v>
      </c>
      <c r="AB24" s="395">
        <f t="shared" si="6"/>
        <v>0.23018283257161185</v>
      </c>
      <c r="AC24" s="390">
        <f>'Audience Sizing'!E8</f>
        <v>1693501</v>
      </c>
      <c r="AD24" s="474">
        <v>45434</v>
      </c>
      <c r="AE24" s="475">
        <v>45473</v>
      </c>
      <c r="AF24" s="346" t="s">
        <v>2342</v>
      </c>
      <c r="AG24" s="312"/>
      <c r="AH24" s="298"/>
      <c r="AI24" s="366">
        <v>2.13</v>
      </c>
      <c r="AJ24" s="366">
        <f>AI24*Q24/1000</f>
        <v>2906.0697600000003</v>
      </c>
      <c r="AK24" s="366">
        <f>AJ24*5%</f>
        <v>145.30348800000002</v>
      </c>
      <c r="AL24" s="407">
        <f>AJ24+AK24</f>
        <v>3051.3732480000003</v>
      </c>
      <c r="AN24" s="366">
        <v>1.43</v>
      </c>
      <c r="AO24" s="366">
        <f t="shared" si="29"/>
        <v>1951.0233600000004</v>
      </c>
      <c r="AP24" s="366">
        <f t="shared" si="30"/>
        <v>97.551168000000018</v>
      </c>
      <c r="AQ24" s="389">
        <f t="shared" si="31"/>
        <v>2048.5745280000006</v>
      </c>
      <c r="AR24" s="89"/>
      <c r="AS24" s="389"/>
      <c r="AT24" s="89"/>
      <c r="AU24" s="389"/>
    </row>
    <row r="25" spans="1:47" s="366" customFormat="1" x14ac:dyDescent="0.3">
      <c r="A25" s="367"/>
      <c r="B25" s="529" t="s">
        <v>99</v>
      </c>
      <c r="C25" s="492" t="s">
        <v>56</v>
      </c>
      <c r="D25" s="492" t="s">
        <v>57</v>
      </c>
      <c r="E25" s="492" t="s">
        <v>58</v>
      </c>
      <c r="F25" s="492" t="s">
        <v>75</v>
      </c>
      <c r="G25" s="492" t="s">
        <v>60</v>
      </c>
      <c r="H25" s="492" t="s">
        <v>61</v>
      </c>
      <c r="I25" s="492" t="s">
        <v>2276</v>
      </c>
      <c r="J25" s="492" t="s">
        <v>76</v>
      </c>
      <c r="K25" s="492" t="s">
        <v>312</v>
      </c>
      <c r="L25" s="492" t="s">
        <v>77</v>
      </c>
      <c r="M25" s="492" t="s">
        <v>64</v>
      </c>
      <c r="N25" s="492" t="s">
        <v>65</v>
      </c>
      <c r="O25" s="492" t="s">
        <v>66</v>
      </c>
      <c r="P25" s="494">
        <v>13</v>
      </c>
      <c r="Q25" s="495">
        <f t="shared" si="24"/>
        <v>987183.2061068702</v>
      </c>
      <c r="R25" s="496"/>
      <c r="S25" s="497">
        <v>0.75</v>
      </c>
      <c r="T25" s="495">
        <f t="shared" si="25"/>
        <v>740387.40458015259</v>
      </c>
      <c r="U25" s="495">
        <f t="shared" si="26"/>
        <v>0</v>
      </c>
      <c r="V25" s="502">
        <f t="shared" si="27"/>
        <v>246795.80152671755</v>
      </c>
      <c r="W25" s="498">
        <v>4</v>
      </c>
      <c r="X25" s="499">
        <v>131</v>
      </c>
      <c r="Y25" s="500">
        <v>129321</v>
      </c>
      <c r="Z25" s="500">
        <f t="shared" si="4"/>
        <v>131</v>
      </c>
      <c r="AA25" s="500">
        <f t="shared" si="28"/>
        <v>0</v>
      </c>
      <c r="AB25" s="501">
        <f t="shared" si="6"/>
        <v>0.44255048537338154</v>
      </c>
      <c r="AC25" s="495">
        <f>'Audience Sizing'!F8</f>
        <v>557667</v>
      </c>
      <c r="AD25" s="526">
        <v>45460</v>
      </c>
      <c r="AE25" s="527">
        <v>45473</v>
      </c>
      <c r="AF25" s="346"/>
      <c r="AG25" s="312"/>
      <c r="AH25" s="298"/>
      <c r="AI25" s="366">
        <v>2.13</v>
      </c>
      <c r="AJ25" s="366">
        <f>AI25*Q25/1000</f>
        <v>2102.7002290076334</v>
      </c>
      <c r="AK25" s="366">
        <f>AJ25*5%</f>
        <v>105.13501145038168</v>
      </c>
      <c r="AL25" s="407">
        <f>AJ25+AK25</f>
        <v>2207.8352404580151</v>
      </c>
      <c r="AN25" s="366">
        <v>1.43</v>
      </c>
      <c r="AO25" s="366">
        <f t="shared" si="29"/>
        <v>1411.6719847328243</v>
      </c>
      <c r="AP25" s="366">
        <f t="shared" si="30"/>
        <v>70.58359923664122</v>
      </c>
      <c r="AQ25" s="389">
        <f t="shared" si="31"/>
        <v>1482.2555839694655</v>
      </c>
      <c r="AR25" s="89"/>
      <c r="AS25" s="389"/>
      <c r="AT25" s="89"/>
      <c r="AU25" s="389"/>
    </row>
    <row r="26" spans="1:47" s="366" customFormat="1" x14ac:dyDescent="0.3">
      <c r="A26" s="367"/>
      <c r="B26" s="529" t="s">
        <v>99</v>
      </c>
      <c r="C26" s="492" t="s">
        <v>56</v>
      </c>
      <c r="D26" s="492" t="s">
        <v>71</v>
      </c>
      <c r="E26" s="492" t="s">
        <v>58</v>
      </c>
      <c r="F26" s="492" t="s">
        <v>72</v>
      </c>
      <c r="G26" s="492" t="s">
        <v>60</v>
      </c>
      <c r="H26" s="492" t="s">
        <v>61</v>
      </c>
      <c r="I26" s="492" t="s">
        <v>2276</v>
      </c>
      <c r="J26" s="492" t="s">
        <v>76</v>
      </c>
      <c r="K26" s="492" t="s">
        <v>2353</v>
      </c>
      <c r="L26" s="492" t="s">
        <v>152</v>
      </c>
      <c r="M26" s="492" t="s">
        <v>64</v>
      </c>
      <c r="N26" s="492" t="s">
        <v>65</v>
      </c>
      <c r="O26" s="492" t="s">
        <v>66</v>
      </c>
      <c r="P26" s="494"/>
      <c r="Q26" s="495">
        <f t="shared" si="24"/>
        <v>574760</v>
      </c>
      <c r="R26" s="496">
        <v>0</v>
      </c>
      <c r="S26" s="497">
        <v>0.85</v>
      </c>
      <c r="T26" s="495">
        <f t="shared" si="25"/>
        <v>488546</v>
      </c>
      <c r="U26" s="495">
        <f t="shared" si="26"/>
        <v>0</v>
      </c>
      <c r="V26" s="502">
        <f t="shared" si="27"/>
        <v>95793.333333333328</v>
      </c>
      <c r="W26" s="498">
        <v>6</v>
      </c>
      <c r="X26" s="499">
        <v>225</v>
      </c>
      <c r="Y26" s="500">
        <v>129321</v>
      </c>
      <c r="Z26" s="500">
        <f t="shared" si="4"/>
        <v>225</v>
      </c>
      <c r="AA26" s="500">
        <f t="shared" si="28"/>
        <v>0</v>
      </c>
      <c r="AB26" s="501">
        <f t="shared" si="6"/>
        <v>2.6788676419579389E-2</v>
      </c>
      <c r="AC26" s="495">
        <f>'Audience Sizing'!G8</f>
        <v>3575889</v>
      </c>
      <c r="AD26" s="526">
        <v>45460</v>
      </c>
      <c r="AE26" s="527">
        <v>45473</v>
      </c>
      <c r="AF26" s="346"/>
      <c r="AG26" s="312"/>
      <c r="AH26" s="298"/>
      <c r="AL26" s="407"/>
      <c r="AN26" s="366">
        <v>1.43</v>
      </c>
      <c r="AO26" s="366">
        <f t="shared" si="29"/>
        <v>821.90679999999998</v>
      </c>
      <c r="AP26" s="366">
        <f t="shared" si="30"/>
        <v>41.09534</v>
      </c>
      <c r="AQ26" s="389">
        <f t="shared" si="31"/>
        <v>863.00213999999994</v>
      </c>
      <c r="AR26" s="89"/>
      <c r="AS26" s="389"/>
      <c r="AT26" s="89"/>
      <c r="AU26" s="389"/>
    </row>
    <row r="27" spans="1:47" s="366" customFormat="1" x14ac:dyDescent="0.3">
      <c r="A27" s="367"/>
      <c r="B27" s="529" t="s">
        <v>99</v>
      </c>
      <c r="C27" s="492" t="s">
        <v>56</v>
      </c>
      <c r="D27" s="492" t="s">
        <v>299</v>
      </c>
      <c r="E27" s="492" t="s">
        <v>79</v>
      </c>
      <c r="F27" s="492" t="s">
        <v>383</v>
      </c>
      <c r="G27" s="492" t="s">
        <v>2338</v>
      </c>
      <c r="H27" s="492" t="s">
        <v>61</v>
      </c>
      <c r="I27" s="492" t="s">
        <v>2276</v>
      </c>
      <c r="J27" s="492" t="s">
        <v>76</v>
      </c>
      <c r="K27" s="492" t="s">
        <v>312</v>
      </c>
      <c r="L27" s="492" t="s">
        <v>152</v>
      </c>
      <c r="M27" s="492" t="s">
        <v>64</v>
      </c>
      <c r="N27" s="492" t="s">
        <v>65</v>
      </c>
      <c r="O27" s="492" t="s">
        <v>65</v>
      </c>
      <c r="P27" s="494"/>
      <c r="Q27" s="495">
        <f t="shared" si="24"/>
        <v>831600.83160083159</v>
      </c>
      <c r="R27" s="496">
        <v>1.2E-2</v>
      </c>
      <c r="S27" s="497">
        <v>1</v>
      </c>
      <c r="T27" s="495">
        <f t="shared" si="25"/>
        <v>831600.83160083159</v>
      </c>
      <c r="U27" s="495">
        <f t="shared" si="26"/>
        <v>9979.2099792099798</v>
      </c>
      <c r="V27" s="502">
        <f t="shared" si="27"/>
        <v>207900.2079002079</v>
      </c>
      <c r="W27" s="498">
        <v>4</v>
      </c>
      <c r="X27" s="499">
        <v>240.5</v>
      </c>
      <c r="Y27" s="500">
        <v>200000</v>
      </c>
      <c r="Z27" s="500">
        <f t="shared" si="4"/>
        <v>240.5</v>
      </c>
      <c r="AA27" s="500">
        <f t="shared" si="28"/>
        <v>20.041666666666664</v>
      </c>
      <c r="AB27" s="501"/>
      <c r="AC27" s="495"/>
      <c r="AD27" s="526">
        <v>45460</v>
      </c>
      <c r="AE27" s="527">
        <v>45473</v>
      </c>
      <c r="AF27" s="346"/>
      <c r="AG27" s="312"/>
      <c r="AH27" s="298"/>
      <c r="AL27" s="407"/>
      <c r="AN27" s="366">
        <v>1.43</v>
      </c>
      <c r="AO27" s="366">
        <f t="shared" ref="AO27" si="32">AN27*Q27/1000</f>
        <v>1189.1891891891892</v>
      </c>
      <c r="AP27" s="366">
        <f t="shared" ref="AP27" si="33">AO27*5%</f>
        <v>59.45945945945946</v>
      </c>
      <c r="AQ27" s="389">
        <f t="shared" ref="AQ27" si="34">SUM(AO27:AP27)</f>
        <v>1248.6486486486485</v>
      </c>
      <c r="AR27" s="89"/>
      <c r="AS27" s="389"/>
      <c r="AT27" s="89"/>
      <c r="AU27" s="389"/>
    </row>
    <row r="28" spans="1:47" s="366" customFormat="1" x14ac:dyDescent="0.3">
      <c r="A28" s="367"/>
      <c r="B28" s="365" t="s">
        <v>99</v>
      </c>
      <c r="C28" s="362" t="s">
        <v>56</v>
      </c>
      <c r="D28" s="362" t="s">
        <v>71</v>
      </c>
      <c r="E28" s="362" t="s">
        <v>67</v>
      </c>
      <c r="F28" s="362" t="s">
        <v>72</v>
      </c>
      <c r="G28" s="362" t="s">
        <v>60</v>
      </c>
      <c r="H28" s="362" t="s">
        <v>68</v>
      </c>
      <c r="I28" s="362" t="s">
        <v>2276</v>
      </c>
      <c r="J28" s="362" t="s">
        <v>76</v>
      </c>
      <c r="K28" s="362" t="s">
        <v>2298</v>
      </c>
      <c r="L28" s="362" t="s">
        <v>152</v>
      </c>
      <c r="M28" s="362" t="s">
        <v>64</v>
      </c>
      <c r="N28" s="362" t="s">
        <v>65</v>
      </c>
      <c r="O28" s="362" t="s">
        <v>65</v>
      </c>
      <c r="P28" s="314">
        <v>13</v>
      </c>
      <c r="Q28" s="390">
        <f t="shared" si="24"/>
        <v>629228.61583959789</v>
      </c>
      <c r="R28" s="363">
        <v>8.0000000000000002E-3</v>
      </c>
      <c r="S28" s="364">
        <v>0.85</v>
      </c>
      <c r="T28" s="390">
        <f t="shared" si="25"/>
        <v>534844.32346365822</v>
      </c>
      <c r="U28" s="390">
        <f t="shared" si="26"/>
        <v>5033.8289267167829</v>
      </c>
      <c r="V28" s="391">
        <f t="shared" si="27"/>
        <v>209742.87194653263</v>
      </c>
      <c r="W28" s="392">
        <v>3</v>
      </c>
      <c r="X28" s="321">
        <v>175</v>
      </c>
      <c r="Y28" s="394">
        <v>110115.00777192962</v>
      </c>
      <c r="Z28" s="394">
        <f t="shared" si="4"/>
        <v>175</v>
      </c>
      <c r="AA28" s="394">
        <f t="shared" si="28"/>
        <v>21.875</v>
      </c>
      <c r="AB28" s="395">
        <f t="shared" si="6"/>
        <v>5.8654749055838319E-2</v>
      </c>
      <c r="AC28" s="390">
        <f>'Audience Sizing'!G8</f>
        <v>3575889</v>
      </c>
      <c r="AD28" s="475">
        <v>45435</v>
      </c>
      <c r="AE28" s="475">
        <v>45473</v>
      </c>
      <c r="AF28" s="346" t="s">
        <v>2342</v>
      </c>
      <c r="AG28" s="312"/>
      <c r="AH28" s="298"/>
      <c r="AL28" s="407"/>
      <c r="AN28" s="366">
        <v>1.43</v>
      </c>
      <c r="AO28" s="366">
        <f t="shared" si="29"/>
        <v>899.79692065062488</v>
      </c>
      <c r="AP28" s="366">
        <f t="shared" si="30"/>
        <v>44.989846032531247</v>
      </c>
      <c r="AQ28" s="389">
        <f t="shared" si="31"/>
        <v>944.78676668315609</v>
      </c>
      <c r="AR28" s="263"/>
      <c r="AS28" s="389"/>
      <c r="AT28" s="89"/>
      <c r="AU28" s="389"/>
    </row>
    <row r="29" spans="1:47" s="366" customFormat="1" x14ac:dyDescent="0.3">
      <c r="A29" s="367"/>
      <c r="B29" s="365" t="s">
        <v>99</v>
      </c>
      <c r="C29" s="362" t="s">
        <v>56</v>
      </c>
      <c r="D29" s="362" t="s">
        <v>71</v>
      </c>
      <c r="E29" s="362" t="s">
        <v>67</v>
      </c>
      <c r="F29" s="362" t="s">
        <v>72</v>
      </c>
      <c r="G29" s="362" t="s">
        <v>60</v>
      </c>
      <c r="H29" s="362" t="s">
        <v>68</v>
      </c>
      <c r="I29" s="362" t="s">
        <v>2276</v>
      </c>
      <c r="J29" s="362" t="s">
        <v>76</v>
      </c>
      <c r="K29" s="362" t="s">
        <v>2299</v>
      </c>
      <c r="L29" s="362" t="s">
        <v>152</v>
      </c>
      <c r="M29" s="362" t="s">
        <v>64</v>
      </c>
      <c r="N29" s="362" t="s">
        <v>65</v>
      </c>
      <c r="O29" s="362" t="s">
        <v>65</v>
      </c>
      <c r="P29" s="314">
        <v>13</v>
      </c>
      <c r="Q29" s="390">
        <f t="shared" si="24"/>
        <v>209742.8719465326</v>
      </c>
      <c r="R29" s="363">
        <v>3.0000000000000001E-3</v>
      </c>
      <c r="S29" s="364">
        <v>0.85</v>
      </c>
      <c r="T29" s="390">
        <f t="shared" si="25"/>
        <v>178281.44115455271</v>
      </c>
      <c r="U29" s="390">
        <f t="shared" si="26"/>
        <v>629.22861583959786</v>
      </c>
      <c r="V29" s="391">
        <f t="shared" si="27"/>
        <v>69914.290648844195</v>
      </c>
      <c r="W29" s="392">
        <v>3</v>
      </c>
      <c r="X29" s="321">
        <v>105</v>
      </c>
      <c r="Y29" s="394">
        <v>22023.001554385923</v>
      </c>
      <c r="Z29" s="394">
        <f t="shared" si="4"/>
        <v>105</v>
      </c>
      <c r="AA29" s="394">
        <f t="shared" si="28"/>
        <v>34.999999999999993</v>
      </c>
      <c r="AB29" s="395">
        <f t="shared" si="6"/>
        <v>1.9551583018612768E-2</v>
      </c>
      <c r="AC29" s="390">
        <f>'Audience Sizing'!G8</f>
        <v>3575889</v>
      </c>
      <c r="AD29" s="475">
        <v>45435</v>
      </c>
      <c r="AE29" s="475">
        <v>45473</v>
      </c>
      <c r="AF29" s="346" t="s">
        <v>2342</v>
      </c>
      <c r="AG29" s="312"/>
      <c r="AH29" s="298"/>
      <c r="AL29" s="407"/>
      <c r="AN29" s="366">
        <v>1.43</v>
      </c>
      <c r="AO29" s="366">
        <f t="shared" si="29"/>
        <v>299.93230688354157</v>
      </c>
      <c r="AP29" s="366">
        <f t="shared" si="30"/>
        <v>14.99661534417708</v>
      </c>
      <c r="AQ29" s="389">
        <f t="shared" si="31"/>
        <v>314.92892222771866</v>
      </c>
      <c r="AR29" s="263"/>
      <c r="AS29" s="389"/>
      <c r="AT29" s="89"/>
      <c r="AU29" s="389"/>
    </row>
    <row r="30" spans="1:47" s="366" customFormat="1" x14ac:dyDescent="0.3">
      <c r="A30" s="367"/>
      <c r="B30" s="365" t="s">
        <v>99</v>
      </c>
      <c r="C30" s="362" t="s">
        <v>56</v>
      </c>
      <c r="D30" s="362" t="s">
        <v>71</v>
      </c>
      <c r="E30" s="362" t="s">
        <v>67</v>
      </c>
      <c r="F30" s="362" t="s">
        <v>72</v>
      </c>
      <c r="G30" s="362" t="s">
        <v>60</v>
      </c>
      <c r="H30" s="362" t="s">
        <v>69</v>
      </c>
      <c r="I30" s="362" t="s">
        <v>2276</v>
      </c>
      <c r="J30" s="362" t="s">
        <v>76</v>
      </c>
      <c r="K30" s="362" t="s">
        <v>2334</v>
      </c>
      <c r="L30" s="362" t="s">
        <v>152</v>
      </c>
      <c r="M30" s="362" t="s">
        <v>64</v>
      </c>
      <c r="N30" s="362" t="s">
        <v>65</v>
      </c>
      <c r="O30" s="362" t="s">
        <v>65</v>
      </c>
      <c r="P30" s="314">
        <v>13</v>
      </c>
      <c r="Q30" s="390">
        <f t="shared" si="24"/>
        <v>629228.61583959789</v>
      </c>
      <c r="R30" s="363">
        <v>7.4999999999999997E-3</v>
      </c>
      <c r="S30" s="364">
        <v>0.85</v>
      </c>
      <c r="T30" s="390">
        <f t="shared" si="25"/>
        <v>534844.32346365822</v>
      </c>
      <c r="U30" s="390">
        <f t="shared" si="26"/>
        <v>4719.2146187969838</v>
      </c>
      <c r="V30" s="391">
        <f t="shared" si="27"/>
        <v>209742.87194653263</v>
      </c>
      <c r="W30" s="392">
        <v>3</v>
      </c>
      <c r="X30" s="321">
        <v>175</v>
      </c>
      <c r="Y30" s="394">
        <v>110115.00777192962</v>
      </c>
      <c r="Z30" s="394">
        <f t="shared" si="4"/>
        <v>175</v>
      </c>
      <c r="AA30" s="394">
        <f t="shared" si="28"/>
        <v>23.333333333333332</v>
      </c>
      <c r="AB30" s="395">
        <f t="shared" si="6"/>
        <v>5.8654749055838319E-2</v>
      </c>
      <c r="AC30" s="390">
        <f>'Audience Sizing'!G8</f>
        <v>3575889</v>
      </c>
      <c r="AD30" s="475">
        <v>45435</v>
      </c>
      <c r="AE30" s="475">
        <v>45473</v>
      </c>
      <c r="AF30" s="346" t="s">
        <v>2342</v>
      </c>
      <c r="AG30" s="312"/>
      <c r="AH30" s="298"/>
      <c r="AL30" s="407"/>
      <c r="AN30" s="366">
        <v>1.43</v>
      </c>
      <c r="AO30" s="366">
        <f t="shared" si="29"/>
        <v>899.79692065062488</v>
      </c>
      <c r="AP30" s="366">
        <f t="shared" si="30"/>
        <v>44.989846032531247</v>
      </c>
      <c r="AQ30" s="389">
        <f t="shared" si="31"/>
        <v>944.78676668315609</v>
      </c>
      <c r="AR30" s="263"/>
      <c r="AS30" s="389"/>
      <c r="AT30" s="89"/>
      <c r="AU30" s="389"/>
    </row>
    <row r="31" spans="1:47" s="366" customFormat="1" x14ac:dyDescent="0.3">
      <c r="A31" s="367"/>
      <c r="B31" s="368" t="s">
        <v>99</v>
      </c>
      <c r="C31" s="369" t="s">
        <v>56</v>
      </c>
      <c r="D31" s="369" t="s">
        <v>71</v>
      </c>
      <c r="E31" s="369" t="s">
        <v>67</v>
      </c>
      <c r="F31" s="369" t="s">
        <v>72</v>
      </c>
      <c r="G31" s="369" t="s">
        <v>60</v>
      </c>
      <c r="H31" s="369" t="s">
        <v>69</v>
      </c>
      <c r="I31" s="369" t="s">
        <v>2276</v>
      </c>
      <c r="J31" s="369" t="s">
        <v>76</v>
      </c>
      <c r="K31" s="369" t="s">
        <v>2300</v>
      </c>
      <c r="L31" s="369" t="s">
        <v>152</v>
      </c>
      <c r="M31" s="369" t="s">
        <v>64</v>
      </c>
      <c r="N31" s="369" t="s">
        <v>65</v>
      </c>
      <c r="O31" s="369" t="s">
        <v>65</v>
      </c>
      <c r="P31" s="314">
        <v>13</v>
      </c>
      <c r="Q31" s="396">
        <f t="shared" si="24"/>
        <v>209742.8719465326</v>
      </c>
      <c r="R31" s="370">
        <v>4.0000000000000001E-3</v>
      </c>
      <c r="S31" s="371">
        <v>0.85</v>
      </c>
      <c r="T31" s="396">
        <f t="shared" si="25"/>
        <v>178281.44115455271</v>
      </c>
      <c r="U31" s="396">
        <f t="shared" si="26"/>
        <v>838.97148778613041</v>
      </c>
      <c r="V31" s="397">
        <f t="shared" si="27"/>
        <v>69914.290648844195</v>
      </c>
      <c r="W31" s="398">
        <v>3</v>
      </c>
      <c r="X31" s="321">
        <v>105</v>
      </c>
      <c r="Y31" s="399">
        <v>22023.001554385923</v>
      </c>
      <c r="Z31" s="399">
        <f t="shared" si="4"/>
        <v>105</v>
      </c>
      <c r="AA31" s="399">
        <f t="shared" si="28"/>
        <v>26.25</v>
      </c>
      <c r="AB31" s="400">
        <f t="shared" si="6"/>
        <v>1.9551583018612768E-2</v>
      </c>
      <c r="AC31" s="390">
        <f>'Audience Sizing'!G8</f>
        <v>3575889</v>
      </c>
      <c r="AD31" s="475">
        <v>45435</v>
      </c>
      <c r="AE31" s="475">
        <v>45473</v>
      </c>
      <c r="AF31" s="346" t="s">
        <v>2342</v>
      </c>
      <c r="AG31" s="312"/>
      <c r="AH31" s="298"/>
      <c r="AL31" s="407"/>
      <c r="AN31" s="366">
        <v>1.43</v>
      </c>
      <c r="AO31" s="366">
        <f t="shared" si="29"/>
        <v>299.93230688354157</v>
      </c>
      <c r="AP31" s="366">
        <f t="shared" si="30"/>
        <v>14.99661534417708</v>
      </c>
      <c r="AQ31" s="389">
        <f t="shared" si="31"/>
        <v>314.92892222771866</v>
      </c>
      <c r="AR31" s="263"/>
      <c r="AS31" s="389"/>
      <c r="AT31" s="89"/>
      <c r="AU31" s="389"/>
    </row>
    <row r="32" spans="1:47" s="366" customFormat="1" x14ac:dyDescent="0.3">
      <c r="B32" s="423" t="s">
        <v>102</v>
      </c>
      <c r="C32" s="377"/>
      <c r="D32" s="377"/>
      <c r="E32" s="377"/>
      <c r="F32" s="377"/>
      <c r="G32" s="377"/>
      <c r="H32" s="377"/>
      <c r="I32" s="377"/>
      <c r="J32" s="377"/>
      <c r="K32" s="377"/>
      <c r="L32" s="377"/>
      <c r="M32" s="377"/>
      <c r="N32" s="377"/>
      <c r="O32" s="377"/>
      <c r="P32" s="378"/>
      <c r="Q32" s="379">
        <f>SUM(Q23:Q31)</f>
        <v>6942311.0132799624</v>
      </c>
      <c r="R32" s="380">
        <f>U32/Q32</f>
        <v>5.9679372542157496E-3</v>
      </c>
      <c r="S32" s="381">
        <f>T32/Q32</f>
        <v>0.85658421110492844</v>
      </c>
      <c r="T32" s="379">
        <f>SUM(T23:T31)</f>
        <v>5946674.0025554728</v>
      </c>
      <c r="U32" s="379">
        <f>SUM(U23:U31)</f>
        <v>41431.276526505775</v>
      </c>
      <c r="V32" s="382">
        <f>V24+V23*20%+SUM(V25:V31)*50%</f>
        <v>1030800.8054040777</v>
      </c>
      <c r="W32" s="426">
        <f>Q32/V32</f>
        <v>6.7348715453889758</v>
      </c>
      <c r="X32" s="383"/>
      <c r="Y32" s="384">
        <f>SUM(Y23:Y31)</f>
        <v>1010000.418652631</v>
      </c>
      <c r="Z32" s="384">
        <f t="shared" si="4"/>
        <v>145.48475525233584</v>
      </c>
      <c r="AA32" s="384">
        <f>Y32/U32</f>
        <v>24.377728695047097</v>
      </c>
      <c r="AB32" s="385">
        <f t="shared" si="6"/>
        <v>0.60386690416173272</v>
      </c>
      <c r="AC32" s="379">
        <f>'Audience Sizing'!C8</f>
        <v>1707000</v>
      </c>
      <c r="AD32" s="386"/>
      <c r="AE32" s="387"/>
      <c r="AF32" s="312"/>
      <c r="AG32" s="312"/>
      <c r="AL32" s="407"/>
      <c r="AR32" s="388"/>
      <c r="AS32" s="389"/>
    </row>
    <row r="33" spans="1:48" s="366" customFormat="1" x14ac:dyDescent="0.3">
      <c r="A33" s="367"/>
      <c r="B33" s="372" t="s">
        <v>95</v>
      </c>
      <c r="C33" s="373" t="s">
        <v>56</v>
      </c>
      <c r="D33" s="373" t="s">
        <v>57</v>
      </c>
      <c r="E33" s="373" t="s">
        <v>67</v>
      </c>
      <c r="F33" s="373" t="s">
        <v>75</v>
      </c>
      <c r="G33" s="373" t="s">
        <v>60</v>
      </c>
      <c r="H33" s="373" t="s">
        <v>68</v>
      </c>
      <c r="I33" s="373" t="s">
        <v>2276</v>
      </c>
      <c r="J33" s="373" t="s">
        <v>76</v>
      </c>
      <c r="K33" s="373" t="s">
        <v>2340</v>
      </c>
      <c r="L33" s="373" t="s">
        <v>152</v>
      </c>
      <c r="M33" s="373" t="s">
        <v>64</v>
      </c>
      <c r="N33" s="373" t="s">
        <v>65</v>
      </c>
      <c r="O33" s="373" t="s">
        <v>66</v>
      </c>
      <c r="P33" s="450">
        <v>14</v>
      </c>
      <c r="Q33" s="401">
        <f t="shared" ref="Q33:Q41" si="35">Y33*1000/X33</f>
        <v>1772320</v>
      </c>
      <c r="R33" s="374">
        <v>6.4999999999999997E-3</v>
      </c>
      <c r="S33" s="375">
        <v>0.85590434334133847</v>
      </c>
      <c r="T33" s="401">
        <f t="shared" ref="T33:T41" si="36">Q33*S33</f>
        <v>1516936.385790721</v>
      </c>
      <c r="U33" s="401">
        <f t="shared" ref="U33:U41" si="37">Q33*R33</f>
        <v>11520.08</v>
      </c>
      <c r="V33" s="402">
        <f t="shared" ref="V33:V41" si="38">Q33/W33</f>
        <v>506377.14285714284</v>
      </c>
      <c r="W33" s="403">
        <v>3.5</v>
      </c>
      <c r="X33" s="404">
        <v>100</v>
      </c>
      <c r="Y33" s="405">
        <v>177232</v>
      </c>
      <c r="Z33" s="405">
        <f t="shared" si="4"/>
        <v>100</v>
      </c>
      <c r="AA33" s="405">
        <f t="shared" ref="AA33:AA41" si="39">IFERROR(Y33/U33, 0)</f>
        <v>15.384615384615385</v>
      </c>
      <c r="AB33" s="406">
        <f t="shared" si="6"/>
        <v>0.25719424316880396</v>
      </c>
      <c r="AC33" s="401">
        <f>'Audience Sizing'!E7</f>
        <v>1968851</v>
      </c>
      <c r="AD33" s="474">
        <v>45434</v>
      </c>
      <c r="AE33" s="475">
        <v>45473</v>
      </c>
      <c r="AF33" s="346" t="s">
        <v>2342</v>
      </c>
      <c r="AG33" s="312"/>
      <c r="AH33" s="298"/>
      <c r="AI33" s="366">
        <v>2.13</v>
      </c>
      <c r="AJ33" s="366">
        <f>AI33*Q33/1000</f>
        <v>3775.0415999999996</v>
      </c>
      <c r="AK33" s="366">
        <f>AJ33*5%</f>
        <v>188.75207999999998</v>
      </c>
      <c r="AL33" s="407">
        <f>AJ33+AK33</f>
        <v>3963.7936799999998</v>
      </c>
      <c r="AN33" s="366">
        <v>1.43</v>
      </c>
      <c r="AO33" s="366">
        <f t="shared" ref="AO33:AO41" si="40">AN33*Q33/1000</f>
        <v>2534.4176000000002</v>
      </c>
      <c r="AP33" s="366">
        <f t="shared" ref="AP33:AP41" si="41">AO33*5%</f>
        <v>126.72088000000002</v>
      </c>
      <c r="AQ33" s="389">
        <f t="shared" ref="AQ33:AQ41" si="42">SUM(AO33:AP33)</f>
        <v>2661.1384800000001</v>
      </c>
      <c r="AR33" s="89"/>
      <c r="AS33" s="389"/>
      <c r="AT33" s="89"/>
    </row>
    <row r="34" spans="1:48" s="366" customFormat="1" x14ac:dyDescent="0.3">
      <c r="A34" s="367"/>
      <c r="B34" s="372" t="s">
        <v>95</v>
      </c>
      <c r="C34" s="362" t="s">
        <v>56</v>
      </c>
      <c r="D34" s="362" t="s">
        <v>57</v>
      </c>
      <c r="E34" s="362" t="s">
        <v>67</v>
      </c>
      <c r="F34" s="362" t="s">
        <v>75</v>
      </c>
      <c r="G34" s="362" t="s">
        <v>60</v>
      </c>
      <c r="H34" s="362" t="s">
        <v>69</v>
      </c>
      <c r="I34" s="362" t="s">
        <v>2276</v>
      </c>
      <c r="J34" s="362" t="s">
        <v>76</v>
      </c>
      <c r="K34" s="362" t="s">
        <v>2341</v>
      </c>
      <c r="L34" s="362" t="s">
        <v>152</v>
      </c>
      <c r="M34" s="362" t="s">
        <v>64</v>
      </c>
      <c r="N34" s="362" t="s">
        <v>65</v>
      </c>
      <c r="O34" s="362" t="s">
        <v>66</v>
      </c>
      <c r="P34" s="450">
        <v>14</v>
      </c>
      <c r="Q34" s="390">
        <f t="shared" si="35"/>
        <v>1605120</v>
      </c>
      <c r="R34" s="363">
        <v>6.9553596982198261E-3</v>
      </c>
      <c r="S34" s="364">
        <v>0.85791079517305968</v>
      </c>
      <c r="T34" s="390">
        <f t="shared" si="36"/>
        <v>1377049.7755481815</v>
      </c>
      <c r="U34" s="390">
        <f t="shared" si="37"/>
        <v>11164.186958806607</v>
      </c>
      <c r="V34" s="391">
        <f t="shared" si="38"/>
        <v>458605.71428571426</v>
      </c>
      <c r="W34" s="392">
        <v>3.5</v>
      </c>
      <c r="X34" s="404">
        <v>100</v>
      </c>
      <c r="Y34" s="394">
        <v>160512</v>
      </c>
      <c r="Z34" s="394">
        <f t="shared" si="4"/>
        <v>100</v>
      </c>
      <c r="AA34" s="394">
        <f t="shared" si="39"/>
        <v>14.377401649780136</v>
      </c>
      <c r="AB34" s="395">
        <f t="shared" si="6"/>
        <v>0.23293063532269037</v>
      </c>
      <c r="AC34" s="401">
        <f>'Audience Sizing'!E7</f>
        <v>1968851</v>
      </c>
      <c r="AD34" s="474">
        <v>45434</v>
      </c>
      <c r="AE34" s="475">
        <v>45473</v>
      </c>
      <c r="AF34" s="346" t="s">
        <v>2342</v>
      </c>
      <c r="AG34" s="312"/>
      <c r="AH34" s="298"/>
      <c r="AI34" s="366">
        <v>2.13</v>
      </c>
      <c r="AJ34" s="366">
        <f>AI34*Q34/1000</f>
        <v>3418.9055999999996</v>
      </c>
      <c r="AK34" s="366">
        <f>AJ34*5%</f>
        <v>170.94528</v>
      </c>
      <c r="AL34" s="407">
        <f>AJ34+AK34</f>
        <v>3589.8508799999995</v>
      </c>
      <c r="AN34" s="366">
        <v>1.43</v>
      </c>
      <c r="AO34" s="366">
        <f t="shared" si="40"/>
        <v>2295.3216000000002</v>
      </c>
      <c r="AP34" s="366">
        <f t="shared" si="41"/>
        <v>114.76608000000002</v>
      </c>
      <c r="AQ34" s="389">
        <f t="shared" si="42"/>
        <v>2410.0876800000001</v>
      </c>
      <c r="AR34" s="89"/>
      <c r="AS34" s="389"/>
      <c r="AT34" s="89"/>
    </row>
    <row r="35" spans="1:48" s="366" customFormat="1" x14ac:dyDescent="0.3">
      <c r="A35" s="367"/>
      <c r="B35" s="528" t="s">
        <v>95</v>
      </c>
      <c r="C35" s="492" t="s">
        <v>56</v>
      </c>
      <c r="D35" s="492" t="s">
        <v>57</v>
      </c>
      <c r="E35" s="492" t="s">
        <v>58</v>
      </c>
      <c r="F35" s="492" t="s">
        <v>75</v>
      </c>
      <c r="G35" s="492" t="s">
        <v>60</v>
      </c>
      <c r="H35" s="492" t="s">
        <v>61</v>
      </c>
      <c r="I35" s="492" t="s">
        <v>2276</v>
      </c>
      <c r="J35" s="492" t="s">
        <v>76</v>
      </c>
      <c r="K35" s="492" t="s">
        <v>312</v>
      </c>
      <c r="L35" s="492" t="s">
        <v>77</v>
      </c>
      <c r="M35" s="492" t="s">
        <v>64</v>
      </c>
      <c r="N35" s="492" t="s">
        <v>65</v>
      </c>
      <c r="O35" s="492" t="s">
        <v>66</v>
      </c>
      <c r="P35" s="494">
        <v>13</v>
      </c>
      <c r="Q35" s="495">
        <f t="shared" si="35"/>
        <v>1025351.1450381679</v>
      </c>
      <c r="R35" s="496"/>
      <c r="S35" s="497">
        <v>0.75</v>
      </c>
      <c r="T35" s="495">
        <f t="shared" si="36"/>
        <v>769013.35877862596</v>
      </c>
      <c r="U35" s="495">
        <f t="shared" si="37"/>
        <v>0</v>
      </c>
      <c r="V35" s="502">
        <f t="shared" si="38"/>
        <v>256337.78625954199</v>
      </c>
      <c r="W35" s="498">
        <v>4</v>
      </c>
      <c r="X35" s="499">
        <v>131</v>
      </c>
      <c r="Y35" s="500">
        <v>134321</v>
      </c>
      <c r="Z35" s="500">
        <f t="shared" si="4"/>
        <v>131</v>
      </c>
      <c r="AA35" s="500">
        <f t="shared" si="39"/>
        <v>0</v>
      </c>
      <c r="AB35" s="501">
        <f t="shared" si="6"/>
        <v>0.33169144983248622</v>
      </c>
      <c r="AC35" s="504">
        <f>'Audience Sizing'!F7</f>
        <v>772820</v>
      </c>
      <c r="AD35" s="526">
        <v>45460</v>
      </c>
      <c r="AE35" s="527">
        <v>45473</v>
      </c>
      <c r="AF35" s="346"/>
      <c r="AG35" s="312"/>
      <c r="AH35" s="298"/>
      <c r="AI35" s="366">
        <v>2.13</v>
      </c>
      <c r="AJ35" s="366">
        <f>AI35*Q35/1000</f>
        <v>2183.9979389312975</v>
      </c>
      <c r="AK35" s="366">
        <f>AJ35*5%</f>
        <v>109.19989694656488</v>
      </c>
      <c r="AL35" s="407">
        <f>AJ35+AK35</f>
        <v>2293.1978358778624</v>
      </c>
      <c r="AN35" s="366">
        <v>1.43</v>
      </c>
      <c r="AO35" s="366">
        <f t="shared" si="40"/>
        <v>1466.25213740458</v>
      </c>
      <c r="AP35" s="366">
        <f t="shared" si="41"/>
        <v>73.312606870229004</v>
      </c>
      <c r="AQ35" s="389">
        <f t="shared" si="42"/>
        <v>1539.5647442748091</v>
      </c>
      <c r="AR35" s="89"/>
      <c r="AS35" s="389"/>
      <c r="AT35" s="89"/>
    </row>
    <row r="36" spans="1:48" s="366" customFormat="1" x14ac:dyDescent="0.3">
      <c r="A36" s="367"/>
      <c r="B36" s="528" t="s">
        <v>95</v>
      </c>
      <c r="C36" s="492" t="s">
        <v>56</v>
      </c>
      <c r="D36" s="492" t="s">
        <v>71</v>
      </c>
      <c r="E36" s="492" t="s">
        <v>58</v>
      </c>
      <c r="F36" s="492" t="s">
        <v>72</v>
      </c>
      <c r="G36" s="492" t="s">
        <v>60</v>
      </c>
      <c r="H36" s="492" t="s">
        <v>61</v>
      </c>
      <c r="I36" s="492" t="s">
        <v>2276</v>
      </c>
      <c r="J36" s="492" t="s">
        <v>76</v>
      </c>
      <c r="K36" s="492" t="s">
        <v>2353</v>
      </c>
      <c r="L36" s="492" t="s">
        <v>152</v>
      </c>
      <c r="M36" s="492" t="s">
        <v>64</v>
      </c>
      <c r="N36" s="492" t="s">
        <v>65</v>
      </c>
      <c r="O36" s="492" t="s">
        <v>66</v>
      </c>
      <c r="P36" s="494"/>
      <c r="Q36" s="495">
        <f t="shared" si="35"/>
        <v>596982.22222222225</v>
      </c>
      <c r="R36" s="496">
        <v>0</v>
      </c>
      <c r="S36" s="497">
        <v>0.85</v>
      </c>
      <c r="T36" s="495">
        <f t="shared" si="36"/>
        <v>507434.88888888888</v>
      </c>
      <c r="U36" s="495">
        <f t="shared" si="37"/>
        <v>0</v>
      </c>
      <c r="V36" s="502">
        <f t="shared" si="38"/>
        <v>99497.037037037036</v>
      </c>
      <c r="W36" s="498">
        <v>6</v>
      </c>
      <c r="X36" s="499">
        <v>225</v>
      </c>
      <c r="Y36" s="500">
        <v>134321</v>
      </c>
      <c r="Z36" s="500">
        <f t="shared" si="4"/>
        <v>224.99999999999997</v>
      </c>
      <c r="AA36" s="500">
        <f t="shared" si="39"/>
        <v>0</v>
      </c>
      <c r="AB36" s="501">
        <f t="shared" si="6"/>
        <v>2.2323758669400874E-2</v>
      </c>
      <c r="AC36" s="504">
        <f>'Audience Sizing'!G7</f>
        <v>4457002</v>
      </c>
      <c r="AD36" s="526">
        <v>45460</v>
      </c>
      <c r="AE36" s="527">
        <v>45473</v>
      </c>
      <c r="AF36" s="346"/>
      <c r="AG36" s="312"/>
      <c r="AH36" s="298"/>
      <c r="AL36" s="407"/>
      <c r="AN36" s="366">
        <v>1.43</v>
      </c>
      <c r="AO36" s="366">
        <f t="shared" si="40"/>
        <v>853.6845777777778</v>
      </c>
      <c r="AP36" s="366">
        <f t="shared" si="41"/>
        <v>42.684228888888896</v>
      </c>
      <c r="AQ36" s="389">
        <f t="shared" si="42"/>
        <v>896.36880666666673</v>
      </c>
      <c r="AR36" s="89"/>
      <c r="AS36" s="389"/>
      <c r="AT36" s="89"/>
    </row>
    <row r="37" spans="1:48" s="366" customFormat="1" x14ac:dyDescent="0.3">
      <c r="A37" s="367"/>
      <c r="B37" s="528" t="s">
        <v>95</v>
      </c>
      <c r="C37" s="492" t="s">
        <v>56</v>
      </c>
      <c r="D37" s="492" t="s">
        <v>299</v>
      </c>
      <c r="E37" s="492" t="s">
        <v>79</v>
      </c>
      <c r="F37" s="492" t="s">
        <v>383</v>
      </c>
      <c r="G37" s="492" t="s">
        <v>2338</v>
      </c>
      <c r="H37" s="492" t="s">
        <v>61</v>
      </c>
      <c r="I37" s="492" t="s">
        <v>2276</v>
      </c>
      <c r="J37" s="492" t="s">
        <v>76</v>
      </c>
      <c r="K37" s="492" t="s">
        <v>312</v>
      </c>
      <c r="L37" s="492" t="s">
        <v>152</v>
      </c>
      <c r="M37" s="492" t="s">
        <v>64</v>
      </c>
      <c r="N37" s="492" t="s">
        <v>65</v>
      </c>
      <c r="O37" s="492" t="s">
        <v>65</v>
      </c>
      <c r="P37" s="494"/>
      <c r="Q37" s="495">
        <f t="shared" si="35"/>
        <v>748440.74844074843</v>
      </c>
      <c r="R37" s="496">
        <v>1.2E-2</v>
      </c>
      <c r="S37" s="497">
        <v>1</v>
      </c>
      <c r="T37" s="495">
        <f t="shared" si="36"/>
        <v>748440.74844074843</v>
      </c>
      <c r="U37" s="495">
        <f t="shared" si="37"/>
        <v>8981.2889812889807</v>
      </c>
      <c r="V37" s="502">
        <f t="shared" si="38"/>
        <v>187110.18711018711</v>
      </c>
      <c r="W37" s="498">
        <v>4</v>
      </c>
      <c r="X37" s="503">
        <v>240.5</v>
      </c>
      <c r="Y37" s="500">
        <v>180000</v>
      </c>
      <c r="Z37" s="500">
        <f t="shared" si="4"/>
        <v>240.5</v>
      </c>
      <c r="AA37" s="500">
        <f t="shared" si="39"/>
        <v>20.041666666666668</v>
      </c>
      <c r="AB37" s="501"/>
      <c r="AC37" s="504"/>
      <c r="AD37" s="526">
        <v>45460</v>
      </c>
      <c r="AE37" s="527">
        <v>45473</v>
      </c>
      <c r="AF37" s="346"/>
      <c r="AG37" s="312"/>
      <c r="AH37" s="298"/>
      <c r="AL37" s="407"/>
      <c r="AN37" s="366">
        <v>1.43</v>
      </c>
      <c r="AO37" s="366">
        <f t="shared" ref="AO37" si="43">AN37*Q37/1000</f>
        <v>1070.2702702702702</v>
      </c>
      <c r="AP37" s="366">
        <f t="shared" ref="AP37" si="44">AO37*5%</f>
        <v>53.513513513513516</v>
      </c>
      <c r="AQ37" s="389">
        <f t="shared" ref="AQ37" si="45">SUM(AO37:AP37)</f>
        <v>1123.7837837837837</v>
      </c>
      <c r="AR37" s="89"/>
      <c r="AS37" s="389"/>
      <c r="AT37" s="89"/>
    </row>
    <row r="38" spans="1:48" s="366" customFormat="1" x14ac:dyDescent="0.3">
      <c r="A38" s="367"/>
      <c r="B38" s="372" t="s">
        <v>95</v>
      </c>
      <c r="C38" s="362" t="s">
        <v>56</v>
      </c>
      <c r="D38" s="362" t="s">
        <v>71</v>
      </c>
      <c r="E38" s="362" t="s">
        <v>67</v>
      </c>
      <c r="F38" s="362" t="s">
        <v>72</v>
      </c>
      <c r="G38" s="362" t="s">
        <v>60</v>
      </c>
      <c r="H38" s="362" t="s">
        <v>68</v>
      </c>
      <c r="I38" s="362" t="s">
        <v>2276</v>
      </c>
      <c r="J38" s="362" t="s">
        <v>76</v>
      </c>
      <c r="K38" s="362" t="s">
        <v>2298</v>
      </c>
      <c r="L38" s="362" t="s">
        <v>152</v>
      </c>
      <c r="M38" s="362" t="s">
        <v>64</v>
      </c>
      <c r="N38" s="362" t="s">
        <v>65</v>
      </c>
      <c r="O38" s="362" t="s">
        <v>65</v>
      </c>
      <c r="P38" s="314">
        <v>13</v>
      </c>
      <c r="Q38" s="390">
        <f t="shared" si="35"/>
        <v>740268.95981129142</v>
      </c>
      <c r="R38" s="363">
        <v>8.0000000000000002E-3</v>
      </c>
      <c r="S38" s="364">
        <v>0.85</v>
      </c>
      <c r="T38" s="390">
        <f t="shared" si="36"/>
        <v>629228.61583959765</v>
      </c>
      <c r="U38" s="390">
        <f t="shared" si="37"/>
        <v>5922.1516784903315</v>
      </c>
      <c r="V38" s="391">
        <f t="shared" si="38"/>
        <v>246756.31993709714</v>
      </c>
      <c r="W38" s="392">
        <v>3</v>
      </c>
      <c r="X38" s="321">
        <v>175</v>
      </c>
      <c r="Y38" s="394">
        <v>129547.067966976</v>
      </c>
      <c r="Z38" s="394">
        <f t="shared" si="4"/>
        <v>175</v>
      </c>
      <c r="AA38" s="394">
        <f t="shared" si="39"/>
        <v>21.875</v>
      </c>
      <c r="AB38" s="395">
        <f t="shared" si="6"/>
        <v>5.5363744493966381E-2</v>
      </c>
      <c r="AC38" s="401">
        <f>'Audience Sizing'!G7</f>
        <v>4457002</v>
      </c>
      <c r="AD38" s="475">
        <v>45435</v>
      </c>
      <c r="AE38" s="475">
        <v>45473</v>
      </c>
      <c r="AF38" s="346" t="s">
        <v>2342</v>
      </c>
      <c r="AG38" s="312"/>
      <c r="AH38" s="298"/>
      <c r="AN38" s="366">
        <v>1.43</v>
      </c>
      <c r="AO38" s="366">
        <f t="shared" si="40"/>
        <v>1058.5846125301466</v>
      </c>
      <c r="AP38" s="366">
        <f t="shared" si="41"/>
        <v>52.929230626507334</v>
      </c>
      <c r="AQ38" s="389">
        <f t="shared" si="42"/>
        <v>1111.513843156654</v>
      </c>
      <c r="AR38" s="263"/>
      <c r="AS38" s="389"/>
      <c r="AT38" s="89"/>
    </row>
    <row r="39" spans="1:48" s="366" customFormat="1" x14ac:dyDescent="0.3">
      <c r="A39" s="367"/>
      <c r="B39" s="372" t="s">
        <v>95</v>
      </c>
      <c r="C39" s="362" t="s">
        <v>56</v>
      </c>
      <c r="D39" s="362" t="s">
        <v>71</v>
      </c>
      <c r="E39" s="362" t="s">
        <v>67</v>
      </c>
      <c r="F39" s="362" t="s">
        <v>72</v>
      </c>
      <c r="G39" s="362" t="s">
        <v>60</v>
      </c>
      <c r="H39" s="362" t="s">
        <v>68</v>
      </c>
      <c r="I39" s="362" t="s">
        <v>2276</v>
      </c>
      <c r="J39" s="362" t="s">
        <v>76</v>
      </c>
      <c r="K39" s="362" t="s">
        <v>2299</v>
      </c>
      <c r="L39" s="362" t="s">
        <v>152</v>
      </c>
      <c r="M39" s="362" t="s">
        <v>64</v>
      </c>
      <c r="N39" s="362" t="s">
        <v>65</v>
      </c>
      <c r="O39" s="362" t="s">
        <v>65</v>
      </c>
      <c r="P39" s="314">
        <v>13</v>
      </c>
      <c r="Q39" s="390">
        <f t="shared" si="35"/>
        <v>246756.31993709717</v>
      </c>
      <c r="R39" s="363">
        <v>4.0000000000000001E-3</v>
      </c>
      <c r="S39" s="364">
        <v>0.85</v>
      </c>
      <c r="T39" s="390">
        <f t="shared" si="36"/>
        <v>209742.8719465326</v>
      </c>
      <c r="U39" s="390">
        <f t="shared" si="37"/>
        <v>987.0252797483887</v>
      </c>
      <c r="V39" s="391">
        <f t="shared" si="38"/>
        <v>82252.106645699052</v>
      </c>
      <c r="W39" s="392">
        <v>3</v>
      </c>
      <c r="X39" s="321">
        <v>105</v>
      </c>
      <c r="Y39" s="394">
        <v>25909.413593395202</v>
      </c>
      <c r="Z39" s="394">
        <f t="shared" ref="Z39:Z72" si="46">Y39/Q39*1000</f>
        <v>105</v>
      </c>
      <c r="AA39" s="394">
        <f t="shared" si="39"/>
        <v>26.25</v>
      </c>
      <c r="AB39" s="395">
        <f t="shared" ref="AB39:AB72" si="47">V39/AC39</f>
        <v>1.8454581497988794E-2</v>
      </c>
      <c r="AC39" s="401">
        <f>'Audience Sizing'!G7</f>
        <v>4457002</v>
      </c>
      <c r="AD39" s="475">
        <v>45435</v>
      </c>
      <c r="AE39" s="475">
        <v>45473</v>
      </c>
      <c r="AF39" s="346" t="s">
        <v>2342</v>
      </c>
      <c r="AG39" s="312"/>
      <c r="AH39" s="298"/>
      <c r="AN39" s="366">
        <v>1.43</v>
      </c>
      <c r="AO39" s="366">
        <f t="shared" si="40"/>
        <v>352.86153751004895</v>
      </c>
      <c r="AP39" s="366">
        <f t="shared" si="41"/>
        <v>17.643076875502448</v>
      </c>
      <c r="AQ39" s="389">
        <f t="shared" si="42"/>
        <v>370.50461438555141</v>
      </c>
      <c r="AR39" s="263"/>
      <c r="AS39" s="389"/>
      <c r="AT39" s="89"/>
    </row>
    <row r="40" spans="1:48" s="366" customFormat="1" x14ac:dyDescent="0.3">
      <c r="A40" s="367"/>
      <c r="B40" s="372" t="s">
        <v>95</v>
      </c>
      <c r="C40" s="362" t="s">
        <v>56</v>
      </c>
      <c r="D40" s="362" t="s">
        <v>71</v>
      </c>
      <c r="E40" s="362" t="s">
        <v>67</v>
      </c>
      <c r="F40" s="362" t="s">
        <v>72</v>
      </c>
      <c r="G40" s="362" t="s">
        <v>60</v>
      </c>
      <c r="H40" s="362" t="s">
        <v>69</v>
      </c>
      <c r="I40" s="362" t="s">
        <v>2276</v>
      </c>
      <c r="J40" s="362" t="s">
        <v>76</v>
      </c>
      <c r="K40" s="362" t="s">
        <v>2334</v>
      </c>
      <c r="L40" s="362" t="s">
        <v>152</v>
      </c>
      <c r="M40" s="362" t="s">
        <v>64</v>
      </c>
      <c r="N40" s="362" t="s">
        <v>65</v>
      </c>
      <c r="O40" s="362" t="s">
        <v>65</v>
      </c>
      <c r="P40" s="314">
        <v>13</v>
      </c>
      <c r="Q40" s="390">
        <f t="shared" si="35"/>
        <v>740268.95981129142</v>
      </c>
      <c r="R40" s="363">
        <v>7.4999999999999997E-3</v>
      </c>
      <c r="S40" s="364">
        <v>0.85</v>
      </c>
      <c r="T40" s="390">
        <f t="shared" si="36"/>
        <v>629228.61583959765</v>
      </c>
      <c r="U40" s="390">
        <f t="shared" si="37"/>
        <v>5552.0171985846855</v>
      </c>
      <c r="V40" s="391">
        <f t="shared" si="38"/>
        <v>246756.31993709714</v>
      </c>
      <c r="W40" s="392">
        <v>3</v>
      </c>
      <c r="X40" s="321">
        <v>175</v>
      </c>
      <c r="Y40" s="394">
        <v>129547.067966976</v>
      </c>
      <c r="Z40" s="394">
        <f t="shared" si="46"/>
        <v>175</v>
      </c>
      <c r="AA40" s="394">
        <f t="shared" si="39"/>
        <v>23.333333333333336</v>
      </c>
      <c r="AB40" s="395">
        <f t="shared" si="47"/>
        <v>5.5363744493966381E-2</v>
      </c>
      <c r="AC40" s="401">
        <f>'Audience Sizing'!G7</f>
        <v>4457002</v>
      </c>
      <c r="AD40" s="475">
        <v>45435</v>
      </c>
      <c r="AE40" s="475">
        <v>45473</v>
      </c>
      <c r="AF40" s="346" t="s">
        <v>2342</v>
      </c>
      <c r="AG40" s="312"/>
      <c r="AH40" s="298"/>
      <c r="AN40" s="366">
        <v>1.43</v>
      </c>
      <c r="AO40" s="366">
        <f t="shared" si="40"/>
        <v>1058.5846125301466</v>
      </c>
      <c r="AP40" s="366">
        <f t="shared" si="41"/>
        <v>52.929230626507334</v>
      </c>
      <c r="AQ40" s="389">
        <f t="shared" si="42"/>
        <v>1111.513843156654</v>
      </c>
      <c r="AR40" s="263"/>
      <c r="AS40" s="389"/>
      <c r="AT40" s="89"/>
    </row>
    <row r="41" spans="1:48" s="366" customFormat="1" x14ac:dyDescent="0.3">
      <c r="A41" s="367"/>
      <c r="B41" s="372" t="s">
        <v>95</v>
      </c>
      <c r="C41" s="362" t="s">
        <v>56</v>
      </c>
      <c r="D41" s="362" t="s">
        <v>71</v>
      </c>
      <c r="E41" s="362" t="s">
        <v>67</v>
      </c>
      <c r="F41" s="362" t="s">
        <v>72</v>
      </c>
      <c r="G41" s="362" t="s">
        <v>60</v>
      </c>
      <c r="H41" s="362" t="s">
        <v>69</v>
      </c>
      <c r="I41" s="362" t="s">
        <v>2276</v>
      </c>
      <c r="J41" s="362" t="s">
        <v>76</v>
      </c>
      <c r="K41" s="362" t="s">
        <v>2300</v>
      </c>
      <c r="L41" s="362" t="s">
        <v>152</v>
      </c>
      <c r="M41" s="362" t="s">
        <v>64</v>
      </c>
      <c r="N41" s="362" t="s">
        <v>65</v>
      </c>
      <c r="O41" s="362" t="s">
        <v>65</v>
      </c>
      <c r="P41" s="314">
        <v>13</v>
      </c>
      <c r="Q41" s="390">
        <f t="shared" si="35"/>
        <v>246756.31993709717</v>
      </c>
      <c r="R41" s="363">
        <v>4.0000000000000001E-3</v>
      </c>
      <c r="S41" s="364">
        <v>0.85</v>
      </c>
      <c r="T41" s="390">
        <f t="shared" si="36"/>
        <v>209742.8719465326</v>
      </c>
      <c r="U41" s="390">
        <f t="shared" si="37"/>
        <v>987.0252797483887</v>
      </c>
      <c r="V41" s="391">
        <f t="shared" si="38"/>
        <v>82252.106645699052</v>
      </c>
      <c r="W41" s="392">
        <v>3</v>
      </c>
      <c r="X41" s="321">
        <v>105</v>
      </c>
      <c r="Y41" s="394">
        <v>25909.413593395202</v>
      </c>
      <c r="Z41" s="394">
        <f t="shared" si="46"/>
        <v>105</v>
      </c>
      <c r="AA41" s="394">
        <f t="shared" si="39"/>
        <v>26.25</v>
      </c>
      <c r="AB41" s="395">
        <f t="shared" si="47"/>
        <v>1.8454581497988794E-2</v>
      </c>
      <c r="AC41" s="401">
        <f>'Audience Sizing'!G7</f>
        <v>4457002</v>
      </c>
      <c r="AD41" s="475">
        <v>45435</v>
      </c>
      <c r="AE41" s="475">
        <v>45473</v>
      </c>
      <c r="AF41" s="346" t="s">
        <v>2342</v>
      </c>
      <c r="AG41" s="312"/>
      <c r="AH41" s="298"/>
      <c r="AN41" s="366">
        <v>1.43</v>
      </c>
      <c r="AO41" s="366">
        <f t="shared" si="40"/>
        <v>352.86153751004895</v>
      </c>
      <c r="AP41" s="366">
        <f t="shared" si="41"/>
        <v>17.643076875502448</v>
      </c>
      <c r="AQ41" s="389">
        <f t="shared" si="42"/>
        <v>370.50461438555141</v>
      </c>
      <c r="AR41" s="263"/>
      <c r="AS41" s="389"/>
      <c r="AT41" s="89"/>
    </row>
    <row r="42" spans="1:48" s="366" customFormat="1" x14ac:dyDescent="0.3">
      <c r="A42" s="367"/>
      <c r="B42" s="422" t="s">
        <v>98</v>
      </c>
      <c r="C42" s="377"/>
      <c r="D42" s="377"/>
      <c r="E42" s="377"/>
      <c r="F42" s="377"/>
      <c r="G42" s="377"/>
      <c r="H42" s="377"/>
      <c r="I42" s="377"/>
      <c r="J42" s="377"/>
      <c r="K42" s="377"/>
      <c r="L42" s="377"/>
      <c r="M42" s="377"/>
      <c r="N42" s="377"/>
      <c r="O42" s="377"/>
      <c r="P42" s="378"/>
      <c r="Q42" s="379">
        <f>SUM(Q33:Q41)</f>
        <v>7722264.6751979152</v>
      </c>
      <c r="R42" s="380">
        <f>U42/Q42</f>
        <v>5.8420395148539965E-3</v>
      </c>
      <c r="S42" s="381">
        <f>T42/Q42</f>
        <v>0.85425952236613223</v>
      </c>
      <c r="T42" s="379">
        <f>SUM(T33:T41)</f>
        <v>6596818.1330194259</v>
      </c>
      <c r="U42" s="379">
        <f>SUM(U33:U41)</f>
        <v>45113.775376667385</v>
      </c>
      <c r="V42" s="382">
        <f>V34+V33*20%+SUM(V35:V41)*50%</f>
        <v>1160362.0746433223</v>
      </c>
      <c r="W42" s="426">
        <f>Q42/V42</f>
        <v>6.6550474579855798</v>
      </c>
      <c r="X42" s="383"/>
      <c r="Y42" s="384">
        <f>SUM(Y33:Y41)</f>
        <v>1097298.9631207422</v>
      </c>
      <c r="Z42" s="384">
        <f t="shared" si="46"/>
        <v>142.09548743453541</v>
      </c>
      <c r="AA42" s="384">
        <f>Y42/U42</f>
        <v>24.322924737712366</v>
      </c>
      <c r="AB42" s="385">
        <f t="shared" si="47"/>
        <v>0.5845652768983991</v>
      </c>
      <c r="AC42" s="379">
        <f>'Audience Sizing'!C7</f>
        <v>1985000</v>
      </c>
      <c r="AD42" s="386"/>
      <c r="AE42" s="387"/>
      <c r="AF42" s="376"/>
      <c r="AG42" s="312"/>
    </row>
    <row r="43" spans="1:48" s="366" customFormat="1" x14ac:dyDescent="0.3">
      <c r="B43" s="313" t="s">
        <v>179</v>
      </c>
      <c r="C43" s="313" t="s">
        <v>56</v>
      </c>
      <c r="D43" s="313" t="s">
        <v>57</v>
      </c>
      <c r="E43" s="313" t="s">
        <v>67</v>
      </c>
      <c r="F43" s="313" t="s">
        <v>75</v>
      </c>
      <c r="G43" s="313" t="s">
        <v>60</v>
      </c>
      <c r="H43" s="313" t="s">
        <v>68</v>
      </c>
      <c r="I43" s="313" t="s">
        <v>2276</v>
      </c>
      <c r="J43" s="313" t="s">
        <v>76</v>
      </c>
      <c r="K43" s="313" t="s">
        <v>2340</v>
      </c>
      <c r="L43" s="313" t="s">
        <v>152</v>
      </c>
      <c r="M43" s="313" t="s">
        <v>64</v>
      </c>
      <c r="N43" s="313" t="s">
        <v>65</v>
      </c>
      <c r="O43" s="313" t="s">
        <v>66</v>
      </c>
      <c r="P43" s="450">
        <v>14</v>
      </c>
      <c r="Q43" s="315">
        <f t="shared" ref="Q43:Q51" si="48">Y43*1000/X43</f>
        <v>766408.64864864864</v>
      </c>
      <c r="R43" s="316">
        <v>6.4999999999999997E-3</v>
      </c>
      <c r="S43" s="317">
        <v>0.85590434334133847</v>
      </c>
      <c r="T43" s="315">
        <f t="shared" ref="T43:T51" si="49">Q43*S43</f>
        <v>655972.49115274416</v>
      </c>
      <c r="U43" s="315">
        <f t="shared" ref="U43:U51" si="50">Q43*R43</f>
        <v>4981.6562162162163</v>
      </c>
      <c r="V43" s="472">
        <f t="shared" ref="V43:V51" si="51">Q43/W43</f>
        <v>218973.89961389962</v>
      </c>
      <c r="W43" s="318">
        <v>3.5</v>
      </c>
      <c r="X43" s="321">
        <v>111</v>
      </c>
      <c r="Y43" s="319">
        <v>85071.360000000001</v>
      </c>
      <c r="Z43" s="319">
        <f t="shared" si="46"/>
        <v>111</v>
      </c>
      <c r="AA43" s="319">
        <f t="shared" ref="AA43:AA51" si="52">IFERROR(Y43/U43, 0)</f>
        <v>17.076923076923077</v>
      </c>
      <c r="AB43" s="473">
        <f t="shared" si="47"/>
        <v>9.756768177394895E-2</v>
      </c>
      <c r="AC43" s="315">
        <f>'Audience Sizing'!E13</f>
        <v>2244328.1999999997</v>
      </c>
      <c r="AD43" s="474">
        <v>45434</v>
      </c>
      <c r="AE43" s="475">
        <v>45473</v>
      </c>
      <c r="AF43" s="346" t="s">
        <v>2342</v>
      </c>
      <c r="AG43" s="312"/>
      <c r="AH43" s="298"/>
      <c r="AI43" s="366">
        <v>2.13</v>
      </c>
      <c r="AJ43" s="366">
        <f>AI43*Q43/1000</f>
        <v>1632.4504216216217</v>
      </c>
      <c r="AK43" s="366">
        <f>AJ43*5%</f>
        <v>81.622521081081089</v>
      </c>
      <c r="AL43" s="389">
        <f>AJ43+AK43</f>
        <v>1714.0729427027027</v>
      </c>
      <c r="AN43" s="366">
        <v>1.43</v>
      </c>
      <c r="AO43" s="366">
        <f t="shared" ref="AO43:AO51" si="53">AN43*Q43/1000</f>
        <v>1095.9643675675677</v>
      </c>
      <c r="AP43" s="366">
        <f t="shared" ref="AP43:AP51" si="54">AO43*5%</f>
        <v>54.798218378378387</v>
      </c>
      <c r="AQ43" s="389">
        <f t="shared" ref="AQ43:AQ51" si="55">SUM(AO43:AP43)</f>
        <v>1150.7625859459461</v>
      </c>
      <c r="AR43" s="89"/>
      <c r="AS43" s="430"/>
      <c r="AU43" s="430"/>
      <c r="AV43" s="389"/>
    </row>
    <row r="44" spans="1:48" s="366" customFormat="1" x14ac:dyDescent="0.3">
      <c r="B44" s="313" t="s">
        <v>179</v>
      </c>
      <c r="C44" s="313" t="s">
        <v>56</v>
      </c>
      <c r="D44" s="313" t="s">
        <v>57</v>
      </c>
      <c r="E44" s="313" t="s">
        <v>67</v>
      </c>
      <c r="F44" s="313" t="s">
        <v>75</v>
      </c>
      <c r="G44" s="313" t="s">
        <v>60</v>
      </c>
      <c r="H44" s="313" t="s">
        <v>69</v>
      </c>
      <c r="I44" s="313" t="s">
        <v>2276</v>
      </c>
      <c r="J44" s="313" t="s">
        <v>76</v>
      </c>
      <c r="K44" s="313" t="s">
        <v>2341</v>
      </c>
      <c r="L44" s="313" t="s">
        <v>152</v>
      </c>
      <c r="M44" s="313" t="s">
        <v>64</v>
      </c>
      <c r="N44" s="313" t="s">
        <v>65</v>
      </c>
      <c r="O44" s="313" t="s">
        <v>66</v>
      </c>
      <c r="P44" s="450">
        <v>14</v>
      </c>
      <c r="Q44" s="315">
        <f t="shared" si="48"/>
        <v>694105.94594594592</v>
      </c>
      <c r="R44" s="316">
        <v>6.3E-3</v>
      </c>
      <c r="S44" s="317">
        <v>0.85791079517305968</v>
      </c>
      <c r="T44" s="315">
        <f t="shared" si="49"/>
        <v>595480.98402083525</v>
      </c>
      <c r="U44" s="315">
        <f t="shared" si="50"/>
        <v>4372.8674594594595</v>
      </c>
      <c r="V44" s="472">
        <f t="shared" si="51"/>
        <v>198315.98455598456</v>
      </c>
      <c r="W44" s="318">
        <v>3.5</v>
      </c>
      <c r="X44" s="321">
        <v>111</v>
      </c>
      <c r="Y44" s="319">
        <v>77045.759999999995</v>
      </c>
      <c r="Z44" s="319">
        <f t="shared" si="46"/>
        <v>111</v>
      </c>
      <c r="AA44" s="319">
        <f t="shared" si="52"/>
        <v>17.619047619047617</v>
      </c>
      <c r="AB44" s="473">
        <f t="shared" si="47"/>
        <v>8.8363183493387717E-2</v>
      </c>
      <c r="AC44" s="315">
        <f>'Audience Sizing'!$E13</f>
        <v>2244328.1999999997</v>
      </c>
      <c r="AD44" s="474">
        <v>45434</v>
      </c>
      <c r="AE44" s="475">
        <v>45473</v>
      </c>
      <c r="AF44" s="346" t="s">
        <v>2342</v>
      </c>
      <c r="AG44" s="312"/>
      <c r="AH44" s="298"/>
      <c r="AI44" s="366">
        <v>2.13</v>
      </c>
      <c r="AJ44" s="366">
        <f>AI44*Q44/1000</f>
        <v>1478.4456648648647</v>
      </c>
      <c r="AK44" s="366">
        <f>AJ44*5%</f>
        <v>73.922283243243243</v>
      </c>
      <c r="AL44" s="389">
        <f>AJ44+AK44</f>
        <v>1552.3679481081081</v>
      </c>
      <c r="AN44" s="366">
        <v>1.43</v>
      </c>
      <c r="AO44" s="366">
        <f t="shared" si="53"/>
        <v>992.57150270270267</v>
      </c>
      <c r="AP44" s="366">
        <f t="shared" si="54"/>
        <v>49.628575135135137</v>
      </c>
      <c r="AQ44" s="389">
        <f t="shared" si="55"/>
        <v>1042.2000778378379</v>
      </c>
      <c r="AR44" s="89"/>
      <c r="AV44" s="389"/>
    </row>
    <row r="45" spans="1:48" s="366" customFormat="1" x14ac:dyDescent="0.3">
      <c r="B45" s="313" t="s">
        <v>179</v>
      </c>
      <c r="C45" s="313" t="s">
        <v>56</v>
      </c>
      <c r="D45" s="313" t="s">
        <v>57</v>
      </c>
      <c r="E45" s="313" t="s">
        <v>58</v>
      </c>
      <c r="F45" s="313" t="s">
        <v>75</v>
      </c>
      <c r="G45" s="313" t="s">
        <v>60</v>
      </c>
      <c r="H45" s="313" t="s">
        <v>61</v>
      </c>
      <c r="I45" s="313" t="s">
        <v>2276</v>
      </c>
      <c r="J45" s="313" t="s">
        <v>76</v>
      </c>
      <c r="K45" s="476" t="s">
        <v>312</v>
      </c>
      <c r="L45" s="313" t="s">
        <v>77</v>
      </c>
      <c r="M45" s="313" t="s">
        <v>64</v>
      </c>
      <c r="N45" s="313" t="s">
        <v>65</v>
      </c>
      <c r="O45" s="313" t="s">
        <v>66</v>
      </c>
      <c r="P45" s="314">
        <v>13</v>
      </c>
      <c r="Q45" s="315">
        <f t="shared" si="48"/>
        <v>689057.40335877857</v>
      </c>
      <c r="R45" s="316"/>
      <c r="S45" s="317">
        <v>0.75</v>
      </c>
      <c r="T45" s="315">
        <f t="shared" si="49"/>
        <v>516793.05251908395</v>
      </c>
      <c r="U45" s="315">
        <f t="shared" si="50"/>
        <v>0</v>
      </c>
      <c r="V45" s="472">
        <f t="shared" si="51"/>
        <v>172264.35083969464</v>
      </c>
      <c r="W45" s="318">
        <v>4</v>
      </c>
      <c r="X45" s="499">
        <v>131</v>
      </c>
      <c r="Y45" s="319">
        <v>90266.519839999994</v>
      </c>
      <c r="Z45" s="500">
        <f t="shared" si="46"/>
        <v>131</v>
      </c>
      <c r="AA45" s="319">
        <f t="shared" si="52"/>
        <v>0</v>
      </c>
      <c r="AB45" s="473">
        <f t="shared" si="47"/>
        <v>0.33217818392961274</v>
      </c>
      <c r="AC45" s="315">
        <f>'Audience Sizing'!F13</f>
        <v>518590.19999999995</v>
      </c>
      <c r="AD45" s="475">
        <v>45435</v>
      </c>
      <c r="AE45" s="475">
        <v>45473</v>
      </c>
      <c r="AF45" s="346" t="s">
        <v>2342</v>
      </c>
      <c r="AG45" s="312"/>
      <c r="AH45" s="451"/>
      <c r="AI45" s="366">
        <v>2.13</v>
      </c>
      <c r="AJ45" s="366">
        <f>AI45*Q45/1000</f>
        <v>1467.6922691541981</v>
      </c>
      <c r="AK45" s="366">
        <f>AJ45*5%</f>
        <v>73.384613457709904</v>
      </c>
      <c r="AL45" s="366">
        <f>AJ45+AK45</f>
        <v>1541.0768826119081</v>
      </c>
      <c r="AN45" s="366">
        <v>1.43</v>
      </c>
      <c r="AO45" s="366">
        <f t="shared" si="53"/>
        <v>985.35208680305323</v>
      </c>
      <c r="AP45" s="366">
        <f t="shared" si="54"/>
        <v>49.267604340152666</v>
      </c>
      <c r="AQ45" s="389">
        <f t="shared" si="55"/>
        <v>1034.619691143206</v>
      </c>
      <c r="AT45" s="389"/>
      <c r="AV45" s="389"/>
    </row>
    <row r="46" spans="1:48" s="366" customFormat="1" x14ac:dyDescent="0.3">
      <c r="B46" s="492" t="s">
        <v>179</v>
      </c>
      <c r="C46" s="492" t="s">
        <v>56</v>
      </c>
      <c r="D46" s="492" t="s">
        <v>71</v>
      </c>
      <c r="E46" s="492" t="s">
        <v>58</v>
      </c>
      <c r="F46" s="492" t="s">
        <v>72</v>
      </c>
      <c r="G46" s="492" t="s">
        <v>60</v>
      </c>
      <c r="H46" s="492" t="s">
        <v>61</v>
      </c>
      <c r="I46" s="492" t="s">
        <v>2276</v>
      </c>
      <c r="J46" s="492" t="s">
        <v>76</v>
      </c>
      <c r="K46" s="492" t="s">
        <v>2353</v>
      </c>
      <c r="L46" s="492" t="s">
        <v>152</v>
      </c>
      <c r="M46" s="492" t="s">
        <v>64</v>
      </c>
      <c r="N46" s="492" t="s">
        <v>65</v>
      </c>
      <c r="O46" s="492" t="s">
        <v>66</v>
      </c>
      <c r="P46" s="494"/>
      <c r="Q46" s="495">
        <f t="shared" si="48"/>
        <v>596982.22222222225</v>
      </c>
      <c r="R46" s="496">
        <v>0</v>
      </c>
      <c r="S46" s="497">
        <v>0.85</v>
      </c>
      <c r="T46" s="495">
        <f t="shared" si="49"/>
        <v>507434.88888888888</v>
      </c>
      <c r="U46" s="495">
        <f t="shared" si="50"/>
        <v>0</v>
      </c>
      <c r="V46" s="502">
        <f t="shared" si="51"/>
        <v>99497.037037037036</v>
      </c>
      <c r="W46" s="498">
        <v>6</v>
      </c>
      <c r="X46" s="499">
        <v>225</v>
      </c>
      <c r="Y46" s="500">
        <v>134321</v>
      </c>
      <c r="Z46" s="500">
        <f t="shared" si="46"/>
        <v>224.99999999999997</v>
      </c>
      <c r="AA46" s="500">
        <f t="shared" si="52"/>
        <v>0</v>
      </c>
      <c r="AB46" s="501">
        <f t="shared" si="47"/>
        <v>0.13012054574239176</v>
      </c>
      <c r="AC46" s="495">
        <f>'Audience Sizing'!G16</f>
        <v>764652.78</v>
      </c>
      <c r="AD46" s="526">
        <v>45460</v>
      </c>
      <c r="AE46" s="527">
        <v>45473</v>
      </c>
      <c r="AF46" s="346"/>
      <c r="AG46" s="312"/>
      <c r="AH46" s="298"/>
      <c r="AL46" s="389"/>
      <c r="AN46" s="366">
        <v>1.43</v>
      </c>
      <c r="AO46" s="366">
        <f t="shared" si="53"/>
        <v>853.6845777777778</v>
      </c>
      <c r="AP46" s="366">
        <f t="shared" si="54"/>
        <v>42.684228888888896</v>
      </c>
      <c r="AQ46" s="389">
        <f t="shared" si="55"/>
        <v>896.36880666666673</v>
      </c>
      <c r="AR46" s="89"/>
      <c r="AV46" s="389"/>
    </row>
    <row r="47" spans="1:48" s="366" customFormat="1" x14ac:dyDescent="0.3">
      <c r="B47" s="313" t="s">
        <v>179</v>
      </c>
      <c r="C47" s="313" t="s">
        <v>56</v>
      </c>
      <c r="D47" s="313" t="s">
        <v>71</v>
      </c>
      <c r="E47" s="313" t="s">
        <v>67</v>
      </c>
      <c r="F47" s="313" t="s">
        <v>72</v>
      </c>
      <c r="G47" s="313" t="s">
        <v>60</v>
      </c>
      <c r="H47" s="313" t="s">
        <v>68</v>
      </c>
      <c r="I47" s="313" t="s">
        <v>2276</v>
      </c>
      <c r="J47" s="313" t="s">
        <v>76</v>
      </c>
      <c r="K47" s="313" t="s">
        <v>2298</v>
      </c>
      <c r="L47" s="313" t="s">
        <v>152</v>
      </c>
      <c r="M47" s="313" t="s">
        <v>64</v>
      </c>
      <c r="N47" s="313" t="s">
        <v>65</v>
      </c>
      <c r="O47" s="313" t="s">
        <v>65</v>
      </c>
      <c r="P47" s="314">
        <v>13</v>
      </c>
      <c r="Q47" s="315">
        <f t="shared" si="48"/>
        <v>532993.6510641299</v>
      </c>
      <c r="R47" s="316">
        <v>7.0000000000000001E-3</v>
      </c>
      <c r="S47" s="317">
        <v>0.85</v>
      </c>
      <c r="T47" s="315">
        <f t="shared" si="49"/>
        <v>453044.60340451042</v>
      </c>
      <c r="U47" s="315">
        <f t="shared" si="50"/>
        <v>3730.9555574489095</v>
      </c>
      <c r="V47" s="472">
        <f t="shared" si="51"/>
        <v>177664.55035470997</v>
      </c>
      <c r="W47" s="318">
        <v>3</v>
      </c>
      <c r="X47" s="321">
        <v>175</v>
      </c>
      <c r="Y47" s="319">
        <v>93273.888936222735</v>
      </c>
      <c r="Z47" s="319">
        <f t="shared" si="46"/>
        <v>175.00000000000003</v>
      </c>
      <c r="AA47" s="319">
        <f t="shared" si="52"/>
        <v>25</v>
      </c>
      <c r="AB47" s="473">
        <f t="shared" si="47"/>
        <v>5.7406690378618855E-2</v>
      </c>
      <c r="AC47" s="315">
        <f>'Audience Sizing'!G13</f>
        <v>3094840.5</v>
      </c>
      <c r="AD47" s="475">
        <v>45435</v>
      </c>
      <c r="AE47" s="475">
        <v>45473</v>
      </c>
      <c r="AF47" s="346" t="s">
        <v>2342</v>
      </c>
      <c r="AG47" s="312"/>
      <c r="AH47" s="298"/>
      <c r="AN47" s="366">
        <v>1.43</v>
      </c>
      <c r="AO47" s="366">
        <f t="shared" si="53"/>
        <v>762.18092102170567</v>
      </c>
      <c r="AP47" s="366">
        <f t="shared" si="54"/>
        <v>38.109046051085286</v>
      </c>
      <c r="AQ47" s="389">
        <f t="shared" si="55"/>
        <v>800.289967072791</v>
      </c>
      <c r="AR47" s="263"/>
      <c r="AT47" s="389"/>
      <c r="AV47" s="389"/>
    </row>
    <row r="48" spans="1:48" s="366" customFormat="1" x14ac:dyDescent="0.3">
      <c r="B48" s="313" t="s">
        <v>179</v>
      </c>
      <c r="C48" s="313" t="s">
        <v>56</v>
      </c>
      <c r="D48" s="313" t="s">
        <v>71</v>
      </c>
      <c r="E48" s="313" t="s">
        <v>67</v>
      </c>
      <c r="F48" s="313" t="s">
        <v>72</v>
      </c>
      <c r="G48" s="313" t="s">
        <v>60</v>
      </c>
      <c r="H48" s="313" t="s">
        <v>68</v>
      </c>
      <c r="I48" s="313" t="s">
        <v>2276</v>
      </c>
      <c r="J48" s="313" t="s">
        <v>76</v>
      </c>
      <c r="K48" s="313" t="s">
        <v>2299</v>
      </c>
      <c r="L48" s="313" t="s">
        <v>152</v>
      </c>
      <c r="M48" s="313" t="s">
        <v>64</v>
      </c>
      <c r="N48" s="313" t="s">
        <v>65</v>
      </c>
      <c r="O48" s="313" t="s">
        <v>65</v>
      </c>
      <c r="P48" s="314">
        <v>13</v>
      </c>
      <c r="Q48" s="315">
        <f t="shared" si="48"/>
        <v>177664.55035470997</v>
      </c>
      <c r="R48" s="316">
        <v>3.0000000000000001E-3</v>
      </c>
      <c r="S48" s="317">
        <v>0.85</v>
      </c>
      <c r="T48" s="315">
        <f t="shared" si="49"/>
        <v>151014.86780150345</v>
      </c>
      <c r="U48" s="315">
        <f t="shared" si="50"/>
        <v>532.99365106412995</v>
      </c>
      <c r="V48" s="472">
        <f t="shared" si="51"/>
        <v>59221.516784903324</v>
      </c>
      <c r="W48" s="318">
        <v>3</v>
      </c>
      <c r="X48" s="321">
        <v>105</v>
      </c>
      <c r="Y48" s="319">
        <v>18654.777787244548</v>
      </c>
      <c r="Z48" s="319">
        <f t="shared" si="46"/>
        <v>105.00000000000001</v>
      </c>
      <c r="AA48" s="319">
        <f t="shared" si="52"/>
        <v>35</v>
      </c>
      <c r="AB48" s="473">
        <f t="shared" si="47"/>
        <v>1.9135563459539619E-2</v>
      </c>
      <c r="AC48" s="315">
        <f>'Audience Sizing'!G13</f>
        <v>3094840.5</v>
      </c>
      <c r="AD48" s="475">
        <v>45435</v>
      </c>
      <c r="AE48" s="475">
        <v>45473</v>
      </c>
      <c r="AF48" s="346" t="s">
        <v>2342</v>
      </c>
      <c r="AG48" s="312"/>
      <c r="AH48" s="298"/>
      <c r="AN48" s="366">
        <v>1.43</v>
      </c>
      <c r="AO48" s="366">
        <f t="shared" si="53"/>
        <v>254.06030700723525</v>
      </c>
      <c r="AP48" s="366">
        <f t="shared" si="54"/>
        <v>12.703015350361763</v>
      </c>
      <c r="AQ48" s="389">
        <f t="shared" si="55"/>
        <v>266.76332235759702</v>
      </c>
      <c r="AR48" s="263"/>
      <c r="AT48" s="389"/>
      <c r="AV48" s="389"/>
    </row>
    <row r="49" spans="2:48" s="366" customFormat="1" x14ac:dyDescent="0.3">
      <c r="B49" s="313" t="s">
        <v>179</v>
      </c>
      <c r="C49" s="313" t="s">
        <v>56</v>
      </c>
      <c r="D49" s="313" t="s">
        <v>71</v>
      </c>
      <c r="E49" s="313" t="s">
        <v>67</v>
      </c>
      <c r="F49" s="313" t="s">
        <v>72</v>
      </c>
      <c r="G49" s="313" t="s">
        <v>60</v>
      </c>
      <c r="H49" s="313" t="s">
        <v>69</v>
      </c>
      <c r="I49" s="313" t="s">
        <v>2276</v>
      </c>
      <c r="J49" s="313" t="s">
        <v>76</v>
      </c>
      <c r="K49" s="313" t="s">
        <v>2334</v>
      </c>
      <c r="L49" s="313" t="s">
        <v>152</v>
      </c>
      <c r="M49" s="313" t="s">
        <v>64</v>
      </c>
      <c r="N49" s="313" t="s">
        <v>65</v>
      </c>
      <c r="O49" s="313" t="s">
        <v>65</v>
      </c>
      <c r="P49" s="314">
        <v>13</v>
      </c>
      <c r="Q49" s="315">
        <f t="shared" si="48"/>
        <v>532993.6510641299</v>
      </c>
      <c r="R49" s="316">
        <v>7.0000000000000001E-3</v>
      </c>
      <c r="S49" s="317">
        <v>0.85</v>
      </c>
      <c r="T49" s="315">
        <f t="shared" si="49"/>
        <v>453044.60340451042</v>
      </c>
      <c r="U49" s="315">
        <f t="shared" si="50"/>
        <v>3730.9555574489095</v>
      </c>
      <c r="V49" s="472">
        <f t="shared" si="51"/>
        <v>177664.55035470997</v>
      </c>
      <c r="W49" s="318">
        <v>3</v>
      </c>
      <c r="X49" s="321">
        <v>175</v>
      </c>
      <c r="Y49" s="319">
        <v>93273.888936222735</v>
      </c>
      <c r="Z49" s="319">
        <f t="shared" si="46"/>
        <v>175.00000000000003</v>
      </c>
      <c r="AA49" s="319">
        <f t="shared" si="52"/>
        <v>25</v>
      </c>
      <c r="AB49" s="473">
        <f t="shared" si="47"/>
        <v>5.7406690378618855E-2</v>
      </c>
      <c r="AC49" s="315">
        <f>'Audience Sizing'!G13</f>
        <v>3094840.5</v>
      </c>
      <c r="AD49" s="475">
        <v>45435</v>
      </c>
      <c r="AE49" s="475">
        <v>45473</v>
      </c>
      <c r="AF49" s="346" t="s">
        <v>2342</v>
      </c>
      <c r="AG49" s="312"/>
      <c r="AH49" s="298"/>
      <c r="AN49" s="366">
        <v>1.43</v>
      </c>
      <c r="AO49" s="366">
        <f t="shared" si="53"/>
        <v>762.18092102170567</v>
      </c>
      <c r="AP49" s="366">
        <f t="shared" si="54"/>
        <v>38.109046051085286</v>
      </c>
      <c r="AQ49" s="389">
        <f t="shared" si="55"/>
        <v>800.289967072791</v>
      </c>
      <c r="AR49" s="263"/>
      <c r="AT49" s="389"/>
      <c r="AV49" s="389"/>
    </row>
    <row r="50" spans="2:48" s="366" customFormat="1" x14ac:dyDescent="0.3">
      <c r="B50" s="313" t="s">
        <v>179</v>
      </c>
      <c r="C50" s="313" t="s">
        <v>56</v>
      </c>
      <c r="D50" s="313" t="s">
        <v>71</v>
      </c>
      <c r="E50" s="313" t="s">
        <v>67</v>
      </c>
      <c r="F50" s="313" t="s">
        <v>72</v>
      </c>
      <c r="G50" s="313" t="s">
        <v>60</v>
      </c>
      <c r="H50" s="313" t="s">
        <v>69</v>
      </c>
      <c r="I50" s="313" t="s">
        <v>2276</v>
      </c>
      <c r="J50" s="313" t="s">
        <v>76</v>
      </c>
      <c r="K50" s="313" t="s">
        <v>2300</v>
      </c>
      <c r="L50" s="313" t="s">
        <v>152</v>
      </c>
      <c r="M50" s="313" t="s">
        <v>64</v>
      </c>
      <c r="N50" s="313" t="s">
        <v>65</v>
      </c>
      <c r="O50" s="313" t="s">
        <v>65</v>
      </c>
      <c r="P50" s="314">
        <v>13</v>
      </c>
      <c r="Q50" s="315">
        <f t="shared" si="48"/>
        <v>177664.55035470997</v>
      </c>
      <c r="R50" s="316">
        <v>3.0000000000000001E-3</v>
      </c>
      <c r="S50" s="317">
        <v>0.85</v>
      </c>
      <c r="T50" s="315">
        <f t="shared" si="49"/>
        <v>151014.86780150345</v>
      </c>
      <c r="U50" s="315">
        <f t="shared" si="50"/>
        <v>532.99365106412995</v>
      </c>
      <c r="V50" s="472">
        <f t="shared" si="51"/>
        <v>59221.516784903324</v>
      </c>
      <c r="W50" s="318">
        <v>3</v>
      </c>
      <c r="X50" s="321">
        <v>105</v>
      </c>
      <c r="Y50" s="319">
        <v>18654.777787244548</v>
      </c>
      <c r="Z50" s="319">
        <f t="shared" si="46"/>
        <v>105.00000000000001</v>
      </c>
      <c r="AA50" s="319">
        <f t="shared" si="52"/>
        <v>35</v>
      </c>
      <c r="AB50" s="473">
        <f t="shared" si="47"/>
        <v>1.9135563459539619E-2</v>
      </c>
      <c r="AC50" s="315">
        <f>'Audience Sizing'!G13</f>
        <v>3094840.5</v>
      </c>
      <c r="AD50" s="475">
        <v>45435</v>
      </c>
      <c r="AE50" s="475">
        <v>45473</v>
      </c>
      <c r="AF50" s="346" t="s">
        <v>2342</v>
      </c>
      <c r="AG50" s="312"/>
      <c r="AH50" s="298"/>
      <c r="AN50" s="366">
        <v>1.43</v>
      </c>
      <c r="AO50" s="366">
        <f t="shared" si="53"/>
        <v>254.06030700723525</v>
      </c>
      <c r="AP50" s="366">
        <f t="shared" si="54"/>
        <v>12.703015350361763</v>
      </c>
      <c r="AQ50" s="389">
        <f t="shared" si="55"/>
        <v>266.76332235759702</v>
      </c>
      <c r="AR50" s="263"/>
      <c r="AT50" s="389"/>
      <c r="AV50" s="389"/>
    </row>
    <row r="51" spans="2:48" s="366" customFormat="1" x14ac:dyDescent="0.3">
      <c r="B51" s="313" t="s">
        <v>179</v>
      </c>
      <c r="C51" s="313" t="s">
        <v>56</v>
      </c>
      <c r="D51" s="313" t="s">
        <v>120</v>
      </c>
      <c r="E51" s="313" t="s">
        <v>79</v>
      </c>
      <c r="F51" s="313" t="s">
        <v>72</v>
      </c>
      <c r="G51" s="313" t="s">
        <v>60</v>
      </c>
      <c r="H51" s="313" t="s">
        <v>61</v>
      </c>
      <c r="I51" s="313" t="s">
        <v>2276</v>
      </c>
      <c r="J51" s="313" t="s">
        <v>76</v>
      </c>
      <c r="K51" s="476" t="s">
        <v>312</v>
      </c>
      <c r="L51" s="313" t="s">
        <v>152</v>
      </c>
      <c r="M51" s="313" t="s">
        <v>64</v>
      </c>
      <c r="N51" s="313" t="s">
        <v>65</v>
      </c>
      <c r="O51" s="313" t="s">
        <v>66</v>
      </c>
      <c r="P51" s="314">
        <v>3</v>
      </c>
      <c r="Q51" s="315">
        <f t="shared" si="48"/>
        <v>5555555.555555556</v>
      </c>
      <c r="R51" s="316">
        <v>6.4999999999999997E-3</v>
      </c>
      <c r="S51" s="317">
        <v>0.85</v>
      </c>
      <c r="T51" s="315">
        <f t="shared" si="49"/>
        <v>4722222.222222222</v>
      </c>
      <c r="U51" s="315">
        <f t="shared" si="50"/>
        <v>36111.111111111109</v>
      </c>
      <c r="V51" s="472">
        <f t="shared" si="51"/>
        <v>1388888.888888889</v>
      </c>
      <c r="W51" s="318">
        <v>4</v>
      </c>
      <c r="X51" s="477">
        <v>180</v>
      </c>
      <c r="Y51" s="319">
        <v>1000000</v>
      </c>
      <c r="Z51" s="319">
        <f t="shared" si="46"/>
        <v>180</v>
      </c>
      <c r="AA51" s="319">
        <f t="shared" si="52"/>
        <v>27.692307692307693</v>
      </c>
      <c r="AB51" s="473">
        <f t="shared" si="47"/>
        <v>0.3306878306878307</v>
      </c>
      <c r="AC51" s="315">
        <v>4200000</v>
      </c>
      <c r="AD51" s="475">
        <v>45435</v>
      </c>
      <c r="AE51" s="475">
        <v>45473</v>
      </c>
      <c r="AF51" s="346" t="s">
        <v>2342</v>
      </c>
      <c r="AG51" s="312"/>
      <c r="AN51" s="366">
        <v>1.43</v>
      </c>
      <c r="AO51" s="366">
        <f t="shared" si="53"/>
        <v>7944.4444444444453</v>
      </c>
      <c r="AP51" s="366">
        <f t="shared" si="54"/>
        <v>397.22222222222229</v>
      </c>
      <c r="AQ51" s="389">
        <f t="shared" si="55"/>
        <v>8341.6666666666679</v>
      </c>
      <c r="AT51" s="389"/>
      <c r="AV51" s="389"/>
    </row>
    <row r="52" spans="2:48" s="366" customFormat="1" x14ac:dyDescent="0.3">
      <c r="B52" s="421" t="s">
        <v>2345</v>
      </c>
      <c r="C52" s="410"/>
      <c r="D52" s="410"/>
      <c r="E52" s="410"/>
      <c r="F52" s="410"/>
      <c r="G52" s="410"/>
      <c r="H52" s="410"/>
      <c r="I52" s="410"/>
      <c r="J52" s="410"/>
      <c r="K52" s="410"/>
      <c r="L52" s="410"/>
      <c r="M52" s="410"/>
      <c r="N52" s="410"/>
      <c r="O52" s="410"/>
      <c r="P52" s="411"/>
      <c r="Q52" s="412">
        <f>SUM(Q43:Q51)</f>
        <v>9723426.1785688307</v>
      </c>
      <c r="R52" s="413">
        <f>U52/Q52</f>
        <v>5.5529329078281807E-3</v>
      </c>
      <c r="S52" s="414">
        <f>T52/Q52</f>
        <v>0.84394352674806117</v>
      </c>
      <c r="T52" s="412">
        <f>SUM(T43:T51)</f>
        <v>8206022.5812158016</v>
      </c>
      <c r="U52" s="412">
        <f>SUM(U43:U51)</f>
        <v>53993.533203812869</v>
      </c>
      <c r="V52" s="415">
        <f>V51+SUM(V43:V50)*50%</f>
        <v>1970300.5920518101</v>
      </c>
      <c r="W52" s="427">
        <f>Q52/V52</f>
        <v>4.9349963238061836</v>
      </c>
      <c r="X52" s="416"/>
      <c r="Y52" s="417">
        <f>SUM(Y43:Y51)</f>
        <v>1610561.9732869347</v>
      </c>
      <c r="Z52" s="417">
        <f t="shared" si="46"/>
        <v>165.63729118823727</v>
      </c>
      <c r="AA52" s="417">
        <f>Y52/U52</f>
        <v>29.828793889213411</v>
      </c>
      <c r="AB52" s="418">
        <f t="shared" si="47"/>
        <v>0.87104358622980116</v>
      </c>
      <c r="AC52" s="412">
        <f>'Audience Sizing'!C13</f>
        <v>2262000</v>
      </c>
      <c r="AD52" s="419"/>
      <c r="AE52" s="420"/>
      <c r="AF52" s="376"/>
      <c r="AG52" s="312"/>
    </row>
    <row r="53" spans="2:48" s="366" customFormat="1" x14ac:dyDescent="0.3">
      <c r="B53" s="476" t="s">
        <v>104</v>
      </c>
      <c r="C53" s="313" t="s">
        <v>56</v>
      </c>
      <c r="D53" s="313" t="s">
        <v>57</v>
      </c>
      <c r="E53" s="313" t="s">
        <v>67</v>
      </c>
      <c r="F53" s="313" t="s">
        <v>75</v>
      </c>
      <c r="G53" s="313" t="s">
        <v>60</v>
      </c>
      <c r="H53" s="313" t="s">
        <v>68</v>
      </c>
      <c r="I53" s="313" t="s">
        <v>2276</v>
      </c>
      <c r="J53" s="313" t="s">
        <v>76</v>
      </c>
      <c r="K53" s="313" t="s">
        <v>2340</v>
      </c>
      <c r="L53" s="313" t="s">
        <v>152</v>
      </c>
      <c r="M53" s="313" t="s">
        <v>64</v>
      </c>
      <c r="N53" s="313" t="s">
        <v>65</v>
      </c>
      <c r="O53" s="313" t="s">
        <v>66</v>
      </c>
      <c r="P53" s="314">
        <v>14</v>
      </c>
      <c r="Q53" s="478">
        <f t="shared" ref="Q53:Q61" si="56">Y53*1000/X53</f>
        <v>7779047.7837837841</v>
      </c>
      <c r="R53" s="316">
        <v>6.4999999999999997E-3</v>
      </c>
      <c r="S53" s="317">
        <v>0.85590434334133847</v>
      </c>
      <c r="T53" s="478">
        <f t="shared" ref="T53:T61" si="57">Q53*S53</f>
        <v>6658120.7852003537</v>
      </c>
      <c r="U53" s="478">
        <f t="shared" ref="U53:U61" si="58">Q53*R53</f>
        <v>50563.810594594594</v>
      </c>
      <c r="V53" s="479">
        <f t="shared" ref="V53:V61" si="59">Q53/W53</f>
        <v>3889523.8918918921</v>
      </c>
      <c r="W53" s="480">
        <v>2</v>
      </c>
      <c r="X53" s="477">
        <v>111</v>
      </c>
      <c r="Y53" s="481">
        <v>863474.304</v>
      </c>
      <c r="Z53" s="481">
        <f t="shared" si="46"/>
        <v>111</v>
      </c>
      <c r="AA53" s="481">
        <f t="shared" ref="AA53:AA61" si="60">IFERROR(Y53/U53, 0)</f>
        <v>17.076923076923077</v>
      </c>
      <c r="AB53" s="482">
        <f t="shared" si="47"/>
        <v>0.1502331135422372</v>
      </c>
      <c r="AC53" s="478">
        <f>'Audience Sizing'!E10</f>
        <v>25889924</v>
      </c>
      <c r="AD53" s="475">
        <v>45434</v>
      </c>
      <c r="AE53" s="475">
        <v>45473</v>
      </c>
      <c r="AF53" s="346" t="s">
        <v>2342</v>
      </c>
      <c r="AG53" s="312"/>
      <c r="AH53" s="298"/>
      <c r="AI53" s="366">
        <v>2.13</v>
      </c>
      <c r="AJ53" s="366">
        <f>AI53*Q53/1000</f>
        <v>16569.37177945946</v>
      </c>
      <c r="AK53" s="366">
        <f>AJ53*5%</f>
        <v>828.46858897297307</v>
      </c>
      <c r="AL53" s="389">
        <f>AJ53+AK53</f>
        <v>17397.840368432433</v>
      </c>
      <c r="AN53" s="366">
        <v>1.43</v>
      </c>
      <c r="AO53" s="366">
        <f t="shared" ref="AO53:AO61" si="61">AN53*Q53/1000</f>
        <v>11124.038330810812</v>
      </c>
      <c r="AP53" s="366">
        <f t="shared" ref="AP53:AP61" si="62">AO53*5%</f>
        <v>556.20191654054065</v>
      </c>
      <c r="AQ53" s="389">
        <f t="shared" ref="AQ53:AQ61" si="63">SUM(AO53:AP53)</f>
        <v>11680.240247351352</v>
      </c>
      <c r="AR53" s="89"/>
      <c r="AS53" s="389"/>
      <c r="AV53" s="389"/>
    </row>
    <row r="54" spans="2:48" s="366" customFormat="1" x14ac:dyDescent="0.3">
      <c r="B54" s="476" t="s">
        <v>104</v>
      </c>
      <c r="C54" s="313" t="s">
        <v>56</v>
      </c>
      <c r="D54" s="313" t="s">
        <v>57</v>
      </c>
      <c r="E54" s="313" t="s">
        <v>67</v>
      </c>
      <c r="F54" s="313" t="s">
        <v>75</v>
      </c>
      <c r="G54" s="313" t="s">
        <v>60</v>
      </c>
      <c r="H54" s="313" t="s">
        <v>69</v>
      </c>
      <c r="I54" s="313" t="s">
        <v>2276</v>
      </c>
      <c r="J54" s="313" t="s">
        <v>76</v>
      </c>
      <c r="K54" s="313" t="s">
        <v>2341</v>
      </c>
      <c r="L54" s="313" t="s">
        <v>152</v>
      </c>
      <c r="M54" s="313" t="s">
        <v>64</v>
      </c>
      <c r="N54" s="313" t="s">
        <v>65</v>
      </c>
      <c r="O54" s="313" t="s">
        <v>66</v>
      </c>
      <c r="P54" s="314">
        <v>14</v>
      </c>
      <c r="Q54" s="478">
        <f t="shared" si="56"/>
        <v>7045175.3513513505</v>
      </c>
      <c r="R54" s="316">
        <v>6.3E-3</v>
      </c>
      <c r="S54" s="317">
        <v>0.85791079517305968</v>
      </c>
      <c r="T54" s="478">
        <f t="shared" si="57"/>
        <v>6044131.9878114769</v>
      </c>
      <c r="U54" s="478">
        <f t="shared" si="58"/>
        <v>44384.604713513509</v>
      </c>
      <c r="V54" s="479">
        <f t="shared" si="59"/>
        <v>3522587.6756756753</v>
      </c>
      <c r="W54" s="480">
        <v>2</v>
      </c>
      <c r="X54" s="477">
        <v>111</v>
      </c>
      <c r="Y54" s="481">
        <v>782014.46399999992</v>
      </c>
      <c r="Z54" s="481">
        <f t="shared" si="46"/>
        <v>111</v>
      </c>
      <c r="AA54" s="481">
        <f t="shared" si="60"/>
        <v>17.61904761904762</v>
      </c>
      <c r="AB54" s="482">
        <f t="shared" si="47"/>
        <v>0.13606017830240349</v>
      </c>
      <c r="AC54" s="478">
        <f>'Audience Sizing'!E10</f>
        <v>25889924</v>
      </c>
      <c r="AD54" s="475">
        <v>45434</v>
      </c>
      <c r="AE54" s="475">
        <v>45473</v>
      </c>
      <c r="AF54" s="346" t="s">
        <v>2342</v>
      </c>
      <c r="AG54" s="312"/>
      <c r="AH54" s="298"/>
      <c r="AI54" s="366">
        <v>2.13</v>
      </c>
      <c r="AJ54" s="366">
        <f>AI54*Q54/1000</f>
        <v>15006.223498378375</v>
      </c>
      <c r="AK54" s="366">
        <f>AJ54*5%</f>
        <v>750.31117491891882</v>
      </c>
      <c r="AL54" s="389">
        <f>AJ54+AK54</f>
        <v>15756.534673297294</v>
      </c>
      <c r="AN54" s="366">
        <v>1.43</v>
      </c>
      <c r="AO54" s="366">
        <f t="shared" si="61"/>
        <v>10074.60075243243</v>
      </c>
      <c r="AP54" s="366">
        <f t="shared" si="62"/>
        <v>503.73003762162153</v>
      </c>
      <c r="AQ54" s="389">
        <f t="shared" si="63"/>
        <v>10578.330790054051</v>
      </c>
      <c r="AR54" s="89"/>
      <c r="AS54" s="389"/>
      <c r="AV54" s="389"/>
    </row>
    <row r="55" spans="2:48" s="366" customFormat="1" x14ac:dyDescent="0.3">
      <c r="B55" s="530" t="s">
        <v>104</v>
      </c>
      <c r="C55" s="492" t="s">
        <v>56</v>
      </c>
      <c r="D55" s="492" t="s">
        <v>57</v>
      </c>
      <c r="E55" s="492" t="s">
        <v>58</v>
      </c>
      <c r="F55" s="492" t="s">
        <v>75</v>
      </c>
      <c r="G55" s="492" t="s">
        <v>60</v>
      </c>
      <c r="H55" s="492" t="s">
        <v>61</v>
      </c>
      <c r="I55" s="492" t="s">
        <v>2276</v>
      </c>
      <c r="J55" s="492" t="s">
        <v>76</v>
      </c>
      <c r="K55" s="492" t="s">
        <v>312</v>
      </c>
      <c r="L55" s="492" t="s">
        <v>77</v>
      </c>
      <c r="M55" s="492" t="s">
        <v>64</v>
      </c>
      <c r="N55" s="492" t="s">
        <v>65</v>
      </c>
      <c r="O55" s="492" t="s">
        <v>66</v>
      </c>
      <c r="P55" s="505">
        <v>13</v>
      </c>
      <c r="Q55" s="506">
        <f t="shared" si="56"/>
        <v>2137404.5801526718</v>
      </c>
      <c r="R55" s="496"/>
      <c r="S55" s="497">
        <v>0.75</v>
      </c>
      <c r="T55" s="506">
        <f t="shared" si="57"/>
        <v>1603053.4351145038</v>
      </c>
      <c r="U55" s="506">
        <f t="shared" si="58"/>
        <v>0</v>
      </c>
      <c r="V55" s="507">
        <f t="shared" si="59"/>
        <v>534351.14503816795</v>
      </c>
      <c r="W55" s="508">
        <v>4</v>
      </c>
      <c r="X55" s="499">
        <v>131</v>
      </c>
      <c r="Y55" s="500">
        <v>280000</v>
      </c>
      <c r="Z55" s="510">
        <f t="shared" si="46"/>
        <v>131</v>
      </c>
      <c r="AA55" s="510">
        <f t="shared" si="60"/>
        <v>0</v>
      </c>
      <c r="AB55" s="511">
        <f t="shared" si="47"/>
        <v>8.9736294629216923E-2</v>
      </c>
      <c r="AC55" s="506">
        <f>'Audience Sizing'!F10</f>
        <v>5954682.5200000005</v>
      </c>
      <c r="AD55" s="526">
        <v>45460</v>
      </c>
      <c r="AE55" s="527">
        <v>45473</v>
      </c>
      <c r="AF55" s="346"/>
      <c r="AG55" s="312"/>
      <c r="AH55" s="298"/>
      <c r="AI55" s="366">
        <v>2.13</v>
      </c>
      <c r="AJ55" s="366">
        <f>AI55*Q55/1000</f>
        <v>4552.6717557251914</v>
      </c>
      <c r="AK55" s="366">
        <f>AJ55*5%</f>
        <v>227.63358778625957</v>
      </c>
      <c r="AL55" s="389">
        <f>AJ55+AK55</f>
        <v>4780.3053435114507</v>
      </c>
      <c r="AN55" s="366">
        <v>1.43</v>
      </c>
      <c r="AO55" s="366">
        <f t="shared" si="61"/>
        <v>3056.4885496183206</v>
      </c>
      <c r="AP55" s="366">
        <f t="shared" si="62"/>
        <v>152.82442748091603</v>
      </c>
      <c r="AQ55" s="389">
        <f t="shared" si="63"/>
        <v>3209.3129770992364</v>
      </c>
      <c r="AR55" s="89"/>
      <c r="AS55" s="389"/>
      <c r="AV55" s="389"/>
    </row>
    <row r="56" spans="2:48" s="366" customFormat="1" x14ac:dyDescent="0.3">
      <c r="B56" s="530" t="s">
        <v>104</v>
      </c>
      <c r="C56" s="492" t="s">
        <v>56</v>
      </c>
      <c r="D56" s="492" t="s">
        <v>71</v>
      </c>
      <c r="E56" s="492" t="s">
        <v>58</v>
      </c>
      <c r="F56" s="492" t="s">
        <v>72</v>
      </c>
      <c r="G56" s="492" t="s">
        <v>60</v>
      </c>
      <c r="H56" s="492" t="s">
        <v>61</v>
      </c>
      <c r="I56" s="492" t="s">
        <v>2276</v>
      </c>
      <c r="J56" s="492" t="s">
        <v>76</v>
      </c>
      <c r="K56" s="492" t="s">
        <v>2353</v>
      </c>
      <c r="L56" s="492" t="s">
        <v>152</v>
      </c>
      <c r="M56" s="492" t="s">
        <v>64</v>
      </c>
      <c r="N56" s="492" t="s">
        <v>65</v>
      </c>
      <c r="O56" s="492" t="s">
        <v>66</v>
      </c>
      <c r="P56" s="505"/>
      <c r="Q56" s="506">
        <f t="shared" si="56"/>
        <v>1244444.4444444445</v>
      </c>
      <c r="R56" s="496">
        <v>0</v>
      </c>
      <c r="S56" s="497">
        <v>0.85</v>
      </c>
      <c r="T56" s="506">
        <f t="shared" si="57"/>
        <v>1057777.7777777778</v>
      </c>
      <c r="U56" s="506">
        <f t="shared" si="58"/>
        <v>0</v>
      </c>
      <c r="V56" s="507">
        <f t="shared" si="59"/>
        <v>207407.40740740742</v>
      </c>
      <c r="W56" s="508">
        <v>6</v>
      </c>
      <c r="X56" s="499">
        <v>225</v>
      </c>
      <c r="Y56" s="500">
        <v>280000</v>
      </c>
      <c r="Z56" s="510">
        <f t="shared" si="46"/>
        <v>224.99999999999997</v>
      </c>
      <c r="AA56" s="510">
        <f t="shared" si="60"/>
        <v>0</v>
      </c>
      <c r="AB56" s="511">
        <f t="shared" si="47"/>
        <v>1.3685784515015779E-2</v>
      </c>
      <c r="AC56" s="506">
        <f>'Audience Sizing'!G10</f>
        <v>15154952</v>
      </c>
      <c r="AD56" s="526">
        <v>45460</v>
      </c>
      <c r="AE56" s="527">
        <v>45473</v>
      </c>
      <c r="AF56" s="346"/>
      <c r="AG56" s="312"/>
      <c r="AH56" s="298"/>
      <c r="AL56" s="389"/>
      <c r="AN56" s="366">
        <v>1.43</v>
      </c>
      <c r="AO56" s="366">
        <f t="shared" si="61"/>
        <v>1779.5555555555554</v>
      </c>
      <c r="AP56" s="366">
        <f t="shared" si="62"/>
        <v>88.977777777777774</v>
      </c>
      <c r="AQ56" s="389">
        <f t="shared" si="63"/>
        <v>1868.5333333333333</v>
      </c>
      <c r="AR56" s="89"/>
      <c r="AS56" s="389"/>
      <c r="AV56" s="389"/>
    </row>
    <row r="57" spans="2:48" s="366" customFormat="1" x14ac:dyDescent="0.3">
      <c r="B57" s="530" t="s">
        <v>104</v>
      </c>
      <c r="C57" s="492" t="s">
        <v>56</v>
      </c>
      <c r="D57" s="492" t="s">
        <v>299</v>
      </c>
      <c r="E57" s="492" t="s">
        <v>79</v>
      </c>
      <c r="F57" s="492" t="s">
        <v>383</v>
      </c>
      <c r="G57" s="492" t="s">
        <v>2338</v>
      </c>
      <c r="H57" s="492" t="s">
        <v>61</v>
      </c>
      <c r="I57" s="492" t="s">
        <v>2276</v>
      </c>
      <c r="J57" s="492" t="s">
        <v>76</v>
      </c>
      <c r="K57" s="492" t="s">
        <v>312</v>
      </c>
      <c r="L57" s="492" t="s">
        <v>152</v>
      </c>
      <c r="M57" s="492" t="s">
        <v>64</v>
      </c>
      <c r="N57" s="492" t="s">
        <v>65</v>
      </c>
      <c r="O57" s="492" t="s">
        <v>65</v>
      </c>
      <c r="P57" s="505"/>
      <c r="Q57" s="506">
        <f t="shared" si="56"/>
        <v>1039501.0395010395</v>
      </c>
      <c r="R57" s="496">
        <v>1.2E-2</v>
      </c>
      <c r="S57" s="497">
        <v>1</v>
      </c>
      <c r="T57" s="506">
        <f t="shared" si="57"/>
        <v>1039501.0395010395</v>
      </c>
      <c r="U57" s="506">
        <f t="shared" si="58"/>
        <v>12474.012474012476</v>
      </c>
      <c r="V57" s="507">
        <f t="shared" si="59"/>
        <v>259875.25987525989</v>
      </c>
      <c r="W57" s="508">
        <v>4</v>
      </c>
      <c r="X57" s="509">
        <v>240.5</v>
      </c>
      <c r="Y57" s="500">
        <v>250000</v>
      </c>
      <c r="Z57" s="510">
        <f t="shared" si="46"/>
        <v>240.5</v>
      </c>
      <c r="AA57" s="510">
        <f t="shared" si="60"/>
        <v>20.041666666666664</v>
      </c>
      <c r="AB57" s="511"/>
      <c r="AC57" s="506"/>
      <c r="AD57" s="526">
        <v>45460</v>
      </c>
      <c r="AE57" s="527">
        <v>45473</v>
      </c>
      <c r="AF57" s="346"/>
      <c r="AG57" s="312"/>
      <c r="AH57" s="298"/>
      <c r="AL57" s="389"/>
      <c r="AN57" s="366">
        <v>1.43</v>
      </c>
      <c r="AO57" s="366">
        <f t="shared" ref="AO57" si="64">AN57*Q57/1000</f>
        <v>1486.4864864864865</v>
      </c>
      <c r="AP57" s="366">
        <f t="shared" ref="AP57" si="65">AO57*5%</f>
        <v>74.324324324324323</v>
      </c>
      <c r="AQ57" s="389">
        <f t="shared" ref="AQ57" si="66">SUM(AO57:AP57)</f>
        <v>1560.8108108108108</v>
      </c>
      <c r="AR57" s="89"/>
      <c r="AS57" s="389"/>
      <c r="AV57" s="389"/>
    </row>
    <row r="58" spans="2:48" s="366" customFormat="1" x14ac:dyDescent="0.3">
      <c r="B58" s="476" t="s">
        <v>104</v>
      </c>
      <c r="C58" s="313" t="s">
        <v>56</v>
      </c>
      <c r="D58" s="313" t="s">
        <v>71</v>
      </c>
      <c r="E58" s="313" t="s">
        <v>67</v>
      </c>
      <c r="F58" s="313" t="s">
        <v>72</v>
      </c>
      <c r="G58" s="313" t="s">
        <v>60</v>
      </c>
      <c r="H58" s="313" t="s">
        <v>68</v>
      </c>
      <c r="I58" s="313" t="s">
        <v>2276</v>
      </c>
      <c r="J58" s="313" t="s">
        <v>76</v>
      </c>
      <c r="K58" s="313" t="s">
        <v>2298</v>
      </c>
      <c r="L58" s="313" t="s">
        <v>152</v>
      </c>
      <c r="M58" s="313" t="s">
        <v>64</v>
      </c>
      <c r="N58" s="313" t="s">
        <v>65</v>
      </c>
      <c r="O58" s="313" t="s">
        <v>65</v>
      </c>
      <c r="P58" s="314">
        <v>13</v>
      </c>
      <c r="Q58" s="478">
        <f t="shared" si="56"/>
        <v>3606590.3722006124</v>
      </c>
      <c r="R58" s="316">
        <v>7.0000000000000001E-3</v>
      </c>
      <c r="S58" s="317">
        <v>0.85</v>
      </c>
      <c r="T58" s="478">
        <f t="shared" si="57"/>
        <v>3065601.8163705203</v>
      </c>
      <c r="U58" s="478">
        <f t="shared" si="58"/>
        <v>25246.132605404287</v>
      </c>
      <c r="V58" s="479">
        <f t="shared" si="59"/>
        <v>1803295.1861003062</v>
      </c>
      <c r="W58" s="480">
        <v>2</v>
      </c>
      <c r="X58" s="477">
        <v>175</v>
      </c>
      <c r="Y58" s="481">
        <v>631153.31513510714</v>
      </c>
      <c r="Z58" s="481">
        <f t="shared" si="46"/>
        <v>175</v>
      </c>
      <c r="AA58" s="481">
        <f t="shared" si="60"/>
        <v>25</v>
      </c>
      <c r="AB58" s="482">
        <f t="shared" si="47"/>
        <v>0.11899049143146782</v>
      </c>
      <c r="AC58" s="478">
        <f>'Audience Sizing'!G10</f>
        <v>15154952</v>
      </c>
      <c r="AD58" s="475">
        <v>45435</v>
      </c>
      <c r="AE58" s="475">
        <v>45473</v>
      </c>
      <c r="AF58" s="346" t="s">
        <v>2342</v>
      </c>
      <c r="AG58" s="312"/>
      <c r="AH58" s="298"/>
      <c r="AL58" s="389"/>
      <c r="AN58" s="366">
        <v>1.43</v>
      </c>
      <c r="AO58" s="366">
        <f t="shared" si="61"/>
        <v>5157.4242322468754</v>
      </c>
      <c r="AP58" s="366">
        <f t="shared" si="62"/>
        <v>257.87121161234376</v>
      </c>
      <c r="AQ58" s="389">
        <f t="shared" si="63"/>
        <v>5415.2954438592187</v>
      </c>
      <c r="AR58" s="263"/>
      <c r="AS58" s="389"/>
      <c r="AV58" s="389"/>
    </row>
    <row r="59" spans="2:48" s="366" customFormat="1" x14ac:dyDescent="0.3">
      <c r="B59" s="476" t="s">
        <v>104</v>
      </c>
      <c r="C59" s="313" t="s">
        <v>56</v>
      </c>
      <c r="D59" s="313" t="s">
        <v>71</v>
      </c>
      <c r="E59" s="313" t="s">
        <v>67</v>
      </c>
      <c r="F59" s="313" t="s">
        <v>72</v>
      </c>
      <c r="G59" s="313" t="s">
        <v>60</v>
      </c>
      <c r="H59" s="313" t="s">
        <v>68</v>
      </c>
      <c r="I59" s="313" t="s">
        <v>2276</v>
      </c>
      <c r="J59" s="313" t="s">
        <v>76</v>
      </c>
      <c r="K59" s="313" t="s">
        <v>2299</v>
      </c>
      <c r="L59" s="313" t="s">
        <v>152</v>
      </c>
      <c r="M59" s="313" t="s">
        <v>64</v>
      </c>
      <c r="N59" s="313" t="s">
        <v>65</v>
      </c>
      <c r="O59" s="313" t="s">
        <v>65</v>
      </c>
      <c r="P59" s="314">
        <v>13</v>
      </c>
      <c r="Q59" s="478">
        <f t="shared" si="56"/>
        <v>1202196.7907335374</v>
      </c>
      <c r="R59" s="316">
        <v>3.0000000000000001E-3</v>
      </c>
      <c r="S59" s="317">
        <v>0.85</v>
      </c>
      <c r="T59" s="478">
        <f t="shared" si="57"/>
        <v>1021867.2721235068</v>
      </c>
      <c r="U59" s="478">
        <f t="shared" si="58"/>
        <v>3606.5903722006124</v>
      </c>
      <c r="V59" s="479">
        <f t="shared" si="59"/>
        <v>601098.3953667687</v>
      </c>
      <c r="W59" s="480">
        <v>2</v>
      </c>
      <c r="X59" s="477">
        <v>105</v>
      </c>
      <c r="Y59" s="481">
        <v>126230.66302702142</v>
      </c>
      <c r="Z59" s="481">
        <f t="shared" si="46"/>
        <v>105</v>
      </c>
      <c r="AA59" s="481">
        <f t="shared" si="60"/>
        <v>35</v>
      </c>
      <c r="AB59" s="482">
        <f t="shared" si="47"/>
        <v>3.9663497143822606E-2</v>
      </c>
      <c r="AC59" s="478">
        <f>'Audience Sizing'!G10</f>
        <v>15154952</v>
      </c>
      <c r="AD59" s="475">
        <v>45435</v>
      </c>
      <c r="AE59" s="475">
        <v>45473</v>
      </c>
      <c r="AF59" s="346" t="s">
        <v>2342</v>
      </c>
      <c r="AG59" s="312"/>
      <c r="AH59" s="298"/>
      <c r="AL59" s="389"/>
      <c r="AN59" s="366">
        <v>1.43</v>
      </c>
      <c r="AO59" s="366">
        <f t="shared" si="61"/>
        <v>1719.1414107489584</v>
      </c>
      <c r="AP59" s="366">
        <f t="shared" si="62"/>
        <v>85.957070537447919</v>
      </c>
      <c r="AQ59" s="389">
        <f t="shared" si="63"/>
        <v>1805.0984812864062</v>
      </c>
      <c r="AR59" s="263"/>
      <c r="AS59" s="389"/>
      <c r="AV59" s="389"/>
    </row>
    <row r="60" spans="2:48" s="366" customFormat="1" x14ac:dyDescent="0.3">
      <c r="B60" s="476" t="s">
        <v>104</v>
      </c>
      <c r="C60" s="313" t="s">
        <v>56</v>
      </c>
      <c r="D60" s="313" t="s">
        <v>71</v>
      </c>
      <c r="E60" s="313" t="s">
        <v>67</v>
      </c>
      <c r="F60" s="313" t="s">
        <v>72</v>
      </c>
      <c r="G60" s="313" t="s">
        <v>60</v>
      </c>
      <c r="H60" s="313" t="s">
        <v>69</v>
      </c>
      <c r="I60" s="313" t="s">
        <v>2276</v>
      </c>
      <c r="J60" s="313" t="s">
        <v>76</v>
      </c>
      <c r="K60" s="313" t="s">
        <v>2334</v>
      </c>
      <c r="L60" s="313" t="s">
        <v>152</v>
      </c>
      <c r="M60" s="313" t="s">
        <v>64</v>
      </c>
      <c r="N60" s="313" t="s">
        <v>65</v>
      </c>
      <c r="O60" s="313" t="s">
        <v>65</v>
      </c>
      <c r="P60" s="314">
        <v>13</v>
      </c>
      <c r="Q60" s="478">
        <f t="shared" si="56"/>
        <v>3606590.3722006124</v>
      </c>
      <c r="R60" s="316">
        <v>7.0000000000000001E-3</v>
      </c>
      <c r="S60" s="317">
        <v>0.85</v>
      </c>
      <c r="T60" s="478">
        <f t="shared" si="57"/>
        <v>3065601.8163705203</v>
      </c>
      <c r="U60" s="478">
        <f t="shared" si="58"/>
        <v>25246.132605404287</v>
      </c>
      <c r="V60" s="479">
        <f t="shared" si="59"/>
        <v>1803295.1861003062</v>
      </c>
      <c r="W60" s="480">
        <v>2</v>
      </c>
      <c r="X60" s="477">
        <v>175</v>
      </c>
      <c r="Y60" s="481">
        <v>631153.31513510714</v>
      </c>
      <c r="Z60" s="481">
        <f t="shared" si="46"/>
        <v>175</v>
      </c>
      <c r="AA60" s="481">
        <f t="shared" si="60"/>
        <v>25</v>
      </c>
      <c r="AB60" s="482">
        <f t="shared" si="47"/>
        <v>0.11899049143146782</v>
      </c>
      <c r="AC60" s="478">
        <f>'Audience Sizing'!G10</f>
        <v>15154952</v>
      </c>
      <c r="AD60" s="475">
        <v>45435</v>
      </c>
      <c r="AE60" s="475">
        <v>45473</v>
      </c>
      <c r="AF60" s="346" t="s">
        <v>2342</v>
      </c>
      <c r="AG60" s="312"/>
      <c r="AH60" s="298"/>
      <c r="AL60" s="389"/>
      <c r="AN60" s="366">
        <v>1.43</v>
      </c>
      <c r="AO60" s="366">
        <f t="shared" si="61"/>
        <v>5157.4242322468754</v>
      </c>
      <c r="AP60" s="366">
        <f t="shared" si="62"/>
        <v>257.87121161234376</v>
      </c>
      <c r="AQ60" s="389">
        <f t="shared" si="63"/>
        <v>5415.2954438592187</v>
      </c>
      <c r="AR60" s="263"/>
      <c r="AS60" s="389"/>
      <c r="AV60" s="389"/>
    </row>
    <row r="61" spans="2:48" s="366" customFormat="1" x14ac:dyDescent="0.3">
      <c r="B61" s="476" t="s">
        <v>104</v>
      </c>
      <c r="C61" s="313" t="s">
        <v>56</v>
      </c>
      <c r="D61" s="313" t="s">
        <v>71</v>
      </c>
      <c r="E61" s="313" t="s">
        <v>67</v>
      </c>
      <c r="F61" s="313" t="s">
        <v>72</v>
      </c>
      <c r="G61" s="313" t="s">
        <v>60</v>
      </c>
      <c r="H61" s="313" t="s">
        <v>69</v>
      </c>
      <c r="I61" s="313" t="s">
        <v>2276</v>
      </c>
      <c r="J61" s="313" t="s">
        <v>76</v>
      </c>
      <c r="K61" s="313" t="s">
        <v>2300</v>
      </c>
      <c r="L61" s="313" t="s">
        <v>152</v>
      </c>
      <c r="M61" s="313" t="s">
        <v>64</v>
      </c>
      <c r="N61" s="313" t="s">
        <v>65</v>
      </c>
      <c r="O61" s="313" t="s">
        <v>65</v>
      </c>
      <c r="P61" s="314">
        <v>13</v>
      </c>
      <c r="Q61" s="478">
        <f t="shared" si="56"/>
        <v>1202196.7907335374</v>
      </c>
      <c r="R61" s="316">
        <v>3.0000000000000001E-3</v>
      </c>
      <c r="S61" s="317">
        <v>0.85</v>
      </c>
      <c r="T61" s="478">
        <f t="shared" si="57"/>
        <v>1021867.2721235068</v>
      </c>
      <c r="U61" s="478">
        <f t="shared" si="58"/>
        <v>3606.5903722006124</v>
      </c>
      <c r="V61" s="479">
        <f t="shared" si="59"/>
        <v>601098.3953667687</v>
      </c>
      <c r="W61" s="480">
        <v>2</v>
      </c>
      <c r="X61" s="477">
        <v>105</v>
      </c>
      <c r="Y61" s="481">
        <v>126230.66302702142</v>
      </c>
      <c r="Z61" s="481">
        <f t="shared" si="46"/>
        <v>105</v>
      </c>
      <c r="AA61" s="481">
        <f t="shared" si="60"/>
        <v>35</v>
      </c>
      <c r="AB61" s="482">
        <f t="shared" si="47"/>
        <v>3.9663497143822606E-2</v>
      </c>
      <c r="AC61" s="478">
        <f>'Audience Sizing'!G10</f>
        <v>15154952</v>
      </c>
      <c r="AD61" s="475">
        <v>45435</v>
      </c>
      <c r="AE61" s="475">
        <v>45473</v>
      </c>
      <c r="AF61" s="346" t="s">
        <v>2342</v>
      </c>
      <c r="AG61" s="312"/>
      <c r="AH61" s="298"/>
      <c r="AL61" s="389"/>
      <c r="AN61" s="366">
        <v>1.43</v>
      </c>
      <c r="AO61" s="366">
        <f t="shared" si="61"/>
        <v>1719.1414107489584</v>
      </c>
      <c r="AP61" s="366">
        <f t="shared" si="62"/>
        <v>85.957070537447919</v>
      </c>
      <c r="AQ61" s="389">
        <f t="shared" si="63"/>
        <v>1805.0984812864062</v>
      </c>
      <c r="AR61" s="263"/>
      <c r="AS61" s="389"/>
      <c r="AV61" s="389"/>
    </row>
    <row r="62" spans="2:48" s="366" customFormat="1" x14ac:dyDescent="0.3">
      <c r="B62" s="438" t="s">
        <v>107</v>
      </c>
      <c r="C62" s="439"/>
      <c r="D62" s="439"/>
      <c r="E62" s="439"/>
      <c r="F62" s="439"/>
      <c r="G62" s="439"/>
      <c r="H62" s="439"/>
      <c r="I62" s="439"/>
      <c r="J62" s="439"/>
      <c r="K62" s="439"/>
      <c r="L62" s="439"/>
      <c r="M62" s="439"/>
      <c r="N62" s="439"/>
      <c r="O62" s="439"/>
      <c r="P62" s="440"/>
      <c r="Q62" s="441">
        <f>SUM(Q53:Q61)</f>
        <v>28863147.525101591</v>
      </c>
      <c r="R62" s="442">
        <f>U62/Q62</f>
        <v>5.7210625969923287E-3</v>
      </c>
      <c r="S62" s="443">
        <f>T62/Q62</f>
        <v>0.85151916231653957</v>
      </c>
      <c r="T62" s="441">
        <f>SUM(T53:T61)</f>
        <v>24577523.202393208</v>
      </c>
      <c r="U62" s="441">
        <f>SUM(U53:U61)</f>
        <v>165127.8737373304</v>
      </c>
      <c r="V62" s="444">
        <f>V54+V53*20%+SUM(V55:V61)*50%</f>
        <v>7205702.9416815462</v>
      </c>
      <c r="W62" s="445">
        <f>Q62/V62</f>
        <v>4.0055977548202941</v>
      </c>
      <c r="X62" s="446"/>
      <c r="Y62" s="447">
        <f>SUM(Y53:Y61)</f>
        <v>3970256.7243242576</v>
      </c>
      <c r="Z62" s="447">
        <f t="shared" si="46"/>
        <v>137.5545311152022</v>
      </c>
      <c r="AA62" s="447">
        <f>Y62/U62</f>
        <v>24.043528415074015</v>
      </c>
      <c r="AB62" s="448">
        <f t="shared" si="47"/>
        <v>0.55428484166781122</v>
      </c>
      <c r="AC62" s="441">
        <f>'Audience Sizing'!C10</f>
        <v>13000000</v>
      </c>
      <c r="AD62" s="449"/>
      <c r="AE62" s="435"/>
      <c r="AF62" s="376"/>
      <c r="AG62" s="312"/>
      <c r="AL62" s="389"/>
      <c r="AQ62" s="389"/>
    </row>
    <row r="63" spans="2:48" s="366" customFormat="1" x14ac:dyDescent="0.3">
      <c r="B63" s="313" t="s">
        <v>108</v>
      </c>
      <c r="C63" s="313" t="s">
        <v>56</v>
      </c>
      <c r="D63" s="313" t="s">
        <v>57</v>
      </c>
      <c r="E63" s="313" t="s">
        <v>67</v>
      </c>
      <c r="F63" s="313" t="s">
        <v>75</v>
      </c>
      <c r="G63" s="313" t="s">
        <v>60</v>
      </c>
      <c r="H63" s="313" t="s">
        <v>68</v>
      </c>
      <c r="I63" s="313" t="s">
        <v>2276</v>
      </c>
      <c r="J63" s="313" t="s">
        <v>76</v>
      </c>
      <c r="K63" s="313" t="s">
        <v>2340</v>
      </c>
      <c r="L63" s="313" t="s">
        <v>152</v>
      </c>
      <c r="M63" s="313" t="s">
        <v>64</v>
      </c>
      <c r="N63" s="313" t="s">
        <v>65</v>
      </c>
      <c r="O63" s="313" t="s">
        <v>66</v>
      </c>
      <c r="P63" s="314">
        <v>14</v>
      </c>
      <c r="Q63" s="478">
        <f t="shared" ref="Q63:Q71" si="67">Y63*1000/X63</f>
        <v>13502204.367567567</v>
      </c>
      <c r="R63" s="316">
        <v>6.4999999999999997E-3</v>
      </c>
      <c r="S63" s="317">
        <v>0.85590434334133847</v>
      </c>
      <c r="T63" s="478">
        <f t="shared" ref="T63:T71" si="68">Q63*S63</f>
        <v>11556595.362883471</v>
      </c>
      <c r="U63" s="478">
        <f t="shared" ref="U63:U71" si="69">Q63*R63</f>
        <v>87764.328389189177</v>
      </c>
      <c r="V63" s="479">
        <f t="shared" ref="V63:V71" si="70">Q63/W63</f>
        <v>6751102.1837837836</v>
      </c>
      <c r="W63" s="480">
        <v>2</v>
      </c>
      <c r="X63" s="477">
        <v>111</v>
      </c>
      <c r="Y63" s="481">
        <v>1498744.6847999999</v>
      </c>
      <c r="Z63" s="481">
        <f t="shared" si="46"/>
        <v>111</v>
      </c>
      <c r="AA63" s="481">
        <f t="shared" ref="AA63:AA71" si="71">IFERROR(Y63/U63, 0)</f>
        <v>17.07692307692308</v>
      </c>
      <c r="AB63" s="482">
        <f t="shared" si="47"/>
        <v>0.14367674884600723</v>
      </c>
      <c r="AC63" s="478">
        <f>'Audience Sizing'!E11</f>
        <v>46988133</v>
      </c>
      <c r="AD63" s="475">
        <v>45434</v>
      </c>
      <c r="AE63" s="475">
        <v>45473</v>
      </c>
      <c r="AF63" s="346" t="s">
        <v>2342</v>
      </c>
      <c r="AG63" s="312"/>
      <c r="AH63" s="298"/>
      <c r="AI63" s="366">
        <v>2.13</v>
      </c>
      <c r="AJ63" s="366">
        <f>AI63*Q63/1000</f>
        <v>28759.695302918917</v>
      </c>
      <c r="AK63" s="366">
        <f>AJ63*5%</f>
        <v>1437.9847651459459</v>
      </c>
      <c r="AL63" s="389">
        <f>AJ63+AK63</f>
        <v>30197.680068064863</v>
      </c>
      <c r="AN63" s="366">
        <v>1.43</v>
      </c>
      <c r="AO63" s="366">
        <f t="shared" ref="AO63:AO71" si="72">AN63*Q63/1000</f>
        <v>19308.152245621623</v>
      </c>
      <c r="AP63" s="366">
        <f t="shared" ref="AP63:AP71" si="73">AO63*5%</f>
        <v>965.40761228108113</v>
      </c>
      <c r="AQ63" s="389">
        <f t="shared" ref="AQ63:AQ71" si="74">SUM(AO63:AP63)</f>
        <v>20273.559857902703</v>
      </c>
      <c r="AR63" s="89"/>
      <c r="AT63" s="389"/>
      <c r="AV63" s="389"/>
    </row>
    <row r="64" spans="2:48" s="366" customFormat="1" x14ac:dyDescent="0.3">
      <c r="B64" s="313" t="s">
        <v>108</v>
      </c>
      <c r="C64" s="313" t="s">
        <v>56</v>
      </c>
      <c r="D64" s="313" t="s">
        <v>57</v>
      </c>
      <c r="E64" s="313" t="s">
        <v>67</v>
      </c>
      <c r="F64" s="313" t="s">
        <v>75</v>
      </c>
      <c r="G64" s="313" t="s">
        <v>60</v>
      </c>
      <c r="H64" s="313" t="s">
        <v>69</v>
      </c>
      <c r="I64" s="313" t="s">
        <v>2276</v>
      </c>
      <c r="J64" s="313" t="s">
        <v>76</v>
      </c>
      <c r="K64" s="313" t="s">
        <v>2341</v>
      </c>
      <c r="L64" s="313" t="s">
        <v>152</v>
      </c>
      <c r="M64" s="313" t="s">
        <v>64</v>
      </c>
      <c r="N64" s="313" t="s">
        <v>65</v>
      </c>
      <c r="O64" s="313" t="s">
        <v>66</v>
      </c>
      <c r="P64" s="314">
        <v>14</v>
      </c>
      <c r="Q64" s="478">
        <f t="shared" si="67"/>
        <v>12228411.502702702</v>
      </c>
      <c r="R64" s="316">
        <v>6.3E-3</v>
      </c>
      <c r="S64" s="317">
        <v>0.85791079517305968</v>
      </c>
      <c r="T64" s="478">
        <f t="shared" si="68"/>
        <v>10490886.235987065</v>
      </c>
      <c r="U64" s="478">
        <f t="shared" si="69"/>
        <v>77038.992467027027</v>
      </c>
      <c r="V64" s="479">
        <f t="shared" si="70"/>
        <v>6114205.7513513509</v>
      </c>
      <c r="W64" s="480">
        <v>2</v>
      </c>
      <c r="X64" s="477">
        <v>111</v>
      </c>
      <c r="Y64" s="481">
        <v>1357353.6768</v>
      </c>
      <c r="Z64" s="481">
        <f t="shared" si="46"/>
        <v>111.00000000000001</v>
      </c>
      <c r="AA64" s="481">
        <f t="shared" si="71"/>
        <v>17.61904761904762</v>
      </c>
      <c r="AB64" s="482">
        <f t="shared" si="47"/>
        <v>0.13012233857751596</v>
      </c>
      <c r="AC64" s="478">
        <f>'Audience Sizing'!E11</f>
        <v>46988133</v>
      </c>
      <c r="AD64" s="475">
        <v>45434</v>
      </c>
      <c r="AE64" s="475">
        <v>45473</v>
      </c>
      <c r="AF64" s="346" t="s">
        <v>2342</v>
      </c>
      <c r="AG64" s="312"/>
      <c r="AH64" s="298"/>
      <c r="AI64" s="366">
        <v>2.13</v>
      </c>
      <c r="AJ64" s="366">
        <f>AI64*Q64/1000</f>
        <v>26046.516500756756</v>
      </c>
      <c r="AK64" s="366">
        <f>AJ64*5%</f>
        <v>1302.3258250378378</v>
      </c>
      <c r="AL64" s="389">
        <f>AJ64+AK64</f>
        <v>27348.842325794594</v>
      </c>
      <c r="AN64" s="366">
        <v>1.43</v>
      </c>
      <c r="AO64" s="366">
        <f t="shared" si="72"/>
        <v>17486.628448864863</v>
      </c>
      <c r="AP64" s="366">
        <f t="shared" si="73"/>
        <v>874.33142244324324</v>
      </c>
      <c r="AQ64" s="389">
        <f t="shared" si="74"/>
        <v>18360.959871308107</v>
      </c>
      <c r="AR64" s="89"/>
      <c r="AT64" s="389"/>
      <c r="AV64" s="389"/>
    </row>
    <row r="65" spans="2:48" s="366" customFormat="1" x14ac:dyDescent="0.3">
      <c r="B65" s="492" t="s">
        <v>108</v>
      </c>
      <c r="C65" s="492" t="s">
        <v>56</v>
      </c>
      <c r="D65" s="492" t="s">
        <v>57</v>
      </c>
      <c r="E65" s="492" t="s">
        <v>58</v>
      </c>
      <c r="F65" s="492" t="s">
        <v>75</v>
      </c>
      <c r="G65" s="492" t="s">
        <v>60</v>
      </c>
      <c r="H65" s="492" t="s">
        <v>61</v>
      </c>
      <c r="I65" s="492" t="s">
        <v>2276</v>
      </c>
      <c r="J65" s="492" t="s">
        <v>76</v>
      </c>
      <c r="K65" s="492" t="s">
        <v>312</v>
      </c>
      <c r="L65" s="492" t="s">
        <v>77</v>
      </c>
      <c r="M65" s="492" t="s">
        <v>64</v>
      </c>
      <c r="N65" s="492" t="s">
        <v>65</v>
      </c>
      <c r="O65" s="492" t="s">
        <v>66</v>
      </c>
      <c r="P65" s="505">
        <v>13</v>
      </c>
      <c r="Q65" s="506">
        <f t="shared" si="67"/>
        <v>3015267.1755725192</v>
      </c>
      <c r="R65" s="496"/>
      <c r="S65" s="497">
        <v>0.75</v>
      </c>
      <c r="T65" s="506">
        <f t="shared" si="68"/>
        <v>2261450.3816793896</v>
      </c>
      <c r="U65" s="506">
        <f t="shared" si="69"/>
        <v>0</v>
      </c>
      <c r="V65" s="507">
        <f t="shared" si="70"/>
        <v>753816.7938931298</v>
      </c>
      <c r="W65" s="508">
        <v>4</v>
      </c>
      <c r="X65" s="499">
        <v>131</v>
      </c>
      <c r="Y65" s="500">
        <v>395000</v>
      </c>
      <c r="Z65" s="510">
        <f t="shared" si="46"/>
        <v>131</v>
      </c>
      <c r="AA65" s="510">
        <f t="shared" si="71"/>
        <v>0</v>
      </c>
      <c r="AB65" s="511">
        <f t="shared" si="47"/>
        <v>6.9750894790275603E-2</v>
      </c>
      <c r="AC65" s="506">
        <f>'Audience Sizing'!F11</f>
        <v>10807270.59</v>
      </c>
      <c r="AD65" s="526">
        <v>45460</v>
      </c>
      <c r="AE65" s="527">
        <v>45473</v>
      </c>
      <c r="AF65" s="346"/>
      <c r="AG65" s="312"/>
      <c r="AH65" s="298"/>
      <c r="AI65" s="366">
        <v>2.13</v>
      </c>
      <c r="AJ65" s="366">
        <f>AI65*Q65/1000</f>
        <v>6422.5190839694651</v>
      </c>
      <c r="AK65" s="366">
        <f>AJ65*5%</f>
        <v>321.12595419847327</v>
      </c>
      <c r="AL65" s="389">
        <f>AJ65+AK65</f>
        <v>6743.6450381679388</v>
      </c>
      <c r="AN65" s="366">
        <v>1.43</v>
      </c>
      <c r="AO65" s="366">
        <f t="shared" si="72"/>
        <v>4311.8320610687024</v>
      </c>
      <c r="AP65" s="366">
        <f t="shared" si="73"/>
        <v>215.59160305343514</v>
      </c>
      <c r="AQ65" s="389">
        <f t="shared" si="74"/>
        <v>4527.4236641221378</v>
      </c>
      <c r="AR65" s="89"/>
      <c r="AT65" s="389"/>
      <c r="AV65" s="389"/>
    </row>
    <row r="66" spans="2:48" s="366" customFormat="1" x14ac:dyDescent="0.3">
      <c r="B66" s="492" t="s">
        <v>108</v>
      </c>
      <c r="C66" s="492" t="s">
        <v>56</v>
      </c>
      <c r="D66" s="492" t="s">
        <v>71</v>
      </c>
      <c r="E66" s="492" t="s">
        <v>58</v>
      </c>
      <c r="F66" s="492" t="s">
        <v>72</v>
      </c>
      <c r="G66" s="492" t="s">
        <v>60</v>
      </c>
      <c r="H66" s="492" t="s">
        <v>61</v>
      </c>
      <c r="I66" s="492" t="s">
        <v>2276</v>
      </c>
      <c r="J66" s="492" t="s">
        <v>76</v>
      </c>
      <c r="K66" s="492" t="s">
        <v>2353</v>
      </c>
      <c r="L66" s="492" t="s">
        <v>152</v>
      </c>
      <c r="M66" s="492" t="s">
        <v>64</v>
      </c>
      <c r="N66" s="492" t="s">
        <v>65</v>
      </c>
      <c r="O66" s="492" t="s">
        <v>66</v>
      </c>
      <c r="P66" s="505"/>
      <c r="Q66" s="506">
        <f t="shared" si="67"/>
        <v>1755555.5555555555</v>
      </c>
      <c r="R66" s="496">
        <v>0</v>
      </c>
      <c r="S66" s="497">
        <v>0.85</v>
      </c>
      <c r="T66" s="506">
        <f t="shared" si="68"/>
        <v>1492222.2222222222</v>
      </c>
      <c r="U66" s="506">
        <f t="shared" si="69"/>
        <v>0</v>
      </c>
      <c r="V66" s="507">
        <f t="shared" si="70"/>
        <v>292592.59259259258</v>
      </c>
      <c r="W66" s="508">
        <v>6</v>
      </c>
      <c r="X66" s="499">
        <v>225</v>
      </c>
      <c r="Y66" s="500">
        <v>395000</v>
      </c>
      <c r="Z66" s="510">
        <f t="shared" si="46"/>
        <v>225</v>
      </c>
      <c r="AA66" s="510">
        <f t="shared" si="71"/>
        <v>0</v>
      </c>
      <c r="AB66" s="511">
        <f t="shared" si="47"/>
        <v>2.2958859255772998E-2</v>
      </c>
      <c r="AC66" s="506">
        <f>'Audience Sizing'!G11</f>
        <v>12744213</v>
      </c>
      <c r="AD66" s="526">
        <v>45460</v>
      </c>
      <c r="AE66" s="527">
        <v>45473</v>
      </c>
      <c r="AF66" s="346"/>
      <c r="AG66" s="312"/>
      <c r="AH66" s="298"/>
      <c r="AL66" s="389"/>
      <c r="AN66" s="366">
        <v>1.43</v>
      </c>
      <c r="AO66" s="366">
        <f t="shared" si="72"/>
        <v>2510.4444444444439</v>
      </c>
      <c r="AP66" s="366">
        <f t="shared" si="73"/>
        <v>125.5222222222222</v>
      </c>
      <c r="AQ66" s="389">
        <f t="shared" si="74"/>
        <v>2635.9666666666662</v>
      </c>
      <c r="AR66" s="89"/>
      <c r="AT66" s="389"/>
      <c r="AV66" s="389"/>
    </row>
    <row r="67" spans="2:48" s="366" customFormat="1" x14ac:dyDescent="0.3">
      <c r="B67" s="492" t="s">
        <v>108</v>
      </c>
      <c r="C67" s="492" t="s">
        <v>56</v>
      </c>
      <c r="D67" s="492" t="s">
        <v>299</v>
      </c>
      <c r="E67" s="492" t="s">
        <v>79</v>
      </c>
      <c r="F67" s="492" t="s">
        <v>383</v>
      </c>
      <c r="G67" s="492" t="s">
        <v>2338</v>
      </c>
      <c r="H67" s="492" t="s">
        <v>61</v>
      </c>
      <c r="I67" s="492" t="s">
        <v>2276</v>
      </c>
      <c r="J67" s="492" t="s">
        <v>76</v>
      </c>
      <c r="K67" s="492" t="s">
        <v>312</v>
      </c>
      <c r="L67" s="492" t="s">
        <v>152</v>
      </c>
      <c r="M67" s="492" t="s">
        <v>64</v>
      </c>
      <c r="N67" s="492" t="s">
        <v>65</v>
      </c>
      <c r="O67" s="492" t="s">
        <v>65</v>
      </c>
      <c r="P67" s="505"/>
      <c r="Q67" s="506">
        <f t="shared" si="67"/>
        <v>1039501.0395010395</v>
      </c>
      <c r="R67" s="496">
        <v>1.2E-2</v>
      </c>
      <c r="S67" s="497">
        <v>1</v>
      </c>
      <c r="T67" s="506">
        <f t="shared" si="68"/>
        <v>1039501.0395010395</v>
      </c>
      <c r="U67" s="506">
        <f t="shared" si="69"/>
        <v>12474.012474012476</v>
      </c>
      <c r="V67" s="507">
        <f t="shared" si="70"/>
        <v>259875.25987525989</v>
      </c>
      <c r="W67" s="508">
        <v>4</v>
      </c>
      <c r="X67" s="509">
        <v>240.5</v>
      </c>
      <c r="Y67" s="500">
        <v>250000</v>
      </c>
      <c r="Z67" s="510">
        <f t="shared" si="46"/>
        <v>240.5</v>
      </c>
      <c r="AA67" s="510">
        <f t="shared" si="71"/>
        <v>20.041666666666664</v>
      </c>
      <c r="AB67" s="511"/>
      <c r="AC67" s="506"/>
      <c r="AD67" s="526">
        <v>45460</v>
      </c>
      <c r="AE67" s="527">
        <v>45473</v>
      </c>
      <c r="AF67" s="346"/>
      <c r="AG67" s="312"/>
      <c r="AH67" s="298"/>
      <c r="AL67" s="389"/>
      <c r="AN67" s="366">
        <v>1.43</v>
      </c>
      <c r="AO67" s="366">
        <f t="shared" ref="AO67" si="75">AN67*Q67/1000</f>
        <v>1486.4864864864865</v>
      </c>
      <c r="AP67" s="366">
        <f t="shared" ref="AP67" si="76">AO67*5%</f>
        <v>74.324324324324323</v>
      </c>
      <c r="AQ67" s="389">
        <f t="shared" ref="AQ67" si="77">SUM(AO67:AP67)</f>
        <v>1560.8108108108108</v>
      </c>
      <c r="AR67" s="89"/>
      <c r="AT67" s="389"/>
      <c r="AV67" s="389"/>
    </row>
    <row r="68" spans="2:48" s="366" customFormat="1" x14ac:dyDescent="0.3">
      <c r="B68" s="313" t="s">
        <v>108</v>
      </c>
      <c r="C68" s="313" t="s">
        <v>56</v>
      </c>
      <c r="D68" s="313" t="s">
        <v>71</v>
      </c>
      <c r="E68" s="313" t="s">
        <v>67</v>
      </c>
      <c r="F68" s="313" t="s">
        <v>72</v>
      </c>
      <c r="G68" s="313" t="s">
        <v>60</v>
      </c>
      <c r="H68" s="313" t="s">
        <v>68</v>
      </c>
      <c r="I68" s="313" t="s">
        <v>2276</v>
      </c>
      <c r="J68" s="313" t="s">
        <v>76</v>
      </c>
      <c r="K68" s="313" t="s">
        <v>2298</v>
      </c>
      <c r="L68" s="313" t="s">
        <v>152</v>
      </c>
      <c r="M68" s="313" t="s">
        <v>64</v>
      </c>
      <c r="N68" s="313" t="s">
        <v>65</v>
      </c>
      <c r="O68" s="313" t="s">
        <v>65</v>
      </c>
      <c r="P68" s="314">
        <v>13</v>
      </c>
      <c r="Q68" s="478">
        <f t="shared" si="67"/>
        <v>6260010.4317482049</v>
      </c>
      <c r="R68" s="316">
        <v>7.0000000000000001E-3</v>
      </c>
      <c r="S68" s="317">
        <v>0.85</v>
      </c>
      <c r="T68" s="478">
        <f t="shared" si="68"/>
        <v>5321008.8669859739</v>
      </c>
      <c r="U68" s="478">
        <f t="shared" si="69"/>
        <v>43820.073022237433</v>
      </c>
      <c r="V68" s="479">
        <f t="shared" si="70"/>
        <v>3130005.2158741024</v>
      </c>
      <c r="W68" s="480">
        <v>2</v>
      </c>
      <c r="X68" s="477">
        <v>175</v>
      </c>
      <c r="Y68" s="481">
        <v>1095501.825555936</v>
      </c>
      <c r="Z68" s="481">
        <f t="shared" si="46"/>
        <v>175.00000000000003</v>
      </c>
      <c r="AA68" s="481">
        <f t="shared" si="71"/>
        <v>25.000000000000004</v>
      </c>
      <c r="AB68" s="482">
        <f t="shared" si="47"/>
        <v>0.24560207961637981</v>
      </c>
      <c r="AC68" s="478">
        <f>'Audience Sizing'!G11</f>
        <v>12744213</v>
      </c>
      <c r="AD68" s="475">
        <v>45435</v>
      </c>
      <c r="AE68" s="475">
        <v>45473</v>
      </c>
      <c r="AF68" s="346" t="s">
        <v>2342</v>
      </c>
      <c r="AG68" s="312"/>
      <c r="AH68" s="298"/>
      <c r="AN68" s="366">
        <v>1.43</v>
      </c>
      <c r="AO68" s="366">
        <f t="shared" si="72"/>
        <v>8951.8149173999318</v>
      </c>
      <c r="AP68" s="366">
        <f t="shared" si="73"/>
        <v>447.59074586999662</v>
      </c>
      <c r="AQ68" s="389">
        <f t="shared" si="74"/>
        <v>9399.4056632699285</v>
      </c>
      <c r="AR68" s="263"/>
      <c r="AT68" s="389"/>
      <c r="AV68" s="389"/>
    </row>
    <row r="69" spans="2:48" s="366" customFormat="1" x14ac:dyDescent="0.3">
      <c r="B69" s="313" t="s">
        <v>108</v>
      </c>
      <c r="C69" s="313" t="s">
        <v>56</v>
      </c>
      <c r="D69" s="313" t="s">
        <v>71</v>
      </c>
      <c r="E69" s="313" t="s">
        <v>67</v>
      </c>
      <c r="F69" s="313" t="s">
        <v>72</v>
      </c>
      <c r="G69" s="313" t="s">
        <v>60</v>
      </c>
      <c r="H69" s="313" t="s">
        <v>68</v>
      </c>
      <c r="I69" s="313" t="s">
        <v>2276</v>
      </c>
      <c r="J69" s="313" t="s">
        <v>76</v>
      </c>
      <c r="K69" s="313" t="s">
        <v>2299</v>
      </c>
      <c r="L69" s="313" t="s">
        <v>152</v>
      </c>
      <c r="M69" s="313" t="s">
        <v>64</v>
      </c>
      <c r="N69" s="313" t="s">
        <v>65</v>
      </c>
      <c r="O69" s="313" t="s">
        <v>65</v>
      </c>
      <c r="P69" s="314">
        <v>13</v>
      </c>
      <c r="Q69" s="478">
        <f t="shared" si="67"/>
        <v>2086670.1439160684</v>
      </c>
      <c r="R69" s="316">
        <v>3.0000000000000001E-3</v>
      </c>
      <c r="S69" s="317">
        <v>0.85</v>
      </c>
      <c r="T69" s="478">
        <f t="shared" si="68"/>
        <v>1773669.6223286581</v>
      </c>
      <c r="U69" s="478">
        <f t="shared" si="69"/>
        <v>6260.0104317482055</v>
      </c>
      <c r="V69" s="479">
        <f t="shared" si="70"/>
        <v>1043335.0719580342</v>
      </c>
      <c r="W69" s="480">
        <v>2</v>
      </c>
      <c r="X69" s="477">
        <v>105</v>
      </c>
      <c r="Y69" s="481">
        <v>219100.36511118719</v>
      </c>
      <c r="Z69" s="481">
        <f t="shared" si="46"/>
        <v>105.00000000000001</v>
      </c>
      <c r="AA69" s="481">
        <f t="shared" si="71"/>
        <v>35</v>
      </c>
      <c r="AB69" s="482">
        <f t="shared" si="47"/>
        <v>8.1867359872126608E-2</v>
      </c>
      <c r="AC69" s="478">
        <f>'Audience Sizing'!G11</f>
        <v>12744213</v>
      </c>
      <c r="AD69" s="475">
        <v>45435</v>
      </c>
      <c r="AE69" s="475">
        <v>45473</v>
      </c>
      <c r="AF69" s="346" t="s">
        <v>2342</v>
      </c>
      <c r="AG69" s="312"/>
      <c r="AH69" s="298"/>
      <c r="AN69" s="366">
        <v>1.43</v>
      </c>
      <c r="AO69" s="366">
        <f t="shared" si="72"/>
        <v>2983.938305799978</v>
      </c>
      <c r="AP69" s="366">
        <f t="shared" si="73"/>
        <v>149.19691528999891</v>
      </c>
      <c r="AQ69" s="389">
        <f t="shared" si="74"/>
        <v>3133.1352210899768</v>
      </c>
      <c r="AR69" s="263"/>
      <c r="AT69" s="389"/>
      <c r="AV69" s="389"/>
    </row>
    <row r="70" spans="2:48" s="366" customFormat="1" x14ac:dyDescent="0.3">
      <c r="B70" s="313" t="s">
        <v>108</v>
      </c>
      <c r="C70" s="313" t="s">
        <v>56</v>
      </c>
      <c r="D70" s="313" t="s">
        <v>71</v>
      </c>
      <c r="E70" s="313" t="s">
        <v>67</v>
      </c>
      <c r="F70" s="313" t="s">
        <v>72</v>
      </c>
      <c r="G70" s="313" t="s">
        <v>60</v>
      </c>
      <c r="H70" s="313" t="s">
        <v>69</v>
      </c>
      <c r="I70" s="313" t="s">
        <v>2276</v>
      </c>
      <c r="J70" s="313" t="s">
        <v>76</v>
      </c>
      <c r="K70" s="313" t="s">
        <v>2334</v>
      </c>
      <c r="L70" s="313" t="s">
        <v>152</v>
      </c>
      <c r="M70" s="313" t="s">
        <v>64</v>
      </c>
      <c r="N70" s="313" t="s">
        <v>65</v>
      </c>
      <c r="O70" s="313" t="s">
        <v>65</v>
      </c>
      <c r="P70" s="314">
        <v>13</v>
      </c>
      <c r="Q70" s="478">
        <f t="shared" si="67"/>
        <v>6260010.4317482049</v>
      </c>
      <c r="R70" s="316">
        <v>7.0000000000000001E-3</v>
      </c>
      <c r="S70" s="317">
        <v>0.85</v>
      </c>
      <c r="T70" s="478">
        <f t="shared" si="68"/>
        <v>5321008.8669859739</v>
      </c>
      <c r="U70" s="478">
        <f t="shared" si="69"/>
        <v>43820.073022237433</v>
      </c>
      <c r="V70" s="479">
        <f t="shared" si="70"/>
        <v>3130005.2158741024</v>
      </c>
      <c r="W70" s="480">
        <v>2</v>
      </c>
      <c r="X70" s="477">
        <v>175</v>
      </c>
      <c r="Y70" s="481">
        <v>1095501.825555936</v>
      </c>
      <c r="Z70" s="481">
        <f t="shared" si="46"/>
        <v>175.00000000000003</v>
      </c>
      <c r="AA70" s="481">
        <f t="shared" si="71"/>
        <v>25.000000000000004</v>
      </c>
      <c r="AB70" s="482">
        <f t="shared" si="47"/>
        <v>0.24560207961637981</v>
      </c>
      <c r="AC70" s="478">
        <f>'Audience Sizing'!G11</f>
        <v>12744213</v>
      </c>
      <c r="AD70" s="475">
        <v>45435</v>
      </c>
      <c r="AE70" s="475">
        <v>45473</v>
      </c>
      <c r="AF70" s="346" t="s">
        <v>2342</v>
      </c>
      <c r="AG70" s="312"/>
      <c r="AH70" s="298"/>
      <c r="AN70" s="366">
        <v>1.43</v>
      </c>
      <c r="AO70" s="366">
        <f t="shared" si="72"/>
        <v>8951.8149173999318</v>
      </c>
      <c r="AP70" s="366">
        <f t="shared" si="73"/>
        <v>447.59074586999662</v>
      </c>
      <c r="AQ70" s="389">
        <f t="shared" si="74"/>
        <v>9399.4056632699285</v>
      </c>
      <c r="AR70" s="263"/>
      <c r="AT70" s="389"/>
      <c r="AV70" s="389"/>
    </row>
    <row r="71" spans="2:48" s="366" customFormat="1" x14ac:dyDescent="0.3">
      <c r="B71" s="313" t="s">
        <v>108</v>
      </c>
      <c r="C71" s="313" t="s">
        <v>56</v>
      </c>
      <c r="D71" s="313" t="s">
        <v>71</v>
      </c>
      <c r="E71" s="313" t="s">
        <v>67</v>
      </c>
      <c r="F71" s="313" t="s">
        <v>72</v>
      </c>
      <c r="G71" s="313" t="s">
        <v>60</v>
      </c>
      <c r="H71" s="313" t="s">
        <v>69</v>
      </c>
      <c r="I71" s="313" t="s">
        <v>2276</v>
      </c>
      <c r="J71" s="313" t="s">
        <v>76</v>
      </c>
      <c r="K71" s="313" t="s">
        <v>2300</v>
      </c>
      <c r="L71" s="313" t="s">
        <v>152</v>
      </c>
      <c r="M71" s="313" t="s">
        <v>64</v>
      </c>
      <c r="N71" s="313" t="s">
        <v>65</v>
      </c>
      <c r="O71" s="313" t="s">
        <v>65</v>
      </c>
      <c r="P71" s="314">
        <v>13</v>
      </c>
      <c r="Q71" s="478">
        <f t="shared" si="67"/>
        <v>2086670.1439160684</v>
      </c>
      <c r="R71" s="316">
        <v>3.0000000000000001E-3</v>
      </c>
      <c r="S71" s="317">
        <v>0.85</v>
      </c>
      <c r="T71" s="478">
        <f t="shared" si="68"/>
        <v>1773669.6223286581</v>
      </c>
      <c r="U71" s="478">
        <f t="shared" si="69"/>
        <v>6260.0104317482055</v>
      </c>
      <c r="V71" s="479">
        <f t="shared" si="70"/>
        <v>1043335.0719580342</v>
      </c>
      <c r="W71" s="480">
        <v>2</v>
      </c>
      <c r="X71" s="477">
        <v>105</v>
      </c>
      <c r="Y71" s="481">
        <v>219100.36511118719</v>
      </c>
      <c r="Z71" s="481">
        <f t="shared" si="46"/>
        <v>105.00000000000001</v>
      </c>
      <c r="AA71" s="481">
        <f t="shared" si="71"/>
        <v>35</v>
      </c>
      <c r="AB71" s="482">
        <f t="shared" si="47"/>
        <v>8.1867359872126608E-2</v>
      </c>
      <c r="AC71" s="478">
        <f>'Audience Sizing'!G11</f>
        <v>12744213</v>
      </c>
      <c r="AD71" s="475">
        <v>45435</v>
      </c>
      <c r="AE71" s="475">
        <v>45473</v>
      </c>
      <c r="AF71" s="346" t="s">
        <v>2342</v>
      </c>
      <c r="AG71" s="312"/>
      <c r="AH71" s="298"/>
      <c r="AN71" s="366">
        <v>1.43</v>
      </c>
      <c r="AO71" s="366">
        <f t="shared" si="72"/>
        <v>2983.938305799978</v>
      </c>
      <c r="AP71" s="366">
        <f t="shared" si="73"/>
        <v>149.19691528999891</v>
      </c>
      <c r="AQ71" s="389">
        <f t="shared" si="74"/>
        <v>3133.1352210899768</v>
      </c>
      <c r="AR71" s="263"/>
      <c r="AT71" s="389"/>
      <c r="AV71" s="389"/>
    </row>
    <row r="72" spans="2:48" s="366" customFormat="1" x14ac:dyDescent="0.3">
      <c r="B72" s="490" t="s">
        <v>111</v>
      </c>
      <c r="C72" s="439"/>
      <c r="D72" s="439"/>
      <c r="E72" s="439"/>
      <c r="F72" s="439"/>
      <c r="G72" s="439"/>
      <c r="H72" s="439"/>
      <c r="I72" s="439"/>
      <c r="J72" s="439"/>
      <c r="K72" s="439"/>
      <c r="L72" s="439"/>
      <c r="M72" s="439"/>
      <c r="N72" s="439"/>
      <c r="O72" s="439"/>
      <c r="P72" s="440"/>
      <c r="Q72" s="441">
        <f>SUM(Q63:Q71)</f>
        <v>48234300.792227931</v>
      </c>
      <c r="R72" s="442">
        <f>U72/Q72</f>
        <v>5.7518715039174759E-3</v>
      </c>
      <c r="S72" s="443">
        <f>T72/Q72</f>
        <v>0.85063972208577543</v>
      </c>
      <c r="T72" s="441">
        <f>SUM(T63:T71)</f>
        <v>41030012.220902465</v>
      </c>
      <c r="U72" s="441">
        <f>SUM(U63:U71)</f>
        <v>277437.50023819995</v>
      </c>
      <c r="V72" s="444">
        <f>V64+V63*20%+SUM(V65:V71)*50%</f>
        <v>12290908.799120735</v>
      </c>
      <c r="W72" s="445">
        <f>Q72/V72</f>
        <v>3.9243884712315582</v>
      </c>
      <c r="X72" s="446"/>
      <c r="Y72" s="447">
        <f>SUM(Y63:Y71)</f>
        <v>6525302.7429342456</v>
      </c>
      <c r="Z72" s="447">
        <f t="shared" si="46"/>
        <v>135.28345255884125</v>
      </c>
      <c r="AA72" s="447">
        <f>Y72/U72</f>
        <v>23.519901734018674</v>
      </c>
      <c r="AB72" s="448">
        <f t="shared" si="47"/>
        <v>0.42382444134899089</v>
      </c>
      <c r="AC72" s="441">
        <f>'Audience Sizing'!C11</f>
        <v>29000000</v>
      </c>
      <c r="AD72" s="387"/>
      <c r="AE72" s="387"/>
      <c r="AF72" s="376"/>
      <c r="AG72" s="312"/>
    </row>
    <row r="73" spans="2:48" x14ac:dyDescent="0.3">
      <c r="B73" s="525" t="s">
        <v>242</v>
      </c>
      <c r="C73" s="512" t="s">
        <v>56</v>
      </c>
      <c r="D73" s="512" t="s">
        <v>57</v>
      </c>
      <c r="E73" s="512" t="s">
        <v>67</v>
      </c>
      <c r="F73" s="512" t="s">
        <v>75</v>
      </c>
      <c r="G73" s="512" t="s">
        <v>60</v>
      </c>
      <c r="H73" s="512" t="s">
        <v>68</v>
      </c>
      <c r="I73" s="512" t="s">
        <v>2276</v>
      </c>
      <c r="J73" s="512" t="s">
        <v>76</v>
      </c>
      <c r="K73" s="512" t="s">
        <v>2340</v>
      </c>
      <c r="L73" s="512" t="s">
        <v>152</v>
      </c>
      <c r="M73" s="512" t="s">
        <v>64</v>
      </c>
      <c r="N73" s="512" t="s">
        <v>65</v>
      </c>
      <c r="O73" s="512" t="s">
        <v>66</v>
      </c>
      <c r="P73" s="513">
        <v>14</v>
      </c>
      <c r="Q73" s="514">
        <f t="shared" ref="Q73:Q80" si="78">Y73*1000/X73</f>
        <v>569942.28468468459</v>
      </c>
      <c r="R73" s="515">
        <v>6.4999999999999997E-3</v>
      </c>
      <c r="S73" s="516">
        <v>0.85590434334133847</v>
      </c>
      <c r="T73" s="514">
        <f t="shared" ref="T73:T80" si="79">Q73*S73</f>
        <v>487816.07691550715</v>
      </c>
      <c r="U73" s="514">
        <f t="shared" ref="U73:U80" si="80">Q73*R73</f>
        <v>3704.6248504504497</v>
      </c>
      <c r="V73" s="517">
        <f t="shared" ref="V73:V80" si="81">Q73/W73</f>
        <v>284971.1423423423</v>
      </c>
      <c r="W73" s="518">
        <v>2</v>
      </c>
      <c r="X73" s="519">
        <v>111</v>
      </c>
      <c r="Y73" s="520">
        <f>83263.5936-20000</f>
        <v>63263.593599999993</v>
      </c>
      <c r="Z73" s="520">
        <f t="shared" ref="Z73:Z94" si="82">Y73/Q73*1000</f>
        <v>111</v>
      </c>
      <c r="AA73" s="520">
        <f t="shared" ref="AA73:AA80" si="83">IFERROR(Y73/U73, 0)</f>
        <v>17.07692307692308</v>
      </c>
      <c r="AB73" s="521">
        <f t="shared" ref="AB73:AB104" si="84">V73/AC73</f>
        <v>0.15724327036171748</v>
      </c>
      <c r="AC73" s="514">
        <f>'Audience Sizing'!E14</f>
        <v>1812294.6800000002</v>
      </c>
      <c r="AD73" s="526">
        <v>45460</v>
      </c>
      <c r="AE73" s="527">
        <v>45473</v>
      </c>
      <c r="AF73" s="312"/>
      <c r="AG73" s="312"/>
      <c r="AI73">
        <v>2.13</v>
      </c>
      <c r="AJ73">
        <f>AI73*Q73/1000</f>
        <v>1213.9770663783781</v>
      </c>
      <c r="AK73">
        <f>AJ73*5%</f>
        <v>60.698853318918907</v>
      </c>
      <c r="AL73">
        <f>AJ73+AK73</f>
        <v>1274.6759196972971</v>
      </c>
      <c r="AN73">
        <v>1.43</v>
      </c>
      <c r="AO73">
        <f t="shared" ref="AO73:AO80" si="85">AN73*Q73/1000</f>
        <v>815.01746709909901</v>
      </c>
      <c r="AP73">
        <f t="shared" ref="AP73:AP80" si="86">AO73*5%</f>
        <v>40.750873354954955</v>
      </c>
      <c r="AQ73">
        <f t="shared" ref="AQ73:AQ80" si="87">SUM(AO73:AP73)</f>
        <v>855.76834045405394</v>
      </c>
    </row>
    <row r="74" spans="2:48" x14ac:dyDescent="0.3">
      <c r="B74" s="525" t="s">
        <v>242</v>
      </c>
      <c r="C74" s="512" t="s">
        <v>56</v>
      </c>
      <c r="D74" s="512" t="s">
        <v>57</v>
      </c>
      <c r="E74" s="512" t="s">
        <v>67</v>
      </c>
      <c r="F74" s="512" t="s">
        <v>75</v>
      </c>
      <c r="G74" s="512" t="s">
        <v>60</v>
      </c>
      <c r="H74" s="512" t="s">
        <v>69</v>
      </c>
      <c r="I74" s="512" t="s">
        <v>2276</v>
      </c>
      <c r="J74" s="512" t="s">
        <v>76</v>
      </c>
      <c r="K74" s="512" t="s">
        <v>2341</v>
      </c>
      <c r="L74" s="512" t="s">
        <v>152</v>
      </c>
      <c r="M74" s="512" t="s">
        <v>64</v>
      </c>
      <c r="N74" s="512" t="s">
        <v>65</v>
      </c>
      <c r="O74" s="512" t="s">
        <v>66</v>
      </c>
      <c r="P74" s="513">
        <v>14</v>
      </c>
      <c r="Q74" s="514">
        <f t="shared" si="78"/>
        <v>589266.10450450447</v>
      </c>
      <c r="R74" s="515">
        <v>6.3E-3</v>
      </c>
      <c r="S74" s="516">
        <v>0.85791079517305968</v>
      </c>
      <c r="T74" s="514">
        <f t="shared" si="79"/>
        <v>505537.75228399073</v>
      </c>
      <c r="U74" s="514">
        <f t="shared" si="80"/>
        <v>3712.3764583783782</v>
      </c>
      <c r="V74" s="517">
        <f t="shared" si="81"/>
        <v>294633.05225225224</v>
      </c>
      <c r="W74" s="518">
        <v>2</v>
      </c>
      <c r="X74" s="519">
        <v>111</v>
      </c>
      <c r="Y74" s="520">
        <f>75408.5376-10000</f>
        <v>65408.537599999996</v>
      </c>
      <c r="Z74" s="520">
        <f t="shared" si="82"/>
        <v>111</v>
      </c>
      <c r="AA74" s="520">
        <f t="shared" si="83"/>
        <v>17.61904761904762</v>
      </c>
      <c r="AB74" s="521">
        <f t="shared" si="84"/>
        <v>0.16257458320864918</v>
      </c>
      <c r="AC74" s="514">
        <f>'Audience Sizing'!E14</f>
        <v>1812294.6800000002</v>
      </c>
      <c r="AD74" s="526">
        <v>45460</v>
      </c>
      <c r="AE74" s="527">
        <v>45473</v>
      </c>
      <c r="AF74" s="312"/>
      <c r="AG74" s="312"/>
      <c r="AI74">
        <v>2.13</v>
      </c>
      <c r="AJ74">
        <f>AI74*Q74/1000</f>
        <v>1255.1368025945944</v>
      </c>
      <c r="AK74">
        <f>AJ74*5%</f>
        <v>62.756840129729724</v>
      </c>
      <c r="AL74">
        <f>AJ74+AK74</f>
        <v>1317.8936427243241</v>
      </c>
      <c r="AN74">
        <v>1.43</v>
      </c>
      <c r="AO74">
        <f t="shared" si="85"/>
        <v>842.65052944144145</v>
      </c>
      <c r="AP74">
        <f t="shared" si="86"/>
        <v>42.132526472072072</v>
      </c>
      <c r="AQ74">
        <f t="shared" si="87"/>
        <v>884.78305591351352</v>
      </c>
    </row>
    <row r="75" spans="2:48" x14ac:dyDescent="0.3">
      <c r="B75" s="525" t="s">
        <v>242</v>
      </c>
      <c r="C75" s="512" t="s">
        <v>56</v>
      </c>
      <c r="D75" s="512" t="s">
        <v>57</v>
      </c>
      <c r="E75" s="512" t="s">
        <v>58</v>
      </c>
      <c r="F75" s="512" t="s">
        <v>75</v>
      </c>
      <c r="G75" s="512" t="s">
        <v>60</v>
      </c>
      <c r="H75" s="512" t="s">
        <v>61</v>
      </c>
      <c r="I75" s="512" t="s">
        <v>2276</v>
      </c>
      <c r="J75" s="512" t="s">
        <v>76</v>
      </c>
      <c r="K75" s="512" t="s">
        <v>312</v>
      </c>
      <c r="L75" s="512" t="s">
        <v>77</v>
      </c>
      <c r="M75" s="512" t="s">
        <v>64</v>
      </c>
      <c r="N75" s="512" t="s">
        <v>65</v>
      </c>
      <c r="O75" s="512" t="s">
        <v>66</v>
      </c>
      <c r="P75" s="513">
        <v>13</v>
      </c>
      <c r="Q75" s="514">
        <f t="shared" si="78"/>
        <v>458015.26717557252</v>
      </c>
      <c r="R75" s="515"/>
      <c r="S75" s="516">
        <v>0.75</v>
      </c>
      <c r="T75" s="514">
        <f t="shared" si="79"/>
        <v>343511.4503816794</v>
      </c>
      <c r="U75" s="514">
        <f t="shared" si="80"/>
        <v>0</v>
      </c>
      <c r="V75" s="517">
        <f t="shared" si="81"/>
        <v>114503.81679389313</v>
      </c>
      <c r="W75" s="518">
        <v>4</v>
      </c>
      <c r="X75" s="499">
        <v>131</v>
      </c>
      <c r="Y75" s="500">
        <v>60000</v>
      </c>
      <c r="Z75" s="520">
        <f t="shared" si="82"/>
        <v>131</v>
      </c>
      <c r="AA75" s="520">
        <f t="shared" si="83"/>
        <v>0</v>
      </c>
      <c r="AB75" s="521">
        <f t="shared" si="84"/>
        <v>0.27470294274250073</v>
      </c>
      <c r="AC75" s="514">
        <f>'Audience Sizing'!F14</f>
        <v>416827.77640000009</v>
      </c>
      <c r="AD75" s="526">
        <v>45460</v>
      </c>
      <c r="AE75" s="527">
        <v>45473</v>
      </c>
      <c r="AF75" s="312"/>
      <c r="AG75" s="312"/>
      <c r="AI75">
        <v>2.13</v>
      </c>
      <c r="AJ75">
        <f>AI75*Q75/1000</f>
        <v>975.57251908396938</v>
      </c>
      <c r="AK75">
        <f>AJ75*5%</f>
        <v>48.778625954198475</v>
      </c>
      <c r="AL75">
        <f>AJ75+AK75</f>
        <v>1024.3511450381679</v>
      </c>
      <c r="AN75">
        <v>1.43</v>
      </c>
      <c r="AO75">
        <f t="shared" si="85"/>
        <v>654.96183206106866</v>
      </c>
      <c r="AP75">
        <f t="shared" si="86"/>
        <v>32.748091603053432</v>
      </c>
      <c r="AQ75">
        <f t="shared" si="87"/>
        <v>687.70992366412213</v>
      </c>
    </row>
    <row r="76" spans="2:48" x14ac:dyDescent="0.3">
      <c r="B76" s="525" t="s">
        <v>242</v>
      </c>
      <c r="C76" s="512" t="s">
        <v>56</v>
      </c>
      <c r="D76" s="512" t="s">
        <v>71</v>
      </c>
      <c r="E76" s="512" t="s">
        <v>58</v>
      </c>
      <c r="F76" s="512" t="s">
        <v>72</v>
      </c>
      <c r="G76" s="512" t="s">
        <v>60</v>
      </c>
      <c r="H76" s="512" t="s">
        <v>61</v>
      </c>
      <c r="I76" s="512" t="s">
        <v>2276</v>
      </c>
      <c r="J76" s="512" t="s">
        <v>76</v>
      </c>
      <c r="K76" s="492" t="s">
        <v>2353</v>
      </c>
      <c r="L76" s="512" t="s">
        <v>152</v>
      </c>
      <c r="M76" s="512" t="s">
        <v>64</v>
      </c>
      <c r="N76" s="512" t="s">
        <v>65</v>
      </c>
      <c r="O76" s="512" t="s">
        <v>66</v>
      </c>
      <c r="P76" s="513"/>
      <c r="Q76" s="514">
        <f t="shared" si="78"/>
        <v>266666.66666666669</v>
      </c>
      <c r="R76" s="515">
        <v>0</v>
      </c>
      <c r="S76" s="516">
        <v>0.85</v>
      </c>
      <c r="T76" s="514">
        <f t="shared" si="79"/>
        <v>226666.66666666669</v>
      </c>
      <c r="U76" s="514">
        <f t="shared" si="80"/>
        <v>0</v>
      </c>
      <c r="V76" s="517">
        <f t="shared" si="81"/>
        <v>44444.444444444445</v>
      </c>
      <c r="W76" s="518">
        <v>6</v>
      </c>
      <c r="X76" s="499">
        <v>225</v>
      </c>
      <c r="Y76" s="500">
        <v>60000</v>
      </c>
      <c r="Z76" s="520">
        <f t="shared" si="82"/>
        <v>224.99999999999997</v>
      </c>
      <c r="AA76" s="520">
        <f t="shared" si="83"/>
        <v>0</v>
      </c>
      <c r="AB76" s="521">
        <f t="shared" si="84"/>
        <v>0.42254238258550725</v>
      </c>
      <c r="AC76" s="514">
        <f>'Audience Sizing'!H14</f>
        <v>105183.40000000001</v>
      </c>
      <c r="AD76" s="526">
        <v>45460</v>
      </c>
      <c r="AE76" s="527">
        <v>45473</v>
      </c>
      <c r="AF76" s="312"/>
      <c r="AG76" s="312"/>
      <c r="AN76">
        <v>1.43</v>
      </c>
      <c r="AO76">
        <f t="shared" si="85"/>
        <v>381.33333333333337</v>
      </c>
      <c r="AP76">
        <f t="shared" si="86"/>
        <v>19.06666666666667</v>
      </c>
      <c r="AQ76">
        <f t="shared" si="87"/>
        <v>400.40000000000003</v>
      </c>
    </row>
    <row r="77" spans="2:48" x14ac:dyDescent="0.3">
      <c r="B77" s="525" t="s">
        <v>242</v>
      </c>
      <c r="C77" s="512" t="s">
        <v>56</v>
      </c>
      <c r="D77" s="512" t="s">
        <v>71</v>
      </c>
      <c r="E77" s="512" t="s">
        <v>67</v>
      </c>
      <c r="F77" s="512" t="s">
        <v>72</v>
      </c>
      <c r="G77" s="512" t="s">
        <v>60</v>
      </c>
      <c r="H77" s="512" t="s">
        <v>68</v>
      </c>
      <c r="I77" s="512" t="s">
        <v>2276</v>
      </c>
      <c r="J77" s="512" t="s">
        <v>76</v>
      </c>
      <c r="K77" s="512" t="s">
        <v>2298</v>
      </c>
      <c r="L77" s="512" t="s">
        <v>152</v>
      </c>
      <c r="M77" s="512" t="s">
        <v>64</v>
      </c>
      <c r="N77" s="512" t="s">
        <v>65</v>
      </c>
      <c r="O77" s="512" t="s">
        <v>65</v>
      </c>
      <c r="P77" s="513">
        <v>13</v>
      </c>
      <c r="Q77" s="514">
        <f t="shared" si="78"/>
        <v>445156.29736876173</v>
      </c>
      <c r="R77" s="515">
        <v>7.0000000000000001E-3</v>
      </c>
      <c r="S77" s="516">
        <v>0.85</v>
      </c>
      <c r="T77" s="514">
        <f t="shared" si="79"/>
        <v>378382.85276344744</v>
      </c>
      <c r="U77" s="514">
        <f t="shared" si="80"/>
        <v>3116.0940815813324</v>
      </c>
      <c r="V77" s="517">
        <f t="shared" si="81"/>
        <v>222578.14868438087</v>
      </c>
      <c r="W77" s="518">
        <v>2</v>
      </c>
      <c r="X77" s="519">
        <v>175</v>
      </c>
      <c r="Y77" s="520">
        <v>77902.352039533303</v>
      </c>
      <c r="Z77" s="520">
        <f t="shared" si="82"/>
        <v>175</v>
      </c>
      <c r="AA77" s="520">
        <f t="shared" si="83"/>
        <v>24.999999999999996</v>
      </c>
      <c r="AB77" s="521">
        <f t="shared" si="84"/>
        <v>0.20981180529956794</v>
      </c>
      <c r="AC77" s="514">
        <f>'Audience Sizing'!G14</f>
        <v>1060846.6400000001</v>
      </c>
      <c r="AD77" s="526">
        <v>45460</v>
      </c>
      <c r="AE77" s="527">
        <v>45473</v>
      </c>
      <c r="AF77" s="536"/>
      <c r="AG77" s="537"/>
      <c r="AN77">
        <v>1.43</v>
      </c>
      <c r="AO77">
        <f t="shared" si="85"/>
        <v>636.5735052373293</v>
      </c>
      <c r="AP77">
        <f t="shared" si="86"/>
        <v>31.828675261866465</v>
      </c>
      <c r="AQ77">
        <f t="shared" si="87"/>
        <v>668.40218049919577</v>
      </c>
    </row>
    <row r="78" spans="2:48" x14ac:dyDescent="0.3">
      <c r="B78" s="525" t="s">
        <v>242</v>
      </c>
      <c r="C78" s="512" t="s">
        <v>56</v>
      </c>
      <c r="D78" s="512" t="s">
        <v>71</v>
      </c>
      <c r="E78" s="512" t="s">
        <v>67</v>
      </c>
      <c r="F78" s="512" t="s">
        <v>72</v>
      </c>
      <c r="G78" s="512" t="s">
        <v>60</v>
      </c>
      <c r="H78" s="512" t="s">
        <v>68</v>
      </c>
      <c r="I78" s="512" t="s">
        <v>2276</v>
      </c>
      <c r="J78" s="512" t="s">
        <v>76</v>
      </c>
      <c r="K78" s="512" t="s">
        <v>2299</v>
      </c>
      <c r="L78" s="512" t="s">
        <v>152</v>
      </c>
      <c r="M78" s="512" t="s">
        <v>64</v>
      </c>
      <c r="N78" s="512" t="s">
        <v>65</v>
      </c>
      <c r="O78" s="512" t="s">
        <v>65</v>
      </c>
      <c r="P78" s="513">
        <v>13</v>
      </c>
      <c r="Q78" s="514">
        <f t="shared" si="78"/>
        <v>185481.79057031742</v>
      </c>
      <c r="R78" s="515">
        <v>3.0000000000000001E-3</v>
      </c>
      <c r="S78" s="516">
        <v>0.85</v>
      </c>
      <c r="T78" s="514">
        <f t="shared" si="79"/>
        <v>157659.52198476979</v>
      </c>
      <c r="U78" s="514">
        <f t="shared" si="80"/>
        <v>556.44537171095226</v>
      </c>
      <c r="V78" s="517">
        <f t="shared" si="81"/>
        <v>92740.895285158709</v>
      </c>
      <c r="W78" s="518">
        <v>2</v>
      </c>
      <c r="X78" s="519">
        <v>105</v>
      </c>
      <c r="Y78" s="520">
        <v>19475.58800988333</v>
      </c>
      <c r="Z78" s="520">
        <f t="shared" si="82"/>
        <v>105.00000000000001</v>
      </c>
      <c r="AA78" s="520">
        <f t="shared" si="83"/>
        <v>35</v>
      </c>
      <c r="AB78" s="521">
        <f t="shared" si="84"/>
        <v>8.7421585541486657E-2</v>
      </c>
      <c r="AC78" s="514">
        <f>'Audience Sizing'!G14</f>
        <v>1060846.6400000001</v>
      </c>
      <c r="AD78" s="526">
        <v>45460</v>
      </c>
      <c r="AE78" s="527">
        <v>45473</v>
      </c>
      <c r="AF78" s="536"/>
      <c r="AG78" s="537"/>
      <c r="AN78">
        <v>1.43</v>
      </c>
      <c r="AO78">
        <f t="shared" si="85"/>
        <v>265.23896051555391</v>
      </c>
      <c r="AP78">
        <f t="shared" si="86"/>
        <v>13.261948025777697</v>
      </c>
      <c r="AQ78">
        <f t="shared" si="87"/>
        <v>278.50090854133163</v>
      </c>
    </row>
    <row r="79" spans="2:48" x14ac:dyDescent="0.3">
      <c r="B79" s="525" t="s">
        <v>242</v>
      </c>
      <c r="C79" s="512" t="s">
        <v>56</v>
      </c>
      <c r="D79" s="512" t="s">
        <v>71</v>
      </c>
      <c r="E79" s="512" t="s">
        <v>67</v>
      </c>
      <c r="F79" s="512" t="s">
        <v>72</v>
      </c>
      <c r="G79" s="512" t="s">
        <v>60</v>
      </c>
      <c r="H79" s="512" t="s">
        <v>69</v>
      </c>
      <c r="I79" s="512" t="s">
        <v>2276</v>
      </c>
      <c r="J79" s="512" t="s">
        <v>76</v>
      </c>
      <c r="K79" s="512" t="s">
        <v>2334</v>
      </c>
      <c r="L79" s="512" t="s">
        <v>152</v>
      </c>
      <c r="M79" s="512" t="s">
        <v>64</v>
      </c>
      <c r="N79" s="512" t="s">
        <v>65</v>
      </c>
      <c r="O79" s="512" t="s">
        <v>65</v>
      </c>
      <c r="P79" s="513">
        <v>13</v>
      </c>
      <c r="Q79" s="514">
        <f t="shared" si="78"/>
        <v>445156.29736876173</v>
      </c>
      <c r="R79" s="515">
        <v>7.0000000000000001E-3</v>
      </c>
      <c r="S79" s="516">
        <v>0.85</v>
      </c>
      <c r="T79" s="514">
        <f t="shared" si="79"/>
        <v>378382.85276344744</v>
      </c>
      <c r="U79" s="514">
        <f t="shared" si="80"/>
        <v>3116.0940815813324</v>
      </c>
      <c r="V79" s="517">
        <f t="shared" si="81"/>
        <v>222578.14868438087</v>
      </c>
      <c r="W79" s="518">
        <v>2</v>
      </c>
      <c r="X79" s="519">
        <v>175</v>
      </c>
      <c r="Y79" s="520">
        <v>77902.352039533303</v>
      </c>
      <c r="Z79" s="520">
        <f t="shared" si="82"/>
        <v>175</v>
      </c>
      <c r="AA79" s="520">
        <f t="shared" si="83"/>
        <v>24.999999999999996</v>
      </c>
      <c r="AB79" s="521">
        <f t="shared" si="84"/>
        <v>0.20981180529956794</v>
      </c>
      <c r="AC79" s="514">
        <f>'Audience Sizing'!G14</f>
        <v>1060846.6400000001</v>
      </c>
      <c r="AD79" s="526">
        <v>45460</v>
      </c>
      <c r="AE79" s="527">
        <v>45473</v>
      </c>
      <c r="AF79" s="312"/>
      <c r="AG79" s="312"/>
      <c r="AN79">
        <v>1.43</v>
      </c>
      <c r="AO79">
        <f t="shared" si="85"/>
        <v>636.5735052373293</v>
      </c>
      <c r="AP79">
        <f t="shared" si="86"/>
        <v>31.828675261866465</v>
      </c>
      <c r="AQ79">
        <f t="shared" si="87"/>
        <v>668.40218049919577</v>
      </c>
    </row>
    <row r="80" spans="2:48" x14ac:dyDescent="0.3">
      <c r="B80" s="525" t="s">
        <v>242</v>
      </c>
      <c r="C80" s="512" t="s">
        <v>56</v>
      </c>
      <c r="D80" s="512" t="s">
        <v>71</v>
      </c>
      <c r="E80" s="512" t="s">
        <v>67</v>
      </c>
      <c r="F80" s="512" t="s">
        <v>72</v>
      </c>
      <c r="G80" s="512" t="s">
        <v>60</v>
      </c>
      <c r="H80" s="512" t="s">
        <v>69</v>
      </c>
      <c r="I80" s="512" t="s">
        <v>2276</v>
      </c>
      <c r="J80" s="512" t="s">
        <v>76</v>
      </c>
      <c r="K80" s="512" t="s">
        <v>2300</v>
      </c>
      <c r="L80" s="512" t="s">
        <v>152</v>
      </c>
      <c r="M80" s="512" t="s">
        <v>64</v>
      </c>
      <c r="N80" s="512" t="s">
        <v>65</v>
      </c>
      <c r="O80" s="512" t="s">
        <v>65</v>
      </c>
      <c r="P80" s="513">
        <v>13</v>
      </c>
      <c r="Q80" s="514">
        <f t="shared" si="78"/>
        <v>185481.79057031742</v>
      </c>
      <c r="R80" s="515">
        <v>3.0000000000000001E-3</v>
      </c>
      <c r="S80" s="516">
        <v>0.85</v>
      </c>
      <c r="T80" s="514">
        <f t="shared" si="79"/>
        <v>157659.52198476979</v>
      </c>
      <c r="U80" s="514">
        <f t="shared" si="80"/>
        <v>556.44537171095226</v>
      </c>
      <c r="V80" s="517">
        <f t="shared" si="81"/>
        <v>92740.895285158709</v>
      </c>
      <c r="W80" s="518">
        <v>2</v>
      </c>
      <c r="X80" s="519">
        <v>105</v>
      </c>
      <c r="Y80" s="520">
        <v>19475.58800988333</v>
      </c>
      <c r="Z80" s="520">
        <f t="shared" si="82"/>
        <v>105.00000000000001</v>
      </c>
      <c r="AA80" s="520">
        <f t="shared" si="83"/>
        <v>35</v>
      </c>
      <c r="AB80" s="521">
        <f t="shared" si="84"/>
        <v>8.7421585541486657E-2</v>
      </c>
      <c r="AC80" s="514">
        <f>'Audience Sizing'!G14</f>
        <v>1060846.6400000001</v>
      </c>
      <c r="AD80" s="526">
        <v>45460</v>
      </c>
      <c r="AE80" s="527">
        <v>45473</v>
      </c>
      <c r="AF80" s="312"/>
      <c r="AG80" s="312"/>
      <c r="AN80">
        <v>1.43</v>
      </c>
      <c r="AO80">
        <f t="shared" si="85"/>
        <v>265.23896051555391</v>
      </c>
      <c r="AP80">
        <f t="shared" si="86"/>
        <v>13.261948025777697</v>
      </c>
      <c r="AQ80">
        <f t="shared" si="87"/>
        <v>278.50090854133163</v>
      </c>
    </row>
    <row r="81" spans="2:43" s="366" customFormat="1" x14ac:dyDescent="0.3">
      <c r="B81" s="437" t="s">
        <v>2348</v>
      </c>
      <c r="C81" s="410"/>
      <c r="D81" s="410"/>
      <c r="E81" s="410"/>
      <c r="F81" s="410"/>
      <c r="G81" s="410"/>
      <c r="H81" s="410"/>
      <c r="I81" s="410"/>
      <c r="J81" s="410"/>
      <c r="K81" s="410"/>
      <c r="L81" s="410"/>
      <c r="M81" s="410"/>
      <c r="N81" s="410"/>
      <c r="O81" s="410"/>
      <c r="P81" s="411"/>
      <c r="Q81" s="412">
        <f>SUM(Q73:Q80)</f>
        <v>3145166.4989095861</v>
      </c>
      <c r="R81" s="413">
        <f>U81/Q81</f>
        <v>4.6935767058854713E-3</v>
      </c>
      <c r="S81" s="414">
        <f>T81/Q81</f>
        <v>0.83798956165215233</v>
      </c>
      <c r="T81" s="412">
        <f>SUM(T73:T80)</f>
        <v>2635616.6957442788</v>
      </c>
      <c r="U81" s="412">
        <f>SUM(U73:U80)</f>
        <v>14762.080215413396</v>
      </c>
      <c r="V81" s="415">
        <f>V74+V73*20%+SUM(V75:V80)*50%</f>
        <v>746420.45530942897</v>
      </c>
      <c r="W81" s="427">
        <f>Q81/V81</f>
        <v>4.2136660062534803</v>
      </c>
      <c r="X81" s="416"/>
      <c r="Y81" s="417">
        <f>SUM(Y73:Y80)</f>
        <v>443428.0112988333</v>
      </c>
      <c r="Z81" s="417">
        <f t="shared" si="82"/>
        <v>140.98713421135815</v>
      </c>
      <c r="AA81" s="417">
        <f>Y81/U81</f>
        <v>30.038314710947095</v>
      </c>
      <c r="AB81" s="418">
        <f t="shared" si="84"/>
        <v>0.82024225858179001</v>
      </c>
      <c r="AC81" s="412">
        <f>'Audience Sizing'!C14</f>
        <v>910000.00000000012</v>
      </c>
      <c r="AD81" s="387"/>
      <c r="AE81" s="387"/>
      <c r="AF81" s="376"/>
      <c r="AG81" s="312"/>
    </row>
    <row r="82" spans="2:43" s="366" customFormat="1" x14ac:dyDescent="0.3">
      <c r="B82" s="525" t="s">
        <v>248</v>
      </c>
      <c r="C82" s="512" t="s">
        <v>56</v>
      </c>
      <c r="D82" s="512" t="s">
        <v>57</v>
      </c>
      <c r="E82" s="512" t="s">
        <v>67</v>
      </c>
      <c r="F82" s="512" t="s">
        <v>75</v>
      </c>
      <c r="G82" s="512" t="s">
        <v>60</v>
      </c>
      <c r="H82" s="512" t="s">
        <v>68</v>
      </c>
      <c r="I82" s="512" t="s">
        <v>2276</v>
      </c>
      <c r="J82" s="512" t="s">
        <v>76</v>
      </c>
      <c r="K82" s="512" t="s">
        <v>2340</v>
      </c>
      <c r="L82" s="512" t="s">
        <v>152</v>
      </c>
      <c r="M82" s="512" t="s">
        <v>64</v>
      </c>
      <c r="N82" s="512" t="s">
        <v>65</v>
      </c>
      <c r="O82" s="512" t="s">
        <v>66</v>
      </c>
      <c r="P82" s="513">
        <v>14</v>
      </c>
      <c r="Q82" s="514">
        <f t="shared" ref="Q82:Q89" si="88">Y82*1000/X82</f>
        <v>375061.23243243241</v>
      </c>
      <c r="R82" s="515">
        <v>6.4999999999999997E-3</v>
      </c>
      <c r="S82" s="516">
        <v>0.85590434334133847</v>
      </c>
      <c r="T82" s="514">
        <f t="shared" ref="T82:T89" si="89">Q82*S82</f>
        <v>321016.53785787418</v>
      </c>
      <c r="U82" s="514">
        <f t="shared" ref="U82:U89" si="90">Q82*R82</f>
        <v>2437.8980108108108</v>
      </c>
      <c r="V82" s="517">
        <f t="shared" ref="V82:V89" si="91">Q82/W82</f>
        <v>187530.61621621621</v>
      </c>
      <c r="W82" s="518">
        <v>2</v>
      </c>
      <c r="X82" s="519">
        <v>111</v>
      </c>
      <c r="Y82" s="520">
        <v>41631.796799999996</v>
      </c>
      <c r="Z82" s="520">
        <f t="shared" si="82"/>
        <v>111</v>
      </c>
      <c r="AA82" s="520">
        <f t="shared" ref="AA82:AA89" si="92">IFERROR(Y82/U82, 0)</f>
        <v>17.076923076923077</v>
      </c>
      <c r="AB82" s="521">
        <f t="shared" si="84"/>
        <v>0.18108455650180375</v>
      </c>
      <c r="AC82" s="514">
        <f>'Audience Sizing'!E15</f>
        <v>1035596.9600000001</v>
      </c>
      <c r="AD82" s="526">
        <v>45460</v>
      </c>
      <c r="AE82" s="527">
        <v>45473</v>
      </c>
      <c r="AF82" s="376"/>
      <c r="AG82" s="312"/>
      <c r="AI82" s="366">
        <v>2.13</v>
      </c>
      <c r="AJ82" s="366">
        <f>AI82*Q82/1000</f>
        <v>798.88042508108094</v>
      </c>
      <c r="AK82" s="366">
        <f>AJ82*5%</f>
        <v>39.94402125405405</v>
      </c>
      <c r="AL82" s="366">
        <f>AJ82+AK82</f>
        <v>838.82444633513501</v>
      </c>
      <c r="AN82" s="366">
        <v>1.43</v>
      </c>
      <c r="AO82" s="366">
        <f t="shared" ref="AO82:AO89" si="93">AN82*Q82/1000</f>
        <v>536.33756237837838</v>
      </c>
      <c r="AP82" s="366">
        <f t="shared" ref="AP82:AP89" si="94">AO82*5%</f>
        <v>26.816878118918922</v>
      </c>
      <c r="AQ82" s="366">
        <f t="shared" ref="AQ82:AQ89" si="95">SUM(AO82:AP82)</f>
        <v>563.15444049729729</v>
      </c>
    </row>
    <row r="83" spans="2:43" s="366" customFormat="1" x14ac:dyDescent="0.3">
      <c r="B83" s="525" t="s">
        <v>248</v>
      </c>
      <c r="C83" s="512" t="s">
        <v>56</v>
      </c>
      <c r="D83" s="512" t="s">
        <v>57</v>
      </c>
      <c r="E83" s="512" t="s">
        <v>67</v>
      </c>
      <c r="F83" s="512" t="s">
        <v>75</v>
      </c>
      <c r="G83" s="512" t="s">
        <v>60</v>
      </c>
      <c r="H83" s="512" t="s">
        <v>69</v>
      </c>
      <c r="I83" s="512" t="s">
        <v>2276</v>
      </c>
      <c r="J83" s="512" t="s">
        <v>76</v>
      </c>
      <c r="K83" s="512" t="s">
        <v>2341</v>
      </c>
      <c r="L83" s="512" t="s">
        <v>152</v>
      </c>
      <c r="M83" s="512" t="s">
        <v>64</v>
      </c>
      <c r="N83" s="512" t="s">
        <v>65</v>
      </c>
      <c r="O83" s="512" t="s">
        <v>66</v>
      </c>
      <c r="P83" s="513">
        <v>14</v>
      </c>
      <c r="Q83" s="514">
        <f t="shared" si="88"/>
        <v>339678.09729729732</v>
      </c>
      <c r="R83" s="515">
        <v>6.3E-3</v>
      </c>
      <c r="S83" s="516">
        <v>0.85791079517305968</v>
      </c>
      <c r="T83" s="514">
        <f t="shared" si="89"/>
        <v>291413.50655519631</v>
      </c>
      <c r="U83" s="514">
        <f t="shared" si="90"/>
        <v>2139.9720129729731</v>
      </c>
      <c r="V83" s="517">
        <f t="shared" si="91"/>
        <v>169839.04864864866</v>
      </c>
      <c r="W83" s="518">
        <v>2</v>
      </c>
      <c r="X83" s="519">
        <v>111</v>
      </c>
      <c r="Y83" s="520">
        <v>37704.268800000005</v>
      </c>
      <c r="Z83" s="520">
        <f t="shared" si="82"/>
        <v>111</v>
      </c>
      <c r="AA83" s="520">
        <f t="shared" si="92"/>
        <v>17.61904761904762</v>
      </c>
      <c r="AB83" s="521">
        <f t="shared" si="84"/>
        <v>0.16400110777521851</v>
      </c>
      <c r="AC83" s="514">
        <f>'Audience Sizing'!E15</f>
        <v>1035596.9600000001</v>
      </c>
      <c r="AD83" s="526">
        <v>45460</v>
      </c>
      <c r="AE83" s="527">
        <v>45473</v>
      </c>
      <c r="AF83" s="376"/>
      <c r="AG83" s="312"/>
      <c r="AI83" s="366">
        <v>2.13</v>
      </c>
      <c r="AJ83" s="366">
        <f>AI83*Q83/1000</f>
        <v>723.51434724324326</v>
      </c>
      <c r="AK83" s="366">
        <f>AJ83*5%</f>
        <v>36.175717362162167</v>
      </c>
      <c r="AL83" s="366">
        <f>AJ83+AK83</f>
        <v>759.69006460540538</v>
      </c>
      <c r="AN83" s="366">
        <v>1.43</v>
      </c>
      <c r="AO83" s="366">
        <f t="shared" si="93"/>
        <v>485.73967913513513</v>
      </c>
      <c r="AP83" s="366">
        <f t="shared" si="94"/>
        <v>24.286983956756757</v>
      </c>
      <c r="AQ83" s="366">
        <f t="shared" si="95"/>
        <v>510.02666309189192</v>
      </c>
    </row>
    <row r="84" spans="2:43" s="366" customFormat="1" x14ac:dyDescent="0.3">
      <c r="B84" s="525" t="s">
        <v>248</v>
      </c>
      <c r="C84" s="512" t="s">
        <v>56</v>
      </c>
      <c r="D84" s="512" t="s">
        <v>57</v>
      </c>
      <c r="E84" s="512" t="s">
        <v>58</v>
      </c>
      <c r="F84" s="512" t="s">
        <v>75</v>
      </c>
      <c r="G84" s="512" t="s">
        <v>60</v>
      </c>
      <c r="H84" s="512" t="s">
        <v>61</v>
      </c>
      <c r="I84" s="512" t="s">
        <v>2276</v>
      </c>
      <c r="J84" s="512" t="s">
        <v>76</v>
      </c>
      <c r="K84" s="512" t="s">
        <v>312</v>
      </c>
      <c r="L84" s="512" t="s">
        <v>77</v>
      </c>
      <c r="M84" s="512" t="s">
        <v>64</v>
      </c>
      <c r="N84" s="512" t="s">
        <v>65</v>
      </c>
      <c r="O84" s="512" t="s">
        <v>66</v>
      </c>
      <c r="P84" s="513">
        <v>13</v>
      </c>
      <c r="Q84" s="514">
        <f t="shared" si="88"/>
        <v>381679.38931297709</v>
      </c>
      <c r="R84" s="515"/>
      <c r="S84" s="516">
        <v>0.75</v>
      </c>
      <c r="T84" s="514">
        <f t="shared" si="89"/>
        <v>286259.54198473284</v>
      </c>
      <c r="U84" s="514">
        <f t="shared" si="90"/>
        <v>0</v>
      </c>
      <c r="V84" s="517">
        <f t="shared" si="91"/>
        <v>95419.847328244272</v>
      </c>
      <c r="W84" s="518">
        <v>4</v>
      </c>
      <c r="X84" s="499">
        <v>131</v>
      </c>
      <c r="Y84" s="500">
        <v>50000</v>
      </c>
      <c r="Z84" s="520">
        <f t="shared" si="82"/>
        <v>131</v>
      </c>
      <c r="AA84" s="520">
        <f t="shared" si="92"/>
        <v>0</v>
      </c>
      <c r="AB84" s="521">
        <f t="shared" si="84"/>
        <v>0.40060845816614693</v>
      </c>
      <c r="AC84" s="514">
        <f>'Audience Sizing'!F15</f>
        <v>238187.30080000003</v>
      </c>
      <c r="AD84" s="526">
        <v>45460</v>
      </c>
      <c r="AE84" s="527">
        <v>45473</v>
      </c>
      <c r="AF84" s="376"/>
      <c r="AG84" s="312"/>
      <c r="AI84" s="366">
        <v>2.13</v>
      </c>
      <c r="AJ84" s="366">
        <f>AI84*Q84/1000</f>
        <v>812.97709923664115</v>
      </c>
      <c r="AK84" s="366">
        <f>AJ84*5%</f>
        <v>40.648854961832058</v>
      </c>
      <c r="AL84" s="366">
        <f>AJ84+AK84</f>
        <v>853.62595419847321</v>
      </c>
      <c r="AN84" s="366">
        <v>1.43</v>
      </c>
      <c r="AO84" s="366">
        <f t="shared" si="93"/>
        <v>545.80152671755718</v>
      </c>
      <c r="AP84" s="366">
        <f t="shared" si="94"/>
        <v>27.29007633587786</v>
      </c>
      <c r="AQ84" s="366">
        <f t="shared" si="95"/>
        <v>573.09160305343505</v>
      </c>
    </row>
    <row r="85" spans="2:43" s="366" customFormat="1" x14ac:dyDescent="0.3">
      <c r="B85" s="525" t="s">
        <v>248</v>
      </c>
      <c r="C85" s="512" t="s">
        <v>56</v>
      </c>
      <c r="D85" s="512" t="s">
        <v>71</v>
      </c>
      <c r="E85" s="512" t="s">
        <v>58</v>
      </c>
      <c r="F85" s="512" t="s">
        <v>72</v>
      </c>
      <c r="G85" s="512" t="s">
        <v>60</v>
      </c>
      <c r="H85" s="512" t="s">
        <v>61</v>
      </c>
      <c r="I85" s="512" t="s">
        <v>2276</v>
      </c>
      <c r="J85" s="512" t="s">
        <v>76</v>
      </c>
      <c r="K85" s="492" t="s">
        <v>2353</v>
      </c>
      <c r="L85" s="512" t="s">
        <v>152</v>
      </c>
      <c r="M85" s="512" t="s">
        <v>64</v>
      </c>
      <c r="N85" s="512" t="s">
        <v>65</v>
      </c>
      <c r="O85" s="512" t="s">
        <v>66</v>
      </c>
      <c r="P85" s="513"/>
      <c r="Q85" s="514">
        <f t="shared" si="88"/>
        <v>222222.22222222222</v>
      </c>
      <c r="R85" s="515">
        <v>0</v>
      </c>
      <c r="S85" s="516">
        <v>0.85</v>
      </c>
      <c r="T85" s="514">
        <f t="shared" si="89"/>
        <v>188888.88888888888</v>
      </c>
      <c r="U85" s="514">
        <f t="shared" si="90"/>
        <v>0</v>
      </c>
      <c r="V85" s="517">
        <f t="shared" si="91"/>
        <v>37037.037037037036</v>
      </c>
      <c r="W85" s="518">
        <v>6</v>
      </c>
      <c r="X85" s="499">
        <v>225</v>
      </c>
      <c r="Y85" s="500">
        <v>50000</v>
      </c>
      <c r="Z85" s="520">
        <f t="shared" si="82"/>
        <v>225</v>
      </c>
      <c r="AA85" s="520">
        <f t="shared" si="92"/>
        <v>0</v>
      </c>
      <c r="AB85" s="521">
        <f t="shared" si="84"/>
        <v>0.6162076412705314</v>
      </c>
      <c r="AC85" s="514">
        <f>'Audience Sizing'!H15</f>
        <v>60104.800000000003</v>
      </c>
      <c r="AD85" s="526">
        <v>45460</v>
      </c>
      <c r="AE85" s="527">
        <v>45473</v>
      </c>
      <c r="AF85" s="376"/>
      <c r="AG85" s="312"/>
      <c r="AN85" s="366">
        <v>1.43</v>
      </c>
      <c r="AO85" s="366">
        <f t="shared" si="93"/>
        <v>317.77777777777777</v>
      </c>
      <c r="AP85" s="366">
        <f t="shared" si="94"/>
        <v>15.888888888888889</v>
      </c>
      <c r="AQ85" s="366">
        <f t="shared" si="95"/>
        <v>333.66666666666669</v>
      </c>
    </row>
    <row r="86" spans="2:43" s="366" customFormat="1" x14ac:dyDescent="0.3">
      <c r="B86" s="525" t="s">
        <v>248</v>
      </c>
      <c r="C86" s="512" t="s">
        <v>56</v>
      </c>
      <c r="D86" s="512" t="s">
        <v>71</v>
      </c>
      <c r="E86" s="512" t="s">
        <v>67</v>
      </c>
      <c r="F86" s="512" t="s">
        <v>72</v>
      </c>
      <c r="G86" s="512" t="s">
        <v>60</v>
      </c>
      <c r="H86" s="512" t="s">
        <v>68</v>
      </c>
      <c r="I86" s="512" t="s">
        <v>2276</v>
      </c>
      <c r="J86" s="512" t="s">
        <v>76</v>
      </c>
      <c r="K86" s="512" t="s">
        <v>2298</v>
      </c>
      <c r="L86" s="512" t="s">
        <v>152</v>
      </c>
      <c r="M86" s="512" t="s">
        <v>64</v>
      </c>
      <c r="N86" s="512" t="s">
        <v>65</v>
      </c>
      <c r="O86" s="512" t="s">
        <v>65</v>
      </c>
      <c r="P86" s="513">
        <v>13</v>
      </c>
      <c r="Q86" s="514">
        <f t="shared" si="88"/>
        <v>250400.41726992821</v>
      </c>
      <c r="R86" s="515">
        <v>7.0000000000000001E-3</v>
      </c>
      <c r="S86" s="516">
        <v>0.85</v>
      </c>
      <c r="T86" s="514">
        <f t="shared" si="89"/>
        <v>212840.35467943898</v>
      </c>
      <c r="U86" s="514">
        <f t="shared" si="90"/>
        <v>1752.8029208894975</v>
      </c>
      <c r="V86" s="517">
        <f t="shared" si="91"/>
        <v>125200.2086349641</v>
      </c>
      <c r="W86" s="518">
        <v>2</v>
      </c>
      <c r="X86" s="519">
        <v>175</v>
      </c>
      <c r="Y86" s="520">
        <v>43820.073022237433</v>
      </c>
      <c r="Z86" s="520">
        <f t="shared" si="82"/>
        <v>175</v>
      </c>
      <c r="AA86" s="520">
        <f t="shared" si="92"/>
        <v>24.999999999999996</v>
      </c>
      <c r="AB86" s="521">
        <f t="shared" si="84"/>
        <v>0.206533495841762</v>
      </c>
      <c r="AC86" s="514">
        <f>'Audience Sizing'!G15</f>
        <v>606198.07999999996</v>
      </c>
      <c r="AD86" s="526">
        <v>45460</v>
      </c>
      <c r="AE86" s="527">
        <v>45473</v>
      </c>
      <c r="AF86" s="376"/>
      <c r="AG86" s="312"/>
      <c r="AN86" s="366">
        <v>1.43</v>
      </c>
      <c r="AO86" s="366">
        <f t="shared" si="93"/>
        <v>358.07259669599733</v>
      </c>
      <c r="AP86" s="366">
        <f t="shared" si="94"/>
        <v>17.903629834799869</v>
      </c>
      <c r="AQ86" s="366">
        <f t="shared" si="95"/>
        <v>375.97622653079719</v>
      </c>
    </row>
    <row r="87" spans="2:43" s="366" customFormat="1" x14ac:dyDescent="0.3">
      <c r="B87" s="525" t="s">
        <v>248</v>
      </c>
      <c r="C87" s="512" t="s">
        <v>56</v>
      </c>
      <c r="D87" s="512" t="s">
        <v>71</v>
      </c>
      <c r="E87" s="512" t="s">
        <v>67</v>
      </c>
      <c r="F87" s="512" t="s">
        <v>72</v>
      </c>
      <c r="G87" s="512" t="s">
        <v>60</v>
      </c>
      <c r="H87" s="512" t="s">
        <v>68</v>
      </c>
      <c r="I87" s="512" t="s">
        <v>2276</v>
      </c>
      <c r="J87" s="512" t="s">
        <v>76</v>
      </c>
      <c r="K87" s="512" t="s">
        <v>2299</v>
      </c>
      <c r="L87" s="512" t="s">
        <v>152</v>
      </c>
      <c r="M87" s="512" t="s">
        <v>64</v>
      </c>
      <c r="N87" s="512" t="s">
        <v>65</v>
      </c>
      <c r="O87" s="512" t="s">
        <v>65</v>
      </c>
      <c r="P87" s="513">
        <v>13</v>
      </c>
      <c r="Q87" s="514">
        <f t="shared" si="88"/>
        <v>104333.5071958034</v>
      </c>
      <c r="R87" s="515">
        <v>3.0000000000000001E-3</v>
      </c>
      <c r="S87" s="516">
        <v>0.85</v>
      </c>
      <c r="T87" s="514">
        <f t="shared" si="89"/>
        <v>88683.481116432886</v>
      </c>
      <c r="U87" s="514">
        <f t="shared" si="90"/>
        <v>313.00052158741022</v>
      </c>
      <c r="V87" s="517">
        <f t="shared" si="91"/>
        <v>52166.753597901698</v>
      </c>
      <c r="W87" s="518">
        <v>2</v>
      </c>
      <c r="X87" s="519">
        <v>105</v>
      </c>
      <c r="Y87" s="520">
        <v>10955.018255559356</v>
      </c>
      <c r="Z87" s="520">
        <f t="shared" si="82"/>
        <v>105</v>
      </c>
      <c r="AA87" s="520">
        <f t="shared" si="92"/>
        <v>34.999999999999993</v>
      </c>
      <c r="AB87" s="521">
        <f t="shared" si="84"/>
        <v>8.6055623267400821E-2</v>
      </c>
      <c r="AC87" s="514">
        <f>'Audience Sizing'!G15</f>
        <v>606198.07999999996</v>
      </c>
      <c r="AD87" s="526">
        <v>45460</v>
      </c>
      <c r="AE87" s="527">
        <v>45473</v>
      </c>
      <c r="AF87" s="376"/>
      <c r="AG87" s="312"/>
      <c r="AN87" s="366">
        <v>1.43</v>
      </c>
      <c r="AO87" s="366">
        <f t="shared" si="93"/>
        <v>149.19691528999883</v>
      </c>
      <c r="AP87" s="366">
        <f t="shared" si="94"/>
        <v>7.4598457644999421</v>
      </c>
      <c r="AQ87" s="366">
        <f t="shared" si="95"/>
        <v>156.65676105449876</v>
      </c>
    </row>
    <row r="88" spans="2:43" s="366" customFormat="1" x14ac:dyDescent="0.3">
      <c r="B88" s="525" t="s">
        <v>248</v>
      </c>
      <c r="C88" s="512" t="s">
        <v>56</v>
      </c>
      <c r="D88" s="512" t="s">
        <v>71</v>
      </c>
      <c r="E88" s="512" t="s">
        <v>67</v>
      </c>
      <c r="F88" s="512" t="s">
        <v>72</v>
      </c>
      <c r="G88" s="512" t="s">
        <v>60</v>
      </c>
      <c r="H88" s="512" t="s">
        <v>69</v>
      </c>
      <c r="I88" s="512" t="s">
        <v>2276</v>
      </c>
      <c r="J88" s="512" t="s">
        <v>76</v>
      </c>
      <c r="K88" s="512" t="s">
        <v>2334</v>
      </c>
      <c r="L88" s="512" t="s">
        <v>152</v>
      </c>
      <c r="M88" s="512" t="s">
        <v>64</v>
      </c>
      <c r="N88" s="512" t="s">
        <v>65</v>
      </c>
      <c r="O88" s="512" t="s">
        <v>65</v>
      </c>
      <c r="P88" s="513">
        <v>13</v>
      </c>
      <c r="Q88" s="514">
        <f t="shared" si="88"/>
        <v>250400.41726992821</v>
      </c>
      <c r="R88" s="515">
        <v>7.0000000000000001E-3</v>
      </c>
      <c r="S88" s="516">
        <v>0.85</v>
      </c>
      <c r="T88" s="514">
        <f t="shared" si="89"/>
        <v>212840.35467943898</v>
      </c>
      <c r="U88" s="514">
        <f t="shared" si="90"/>
        <v>1752.8029208894975</v>
      </c>
      <c r="V88" s="517">
        <f t="shared" si="91"/>
        <v>125200.2086349641</v>
      </c>
      <c r="W88" s="518">
        <v>2</v>
      </c>
      <c r="X88" s="519">
        <v>175</v>
      </c>
      <c r="Y88" s="520">
        <v>43820.073022237433</v>
      </c>
      <c r="Z88" s="520">
        <f t="shared" si="82"/>
        <v>175</v>
      </c>
      <c r="AA88" s="520">
        <f t="shared" si="92"/>
        <v>24.999999999999996</v>
      </c>
      <c r="AB88" s="521">
        <f t="shared" si="84"/>
        <v>0.206533495841762</v>
      </c>
      <c r="AC88" s="514">
        <f>'Audience Sizing'!G15</f>
        <v>606198.07999999996</v>
      </c>
      <c r="AD88" s="526">
        <v>45460</v>
      </c>
      <c r="AE88" s="527">
        <v>45473</v>
      </c>
      <c r="AF88" s="376"/>
      <c r="AG88" s="312"/>
      <c r="AN88" s="366">
        <v>1.43</v>
      </c>
      <c r="AO88" s="366">
        <f t="shared" si="93"/>
        <v>358.07259669599733</v>
      </c>
      <c r="AP88" s="366">
        <f t="shared" si="94"/>
        <v>17.903629834799869</v>
      </c>
      <c r="AQ88" s="366">
        <f t="shared" si="95"/>
        <v>375.97622653079719</v>
      </c>
    </row>
    <row r="89" spans="2:43" s="366" customFormat="1" x14ac:dyDescent="0.3">
      <c r="B89" s="525" t="s">
        <v>248</v>
      </c>
      <c r="C89" s="512" t="s">
        <v>56</v>
      </c>
      <c r="D89" s="512" t="s">
        <v>71</v>
      </c>
      <c r="E89" s="512" t="s">
        <v>67</v>
      </c>
      <c r="F89" s="512" t="s">
        <v>72</v>
      </c>
      <c r="G89" s="512" t="s">
        <v>60</v>
      </c>
      <c r="H89" s="512" t="s">
        <v>69</v>
      </c>
      <c r="I89" s="512" t="s">
        <v>2276</v>
      </c>
      <c r="J89" s="512" t="s">
        <v>76</v>
      </c>
      <c r="K89" s="512" t="s">
        <v>2300</v>
      </c>
      <c r="L89" s="512" t="s">
        <v>152</v>
      </c>
      <c r="M89" s="512" t="s">
        <v>64</v>
      </c>
      <c r="N89" s="512" t="s">
        <v>65</v>
      </c>
      <c r="O89" s="512" t="s">
        <v>65</v>
      </c>
      <c r="P89" s="513">
        <v>13</v>
      </c>
      <c r="Q89" s="514">
        <f t="shared" si="88"/>
        <v>104333.5071958034</v>
      </c>
      <c r="R89" s="515">
        <v>3.0000000000000001E-3</v>
      </c>
      <c r="S89" s="516">
        <v>0.85</v>
      </c>
      <c r="T89" s="514">
        <f t="shared" si="89"/>
        <v>88683.481116432886</v>
      </c>
      <c r="U89" s="514">
        <f t="shared" si="90"/>
        <v>313.00052158741022</v>
      </c>
      <c r="V89" s="517">
        <f t="shared" si="91"/>
        <v>52166.753597901698</v>
      </c>
      <c r="W89" s="518">
        <v>2</v>
      </c>
      <c r="X89" s="519">
        <v>105</v>
      </c>
      <c r="Y89" s="520">
        <v>10955.018255559356</v>
      </c>
      <c r="Z89" s="520">
        <f t="shared" si="82"/>
        <v>105</v>
      </c>
      <c r="AA89" s="520">
        <f t="shared" si="92"/>
        <v>34.999999999999993</v>
      </c>
      <c r="AB89" s="521">
        <f t="shared" si="84"/>
        <v>8.6055623267400821E-2</v>
      </c>
      <c r="AC89" s="514">
        <f>'Audience Sizing'!G15</f>
        <v>606198.07999999996</v>
      </c>
      <c r="AD89" s="526">
        <v>45460</v>
      </c>
      <c r="AE89" s="527">
        <v>45473</v>
      </c>
      <c r="AF89" s="376"/>
      <c r="AG89" s="312"/>
      <c r="AN89" s="366">
        <v>1.43</v>
      </c>
      <c r="AO89" s="366">
        <f t="shared" si="93"/>
        <v>149.19691528999883</v>
      </c>
      <c r="AP89" s="366">
        <f t="shared" si="94"/>
        <v>7.4598457644999421</v>
      </c>
      <c r="AQ89" s="366">
        <f t="shared" si="95"/>
        <v>156.65676105449876</v>
      </c>
    </row>
    <row r="90" spans="2:43" s="366" customFormat="1" x14ac:dyDescent="0.3">
      <c r="B90" s="437" t="s">
        <v>2349</v>
      </c>
      <c r="C90" s="410"/>
      <c r="D90" s="410"/>
      <c r="E90" s="410"/>
      <c r="F90" s="410"/>
      <c r="G90" s="410"/>
      <c r="H90" s="410"/>
      <c r="I90" s="410"/>
      <c r="J90" s="410"/>
      <c r="K90" s="410"/>
      <c r="L90" s="410"/>
      <c r="M90" s="410"/>
      <c r="N90" s="410"/>
      <c r="O90" s="410"/>
      <c r="P90" s="411"/>
      <c r="Q90" s="412">
        <f>SUM(Q82:Q89)</f>
        <v>2028108.790196392</v>
      </c>
      <c r="R90" s="413">
        <f>U90/Q90</f>
        <v>4.2943834920681039E-3</v>
      </c>
      <c r="S90" s="414">
        <f>T90/Q90</f>
        <v>0.8335973666948725</v>
      </c>
      <c r="T90" s="412">
        <f>SUM(T82:T89)</f>
        <v>1690626.146878436</v>
      </c>
      <c r="U90" s="412">
        <f>SUM(U82:U89)</f>
        <v>8709.4769087375989</v>
      </c>
      <c r="V90" s="415">
        <f>V83+V82*20%+SUM(V84:V89)*50%</f>
        <v>450940.57630739838</v>
      </c>
      <c r="W90" s="427">
        <f>Q90/V90</f>
        <v>4.497507868561966</v>
      </c>
      <c r="X90" s="416"/>
      <c r="Y90" s="417">
        <f>SUM(Y82:Y89)</f>
        <v>288886.24815559358</v>
      </c>
      <c r="Z90" s="417">
        <f t="shared" si="82"/>
        <v>142.44119918617349</v>
      </c>
      <c r="AA90" s="417">
        <f>Y90/U90</f>
        <v>33.169184691881384</v>
      </c>
      <c r="AB90" s="418">
        <f t="shared" si="84"/>
        <v>0.86719341597576616</v>
      </c>
      <c r="AC90" s="412">
        <f>'Audience Sizing'!C15</f>
        <v>520000</v>
      </c>
      <c r="AD90" s="387"/>
      <c r="AE90" s="387"/>
      <c r="AF90" s="376"/>
      <c r="AG90" s="312"/>
    </row>
    <row r="91" spans="2:43" s="366" customFormat="1" x14ac:dyDescent="0.3">
      <c r="B91" s="525" t="s">
        <v>250</v>
      </c>
      <c r="C91" s="512" t="s">
        <v>56</v>
      </c>
      <c r="D91" s="512" t="s">
        <v>57</v>
      </c>
      <c r="E91" s="512" t="s">
        <v>67</v>
      </c>
      <c r="F91" s="512" t="s">
        <v>75</v>
      </c>
      <c r="G91" s="512" t="s">
        <v>60</v>
      </c>
      <c r="H91" s="512" t="s">
        <v>68</v>
      </c>
      <c r="I91" s="512" t="s">
        <v>2276</v>
      </c>
      <c r="J91" s="512" t="s">
        <v>76</v>
      </c>
      <c r="K91" s="512" t="s">
        <v>2340</v>
      </c>
      <c r="L91" s="512" t="s">
        <v>152</v>
      </c>
      <c r="M91" s="512" t="s">
        <v>64</v>
      </c>
      <c r="N91" s="512" t="s">
        <v>65</v>
      </c>
      <c r="O91" s="512" t="s">
        <v>66</v>
      </c>
      <c r="P91" s="513">
        <v>14</v>
      </c>
      <c r="Q91" s="514">
        <f t="shared" ref="Q91:Q98" si="96">Y91*1000/X91</f>
        <v>1312714.3135135134</v>
      </c>
      <c r="R91" s="515">
        <v>6.4999999999999997E-3</v>
      </c>
      <c r="S91" s="516">
        <v>0.85590434334133847</v>
      </c>
      <c r="T91" s="514">
        <f t="shared" ref="T91:T98" si="97">Q91*S91</f>
        <v>1123557.8825025596</v>
      </c>
      <c r="U91" s="514">
        <f>Q91*R91</f>
        <v>8532.6430378378373</v>
      </c>
      <c r="V91" s="517">
        <f t="shared" ref="V91:V98" si="98">Q91/W91</f>
        <v>656357.15675675671</v>
      </c>
      <c r="W91" s="518">
        <v>2</v>
      </c>
      <c r="X91" s="519">
        <v>111</v>
      </c>
      <c r="Y91" s="520">
        <f>41631.7968*3.5</f>
        <v>145711.28879999998</v>
      </c>
      <c r="Z91" s="520">
        <f t="shared" si="82"/>
        <v>110.99999999999999</v>
      </c>
      <c r="AA91" s="520">
        <f>IFERROR(Y91/U91, 0)</f>
        <v>17.076923076923077</v>
      </c>
      <c r="AB91" s="521">
        <f t="shared" si="84"/>
        <v>0.2328095467412154</v>
      </c>
      <c r="AC91" s="514">
        <f>'Audience Sizing'!E16</f>
        <v>2819287.98</v>
      </c>
      <c r="AD91" s="526">
        <v>45460</v>
      </c>
      <c r="AE91" s="527">
        <v>45473</v>
      </c>
      <c r="AF91" s="376"/>
      <c r="AG91" s="312"/>
      <c r="AI91" s="366">
        <v>2.13</v>
      </c>
      <c r="AJ91" s="366">
        <f>AI91*Q91/1000</f>
        <v>2796.0814877837834</v>
      </c>
      <c r="AK91" s="366">
        <f>AJ91*5%</f>
        <v>139.80407438918917</v>
      </c>
      <c r="AL91" s="366">
        <f>AJ91+AK91</f>
        <v>2935.8855621729726</v>
      </c>
      <c r="AN91" s="366">
        <v>1.43</v>
      </c>
      <c r="AO91" s="366">
        <f t="shared" ref="AO91:AO98" si="99">AN91*Q91/1000</f>
        <v>1877.1814683243242</v>
      </c>
      <c r="AP91" s="366">
        <f t="shared" ref="AP91:AP98" si="100">AO91*5%</f>
        <v>93.859073416216219</v>
      </c>
      <c r="AQ91" s="366">
        <f t="shared" ref="AQ91:AQ98" si="101">SUM(AO91:AP91)</f>
        <v>1971.0405417405404</v>
      </c>
    </row>
    <row r="92" spans="2:43" s="366" customFormat="1" x14ac:dyDescent="0.3">
      <c r="B92" s="525" t="s">
        <v>250</v>
      </c>
      <c r="C92" s="512" t="s">
        <v>56</v>
      </c>
      <c r="D92" s="512" t="s">
        <v>57</v>
      </c>
      <c r="E92" s="512" t="s">
        <v>67</v>
      </c>
      <c r="F92" s="512" t="s">
        <v>75</v>
      </c>
      <c r="G92" s="512" t="s">
        <v>60</v>
      </c>
      <c r="H92" s="512" t="s">
        <v>69</v>
      </c>
      <c r="I92" s="512" t="s">
        <v>2276</v>
      </c>
      <c r="J92" s="512" t="s">
        <v>76</v>
      </c>
      <c r="K92" s="512" t="s">
        <v>2341</v>
      </c>
      <c r="L92" s="512" t="s">
        <v>152</v>
      </c>
      <c r="M92" s="512" t="s">
        <v>64</v>
      </c>
      <c r="N92" s="512" t="s">
        <v>65</v>
      </c>
      <c r="O92" s="512" t="s">
        <v>66</v>
      </c>
      <c r="P92" s="513">
        <v>14</v>
      </c>
      <c r="Q92" s="514">
        <f t="shared" si="96"/>
        <v>1188873.3405405404</v>
      </c>
      <c r="R92" s="515">
        <v>6.3E-3</v>
      </c>
      <c r="S92" s="516">
        <v>0.85791079517305968</v>
      </c>
      <c r="T92" s="514">
        <f t="shared" si="97"/>
        <v>1019947.2729431868</v>
      </c>
      <c r="U92" s="514">
        <f>Q92*R92</f>
        <v>7489.9020454054044</v>
      </c>
      <c r="V92" s="517">
        <f t="shared" si="98"/>
        <v>594436.6702702702</v>
      </c>
      <c r="W92" s="518">
        <v>2</v>
      </c>
      <c r="X92" s="519">
        <v>111</v>
      </c>
      <c r="Y92" s="520">
        <f>37704.2688*3.5</f>
        <v>131964.94079999998</v>
      </c>
      <c r="Z92" s="520">
        <f t="shared" si="82"/>
        <v>111</v>
      </c>
      <c r="AA92" s="520">
        <f>IFERROR(Y92/U92, 0)</f>
        <v>17.61904761904762</v>
      </c>
      <c r="AB92" s="521">
        <f t="shared" si="84"/>
        <v>0.21084638195430827</v>
      </c>
      <c r="AC92" s="514">
        <f>'Audience Sizing'!E16</f>
        <v>2819287.98</v>
      </c>
      <c r="AD92" s="526">
        <v>45460</v>
      </c>
      <c r="AE92" s="527">
        <v>45473</v>
      </c>
      <c r="AF92" s="376"/>
      <c r="AG92" s="312"/>
      <c r="AI92" s="366">
        <v>2.13</v>
      </c>
      <c r="AJ92" s="366">
        <f>AI92*Q92/1000</f>
        <v>2532.3002153513512</v>
      </c>
      <c r="AK92" s="366">
        <f>AJ92*5%</f>
        <v>126.61501076756757</v>
      </c>
      <c r="AL92" s="366">
        <f>AJ92+AK92</f>
        <v>2658.9152261189188</v>
      </c>
      <c r="AN92" s="366">
        <v>1.43</v>
      </c>
      <c r="AO92" s="366">
        <f t="shared" si="99"/>
        <v>1700.0888769729727</v>
      </c>
      <c r="AP92" s="366">
        <f t="shared" si="100"/>
        <v>85.004443848648634</v>
      </c>
      <c r="AQ92" s="366">
        <f t="shared" si="101"/>
        <v>1785.0933208216213</v>
      </c>
    </row>
    <row r="93" spans="2:43" s="366" customFormat="1" x14ac:dyDescent="0.3">
      <c r="B93" s="525" t="s">
        <v>250</v>
      </c>
      <c r="C93" s="512" t="s">
        <v>56</v>
      </c>
      <c r="D93" s="512" t="s">
        <v>57</v>
      </c>
      <c r="E93" s="512" t="s">
        <v>58</v>
      </c>
      <c r="F93" s="512" t="s">
        <v>75</v>
      </c>
      <c r="G93" s="512" t="s">
        <v>60</v>
      </c>
      <c r="H93" s="512" t="s">
        <v>61</v>
      </c>
      <c r="I93" s="512" t="s">
        <v>2276</v>
      </c>
      <c r="J93" s="512" t="s">
        <v>76</v>
      </c>
      <c r="K93" s="512" t="s">
        <v>312</v>
      </c>
      <c r="L93" s="512" t="s">
        <v>77</v>
      </c>
      <c r="M93" s="512" t="s">
        <v>64</v>
      </c>
      <c r="N93" s="512" t="s">
        <v>65</v>
      </c>
      <c r="O93" s="512" t="s">
        <v>66</v>
      </c>
      <c r="P93" s="513">
        <v>13</v>
      </c>
      <c r="Q93" s="514">
        <f t="shared" si="96"/>
        <v>1788709.9236641221</v>
      </c>
      <c r="R93" s="515"/>
      <c r="S93" s="516">
        <v>0.75</v>
      </c>
      <c r="T93" s="514">
        <f t="shared" si="97"/>
        <v>1341532.4427480916</v>
      </c>
      <c r="U93" s="514">
        <f t="shared" ref="U93:U94" si="102">Q93*R93</f>
        <v>0</v>
      </c>
      <c r="V93" s="517">
        <f t="shared" si="98"/>
        <v>447177.48091603053</v>
      </c>
      <c r="W93" s="518">
        <v>4</v>
      </c>
      <c r="X93" s="499">
        <v>131</v>
      </c>
      <c r="Y93" s="500">
        <v>234321</v>
      </c>
      <c r="Z93" s="520">
        <f t="shared" si="82"/>
        <v>131</v>
      </c>
      <c r="AA93" s="520">
        <f t="shared" ref="AA93:AA94" si="103">IFERROR(Y93/U93, 0)</f>
        <v>0</v>
      </c>
      <c r="AB93" s="521">
        <f t="shared" si="84"/>
        <v>0.68962444802329836</v>
      </c>
      <c r="AC93" s="514">
        <f>'Audience Sizing'!F16</f>
        <v>648436.23540000001</v>
      </c>
      <c r="AD93" s="526">
        <v>45460</v>
      </c>
      <c r="AE93" s="527">
        <v>45473</v>
      </c>
      <c r="AF93" s="376"/>
      <c r="AG93" s="312"/>
      <c r="AI93" s="366">
        <v>2.13</v>
      </c>
      <c r="AJ93" s="366">
        <f>AI93*Q93/1000</f>
        <v>3809.9521374045803</v>
      </c>
      <c r="AK93" s="366">
        <f>AJ93*5%</f>
        <v>190.49760687022902</v>
      </c>
      <c r="AL93" s="366">
        <f>AJ93+AK93</f>
        <v>4000.4497442748093</v>
      </c>
      <c r="AN93" s="366">
        <v>1.43</v>
      </c>
      <c r="AO93" s="366">
        <f t="shared" si="99"/>
        <v>2557.8551908396944</v>
      </c>
      <c r="AP93" s="366">
        <f t="shared" si="100"/>
        <v>127.89275954198473</v>
      </c>
      <c r="AQ93" s="366">
        <f t="shared" si="101"/>
        <v>2685.7479503816789</v>
      </c>
    </row>
    <row r="94" spans="2:43" s="366" customFormat="1" x14ac:dyDescent="0.3">
      <c r="B94" s="525" t="s">
        <v>250</v>
      </c>
      <c r="C94" s="512" t="s">
        <v>56</v>
      </c>
      <c r="D94" s="512" t="s">
        <v>71</v>
      </c>
      <c r="E94" s="512" t="s">
        <v>58</v>
      </c>
      <c r="F94" s="512" t="s">
        <v>72</v>
      </c>
      <c r="G94" s="512" t="s">
        <v>60</v>
      </c>
      <c r="H94" s="512" t="s">
        <v>61</v>
      </c>
      <c r="I94" s="512" t="s">
        <v>2276</v>
      </c>
      <c r="J94" s="512" t="s">
        <v>76</v>
      </c>
      <c r="K94" s="492" t="s">
        <v>2353</v>
      </c>
      <c r="L94" s="512" t="s">
        <v>152</v>
      </c>
      <c r="M94" s="512" t="s">
        <v>64</v>
      </c>
      <c r="N94" s="512" t="s">
        <v>65</v>
      </c>
      <c r="O94" s="512" t="s">
        <v>66</v>
      </c>
      <c r="P94" s="513"/>
      <c r="Q94" s="514">
        <f t="shared" si="96"/>
        <v>1041426.6666666666</v>
      </c>
      <c r="R94" s="515">
        <v>0</v>
      </c>
      <c r="S94" s="516">
        <v>0.85</v>
      </c>
      <c r="T94" s="514">
        <f t="shared" si="97"/>
        <v>885212.66666666663</v>
      </c>
      <c r="U94" s="514">
        <f t="shared" si="102"/>
        <v>0</v>
      </c>
      <c r="V94" s="517">
        <f t="shared" si="98"/>
        <v>173571.11111111109</v>
      </c>
      <c r="W94" s="518">
        <v>6</v>
      </c>
      <c r="X94" s="499">
        <v>225</v>
      </c>
      <c r="Y94" s="500">
        <v>234321</v>
      </c>
      <c r="Z94" s="520">
        <f t="shared" si="82"/>
        <v>225</v>
      </c>
      <c r="AA94" s="520">
        <f t="shared" si="103"/>
        <v>0</v>
      </c>
      <c r="AB94" s="521">
        <f t="shared" si="84"/>
        <v>0.737890151493788</v>
      </c>
      <c r="AC94" s="514">
        <f>'Audience Sizing'!H16</f>
        <v>235226.22</v>
      </c>
      <c r="AD94" s="526">
        <v>45460</v>
      </c>
      <c r="AE94" s="527">
        <v>45473</v>
      </c>
      <c r="AF94" s="376"/>
      <c r="AG94" s="312"/>
      <c r="AN94" s="366">
        <v>1.43</v>
      </c>
      <c r="AO94" s="366">
        <f t="shared" si="99"/>
        <v>1489.2401333333332</v>
      </c>
      <c r="AP94" s="366">
        <f t="shared" si="100"/>
        <v>74.462006666666667</v>
      </c>
      <c r="AQ94" s="366">
        <f t="shared" si="101"/>
        <v>1563.7021399999999</v>
      </c>
    </row>
    <row r="95" spans="2:43" s="366" customFormat="1" x14ac:dyDescent="0.3">
      <c r="B95" s="525" t="s">
        <v>250</v>
      </c>
      <c r="C95" s="512" t="s">
        <v>56</v>
      </c>
      <c r="D95" s="512" t="s">
        <v>71</v>
      </c>
      <c r="E95" s="512" t="s">
        <v>67</v>
      </c>
      <c r="F95" s="512" t="s">
        <v>72</v>
      </c>
      <c r="G95" s="512" t="s">
        <v>60</v>
      </c>
      <c r="H95" s="512" t="s">
        <v>68</v>
      </c>
      <c r="I95" s="512" t="s">
        <v>2276</v>
      </c>
      <c r="J95" s="512" t="s">
        <v>76</v>
      </c>
      <c r="K95" s="512" t="s">
        <v>2298</v>
      </c>
      <c r="L95" s="512" t="s">
        <v>152</v>
      </c>
      <c r="M95" s="512" t="s">
        <v>64</v>
      </c>
      <c r="N95" s="512" t="s">
        <v>65</v>
      </c>
      <c r="O95" s="512" t="s">
        <v>65</v>
      </c>
      <c r="P95" s="513">
        <v>13</v>
      </c>
      <c r="Q95" s="514">
        <f t="shared" si="96"/>
        <v>639912.17746759474</v>
      </c>
      <c r="R95" s="515">
        <v>7.0000000000000001E-3</v>
      </c>
      <c r="S95" s="516">
        <v>0.85</v>
      </c>
      <c r="T95" s="514">
        <f t="shared" si="97"/>
        <v>543925.35084745556</v>
      </c>
      <c r="U95" s="514">
        <f>Q95*R95</f>
        <v>4479.3852422731634</v>
      </c>
      <c r="V95" s="517">
        <f t="shared" si="98"/>
        <v>319956.08873379737</v>
      </c>
      <c r="W95" s="518">
        <v>2</v>
      </c>
      <c r="X95" s="519">
        <v>175</v>
      </c>
      <c r="Y95" s="520">
        <v>111984.63105682908</v>
      </c>
      <c r="Z95" s="520">
        <f t="shared" ref="Z95:Z103" si="104">Y95/Q95*1000</f>
        <v>175</v>
      </c>
      <c r="AA95" s="520">
        <f>IFERROR(Y95/U95, 0)</f>
        <v>25</v>
      </c>
      <c r="AB95" s="521">
        <f t="shared" si="84"/>
        <v>0.41843317267975844</v>
      </c>
      <c r="AC95" s="514">
        <f>'Audience Sizing'!$G$16</f>
        <v>764652.78</v>
      </c>
      <c r="AD95" s="526">
        <v>45460</v>
      </c>
      <c r="AE95" s="527">
        <v>45473</v>
      </c>
      <c r="AF95" s="376"/>
      <c r="AG95" s="312"/>
      <c r="AN95" s="366">
        <v>1.43</v>
      </c>
      <c r="AO95" s="366">
        <f t="shared" si="99"/>
        <v>915.07441377866041</v>
      </c>
      <c r="AP95" s="366">
        <f t="shared" si="100"/>
        <v>45.753720688933022</v>
      </c>
      <c r="AQ95" s="366">
        <f t="shared" si="101"/>
        <v>960.82813446759349</v>
      </c>
    </row>
    <row r="96" spans="2:43" s="366" customFormat="1" x14ac:dyDescent="0.3">
      <c r="B96" s="525" t="s">
        <v>250</v>
      </c>
      <c r="C96" s="512" t="s">
        <v>56</v>
      </c>
      <c r="D96" s="512" t="s">
        <v>71</v>
      </c>
      <c r="E96" s="512" t="s">
        <v>67</v>
      </c>
      <c r="F96" s="512" t="s">
        <v>72</v>
      </c>
      <c r="G96" s="512" t="s">
        <v>60</v>
      </c>
      <c r="H96" s="512" t="s">
        <v>68</v>
      </c>
      <c r="I96" s="512" t="s">
        <v>2276</v>
      </c>
      <c r="J96" s="512" t="s">
        <v>76</v>
      </c>
      <c r="K96" s="512" t="s">
        <v>2299</v>
      </c>
      <c r="L96" s="512" t="s">
        <v>152</v>
      </c>
      <c r="M96" s="512" t="s">
        <v>64</v>
      </c>
      <c r="N96" s="512" t="s">
        <v>65</v>
      </c>
      <c r="O96" s="512" t="s">
        <v>65</v>
      </c>
      <c r="P96" s="513">
        <v>13</v>
      </c>
      <c r="Q96" s="514">
        <f t="shared" si="96"/>
        <v>266630.07394483109</v>
      </c>
      <c r="R96" s="515">
        <v>3.0000000000000001E-3</v>
      </c>
      <c r="S96" s="516">
        <v>0.85</v>
      </c>
      <c r="T96" s="514">
        <f t="shared" si="97"/>
        <v>226635.56285310641</v>
      </c>
      <c r="U96" s="514">
        <f>Q96*R96</f>
        <v>799.89022183449333</v>
      </c>
      <c r="V96" s="517">
        <f t="shared" si="98"/>
        <v>133315.03697241555</v>
      </c>
      <c r="W96" s="518">
        <v>2</v>
      </c>
      <c r="X96" s="519">
        <v>105</v>
      </c>
      <c r="Y96" s="520">
        <v>27996.157764207266</v>
      </c>
      <c r="Z96" s="520">
        <f t="shared" si="104"/>
        <v>105.00000000000001</v>
      </c>
      <c r="AA96" s="520">
        <f>IFERROR(Y96/U96, 0)</f>
        <v>35</v>
      </c>
      <c r="AB96" s="521">
        <f t="shared" si="84"/>
        <v>0.17434715528323266</v>
      </c>
      <c r="AC96" s="514">
        <f>'Audience Sizing'!$G$16</f>
        <v>764652.78</v>
      </c>
      <c r="AD96" s="526">
        <v>45460</v>
      </c>
      <c r="AE96" s="527">
        <v>45473</v>
      </c>
      <c r="AF96" s="376"/>
      <c r="AG96" s="312"/>
      <c r="AN96" s="366">
        <v>1.43</v>
      </c>
      <c r="AO96" s="366">
        <f t="shared" si="99"/>
        <v>381.28100574110846</v>
      </c>
      <c r="AP96" s="366">
        <f t="shared" si="100"/>
        <v>19.064050287055423</v>
      </c>
      <c r="AQ96" s="366">
        <f t="shared" si="101"/>
        <v>400.34505602816387</v>
      </c>
    </row>
    <row r="97" spans="2:43" s="366" customFormat="1" x14ac:dyDescent="0.3">
      <c r="B97" s="525" t="s">
        <v>250</v>
      </c>
      <c r="C97" s="512" t="s">
        <v>56</v>
      </c>
      <c r="D97" s="512" t="s">
        <v>71</v>
      </c>
      <c r="E97" s="512" t="s">
        <v>67</v>
      </c>
      <c r="F97" s="512" t="s">
        <v>72</v>
      </c>
      <c r="G97" s="512" t="s">
        <v>60</v>
      </c>
      <c r="H97" s="512" t="s">
        <v>69</v>
      </c>
      <c r="I97" s="512" t="s">
        <v>2276</v>
      </c>
      <c r="J97" s="512" t="s">
        <v>76</v>
      </c>
      <c r="K97" s="512" t="s">
        <v>2334</v>
      </c>
      <c r="L97" s="512" t="s">
        <v>152</v>
      </c>
      <c r="M97" s="512" t="s">
        <v>64</v>
      </c>
      <c r="N97" s="512" t="s">
        <v>65</v>
      </c>
      <c r="O97" s="512" t="s">
        <v>65</v>
      </c>
      <c r="P97" s="513">
        <v>13</v>
      </c>
      <c r="Q97" s="514">
        <f t="shared" si="96"/>
        <v>639912.17746759474</v>
      </c>
      <c r="R97" s="515">
        <v>7.0000000000000001E-3</v>
      </c>
      <c r="S97" s="516">
        <v>0.85</v>
      </c>
      <c r="T97" s="514">
        <f t="shared" si="97"/>
        <v>543925.35084745556</v>
      </c>
      <c r="U97" s="514">
        <f>Q97*R97</f>
        <v>4479.3852422731634</v>
      </c>
      <c r="V97" s="517">
        <f t="shared" si="98"/>
        <v>319956.08873379737</v>
      </c>
      <c r="W97" s="518">
        <v>2</v>
      </c>
      <c r="X97" s="519">
        <v>175</v>
      </c>
      <c r="Y97" s="520">
        <v>111984.63105682908</v>
      </c>
      <c r="Z97" s="520">
        <f t="shared" si="104"/>
        <v>175</v>
      </c>
      <c r="AA97" s="520">
        <f>IFERROR(Y97/U97, 0)</f>
        <v>25</v>
      </c>
      <c r="AB97" s="521">
        <f t="shared" si="84"/>
        <v>0.41843317267975844</v>
      </c>
      <c r="AC97" s="514">
        <f>'Audience Sizing'!$G$16</f>
        <v>764652.78</v>
      </c>
      <c r="AD97" s="526">
        <v>45460</v>
      </c>
      <c r="AE97" s="527">
        <v>45473</v>
      </c>
      <c r="AF97" s="376"/>
      <c r="AG97" s="312"/>
      <c r="AN97" s="366">
        <v>1.43</v>
      </c>
      <c r="AO97" s="366">
        <f t="shared" si="99"/>
        <v>915.07441377866041</v>
      </c>
      <c r="AP97" s="366">
        <f t="shared" si="100"/>
        <v>45.753720688933022</v>
      </c>
      <c r="AQ97" s="366">
        <f t="shared" si="101"/>
        <v>960.82813446759349</v>
      </c>
    </row>
    <row r="98" spans="2:43" s="366" customFormat="1" x14ac:dyDescent="0.3">
      <c r="B98" s="525" t="s">
        <v>250</v>
      </c>
      <c r="C98" s="512" t="s">
        <v>56</v>
      </c>
      <c r="D98" s="512" t="s">
        <v>71</v>
      </c>
      <c r="E98" s="512" t="s">
        <v>67</v>
      </c>
      <c r="F98" s="512" t="s">
        <v>72</v>
      </c>
      <c r="G98" s="512" t="s">
        <v>60</v>
      </c>
      <c r="H98" s="512" t="s">
        <v>69</v>
      </c>
      <c r="I98" s="512" t="s">
        <v>2276</v>
      </c>
      <c r="J98" s="512" t="s">
        <v>76</v>
      </c>
      <c r="K98" s="512" t="s">
        <v>2300</v>
      </c>
      <c r="L98" s="512" t="s">
        <v>152</v>
      </c>
      <c r="M98" s="512" t="s">
        <v>64</v>
      </c>
      <c r="N98" s="512" t="s">
        <v>65</v>
      </c>
      <c r="O98" s="512" t="s">
        <v>65</v>
      </c>
      <c r="P98" s="513">
        <v>13</v>
      </c>
      <c r="Q98" s="514">
        <f t="shared" si="96"/>
        <v>266630.07394483109</v>
      </c>
      <c r="R98" s="515">
        <v>3.0000000000000001E-3</v>
      </c>
      <c r="S98" s="516">
        <v>0.85</v>
      </c>
      <c r="T98" s="514">
        <f t="shared" si="97"/>
        <v>226635.56285310641</v>
      </c>
      <c r="U98" s="514">
        <f>Q98*R98</f>
        <v>799.89022183449333</v>
      </c>
      <c r="V98" s="517">
        <f t="shared" si="98"/>
        <v>133315.03697241555</v>
      </c>
      <c r="W98" s="518">
        <v>2</v>
      </c>
      <c r="X98" s="519">
        <v>105</v>
      </c>
      <c r="Y98" s="520">
        <v>27996.157764207266</v>
      </c>
      <c r="Z98" s="520">
        <f t="shared" si="104"/>
        <v>105.00000000000001</v>
      </c>
      <c r="AA98" s="520">
        <f>IFERROR(Y98/U98, 0)</f>
        <v>35</v>
      </c>
      <c r="AB98" s="521">
        <f t="shared" si="84"/>
        <v>0.17434715528323266</v>
      </c>
      <c r="AC98" s="514">
        <f>'Audience Sizing'!$G$16</f>
        <v>764652.78</v>
      </c>
      <c r="AD98" s="526">
        <v>45460</v>
      </c>
      <c r="AE98" s="527">
        <v>45473</v>
      </c>
      <c r="AF98" s="376"/>
      <c r="AG98" s="312"/>
      <c r="AN98" s="366">
        <v>1.43</v>
      </c>
      <c r="AO98" s="366">
        <f t="shared" si="99"/>
        <v>381.28100574110846</v>
      </c>
      <c r="AP98" s="366">
        <f t="shared" si="100"/>
        <v>19.064050287055423</v>
      </c>
      <c r="AQ98" s="366">
        <f t="shared" si="101"/>
        <v>400.34505602816387</v>
      </c>
    </row>
    <row r="99" spans="2:43" s="366" customFormat="1" x14ac:dyDescent="0.3">
      <c r="B99" s="437" t="s">
        <v>2350</v>
      </c>
      <c r="C99" s="410"/>
      <c r="D99" s="410"/>
      <c r="E99" s="410"/>
      <c r="F99" s="410"/>
      <c r="G99" s="410"/>
      <c r="H99" s="410"/>
      <c r="I99" s="410"/>
      <c r="J99" s="410"/>
      <c r="K99" s="410"/>
      <c r="L99" s="410"/>
      <c r="M99" s="410"/>
      <c r="N99" s="410"/>
      <c r="O99" s="410"/>
      <c r="P99" s="411"/>
      <c r="Q99" s="412">
        <f>SUM(Q91:Q98)</f>
        <v>7144808.7472096952</v>
      </c>
      <c r="R99" s="413">
        <f>U99/Q99</f>
        <v>3.7203369539932645E-3</v>
      </c>
      <c r="S99" s="414">
        <f>T99/Q99</f>
        <v>0.82736603615460413</v>
      </c>
      <c r="T99" s="412">
        <f>SUM(T91:T98)</f>
        <v>5911372.0922616282</v>
      </c>
      <c r="U99" s="412">
        <f>SUM(U91:U98)</f>
        <v>26581.09601145855</v>
      </c>
      <c r="V99" s="415">
        <f>V92+V91*20%+SUM(V93:V98)*50%</f>
        <v>1489353.5233414052</v>
      </c>
      <c r="W99" s="427">
        <f>Q99/V99</f>
        <v>4.7972550742553874</v>
      </c>
      <c r="X99" s="416"/>
      <c r="Y99" s="417">
        <f>SUM(Y91:Y98)</f>
        <v>1026279.8072420727</v>
      </c>
      <c r="Z99" s="417">
        <f t="shared" si="104"/>
        <v>143.63992705093355</v>
      </c>
      <c r="AA99" s="417">
        <f>Y99/U99</f>
        <v>38.609386415054708</v>
      </c>
      <c r="AB99" s="418">
        <f t="shared" si="84"/>
        <v>0.85595030077092249</v>
      </c>
      <c r="AC99" s="412">
        <f>'Audience Sizing'!C16</f>
        <v>1740000</v>
      </c>
      <c r="AD99" s="387"/>
      <c r="AE99" s="387"/>
      <c r="AF99" s="376"/>
      <c r="AG99" s="312"/>
    </row>
    <row r="100" spans="2:43" s="366" customFormat="1" x14ac:dyDescent="0.3">
      <c r="B100" s="525" t="s">
        <v>185</v>
      </c>
      <c r="C100" s="512" t="s">
        <v>56</v>
      </c>
      <c r="D100" s="512" t="s">
        <v>57</v>
      </c>
      <c r="E100" s="512" t="s">
        <v>67</v>
      </c>
      <c r="F100" s="512" t="s">
        <v>75</v>
      </c>
      <c r="G100" s="512" t="s">
        <v>60</v>
      </c>
      <c r="H100" s="512" t="s">
        <v>68</v>
      </c>
      <c r="I100" s="512" t="s">
        <v>2276</v>
      </c>
      <c r="J100" s="512" t="s">
        <v>76</v>
      </c>
      <c r="K100" s="512" t="s">
        <v>2340</v>
      </c>
      <c r="L100" s="512" t="s">
        <v>152</v>
      </c>
      <c r="M100" s="512" t="s">
        <v>64</v>
      </c>
      <c r="N100" s="512" t="s">
        <v>65</v>
      </c>
      <c r="O100" s="512" t="s">
        <v>66</v>
      </c>
      <c r="P100" s="513">
        <v>14</v>
      </c>
      <c r="Q100" s="514">
        <f t="shared" ref="Q100:Q107" si="105">Y100*1000/X100</f>
        <v>750122.46486486483</v>
      </c>
      <c r="R100" s="515">
        <v>6.4999999999999997E-3</v>
      </c>
      <c r="S100" s="516">
        <v>0.85590434334133847</v>
      </c>
      <c r="T100" s="514">
        <f t="shared" ref="T100:T107" si="106">Q100*S100</f>
        <v>642033.07571574836</v>
      </c>
      <c r="U100" s="514">
        <f>Q100*R100</f>
        <v>4875.7960216216215</v>
      </c>
      <c r="V100" s="517">
        <f t="shared" ref="V100:V107" si="107">Q100/W100</f>
        <v>375061.23243243241</v>
      </c>
      <c r="W100" s="518">
        <v>2</v>
      </c>
      <c r="X100" s="519">
        <v>111</v>
      </c>
      <c r="Y100" s="520">
        <f>41631.7968*2</f>
        <v>83263.593599999993</v>
      </c>
      <c r="Z100" s="520">
        <f t="shared" si="104"/>
        <v>111</v>
      </c>
      <c r="AA100" s="520">
        <f>IFERROR(Y100/U100, 0)</f>
        <v>17.076923076923077</v>
      </c>
      <c r="AB100" s="521">
        <f t="shared" si="84"/>
        <v>0.14757590633976619</v>
      </c>
      <c r="AC100" s="514">
        <f>'Audience Sizing'!$E$17</f>
        <v>2541480.12189011</v>
      </c>
      <c r="AD100" s="526">
        <v>45460</v>
      </c>
      <c r="AE100" s="527">
        <v>45473</v>
      </c>
      <c r="AF100" s="376"/>
      <c r="AG100" s="312"/>
      <c r="AI100" s="366">
        <v>2.13</v>
      </c>
      <c r="AJ100" s="366">
        <f>AI100*Q100/1000</f>
        <v>1597.7608501621619</v>
      </c>
      <c r="AK100" s="366">
        <f>AJ100*5%</f>
        <v>79.8880425081081</v>
      </c>
      <c r="AL100" s="366">
        <f>AJ100+AK100</f>
        <v>1677.64889267027</v>
      </c>
      <c r="AN100" s="366">
        <v>1.43</v>
      </c>
      <c r="AO100" s="366">
        <f t="shared" ref="AO100:AO107" si="108">AN100*Q100/1000</f>
        <v>1072.6751247567568</v>
      </c>
      <c r="AP100" s="366">
        <f t="shared" ref="AP100:AP107" si="109">AO100*5%</f>
        <v>53.633756237837844</v>
      </c>
      <c r="AQ100" s="366">
        <f t="shared" ref="AQ100:AQ107" si="110">SUM(AO100:AP100)</f>
        <v>1126.3088809945946</v>
      </c>
    </row>
    <row r="101" spans="2:43" s="366" customFormat="1" x14ac:dyDescent="0.3">
      <c r="B101" s="525" t="s">
        <v>185</v>
      </c>
      <c r="C101" s="512" t="s">
        <v>56</v>
      </c>
      <c r="D101" s="512" t="s">
        <v>57</v>
      </c>
      <c r="E101" s="512" t="s">
        <v>67</v>
      </c>
      <c r="F101" s="512" t="s">
        <v>75</v>
      </c>
      <c r="G101" s="512" t="s">
        <v>60</v>
      </c>
      <c r="H101" s="512" t="s">
        <v>69</v>
      </c>
      <c r="I101" s="512" t="s">
        <v>2276</v>
      </c>
      <c r="J101" s="512" t="s">
        <v>76</v>
      </c>
      <c r="K101" s="512" t="s">
        <v>2341</v>
      </c>
      <c r="L101" s="512" t="s">
        <v>152</v>
      </c>
      <c r="M101" s="512" t="s">
        <v>64</v>
      </c>
      <c r="N101" s="512" t="s">
        <v>65</v>
      </c>
      <c r="O101" s="512" t="s">
        <v>66</v>
      </c>
      <c r="P101" s="513">
        <v>14</v>
      </c>
      <c r="Q101" s="514">
        <f t="shared" si="105"/>
        <v>679356.19459459453</v>
      </c>
      <c r="R101" s="515">
        <v>6.3E-3</v>
      </c>
      <c r="S101" s="516">
        <v>0.85791079517305968</v>
      </c>
      <c r="T101" s="514">
        <f t="shared" si="106"/>
        <v>582827.01311039249</v>
      </c>
      <c r="U101" s="514">
        <f>Q101*R101</f>
        <v>4279.9440259459452</v>
      </c>
      <c r="V101" s="517">
        <f t="shared" si="107"/>
        <v>339678.09729729727</v>
      </c>
      <c r="W101" s="518">
        <v>2</v>
      </c>
      <c r="X101" s="519">
        <v>111</v>
      </c>
      <c r="Y101" s="520">
        <f>37704.2688*2</f>
        <v>75408.537599999996</v>
      </c>
      <c r="Z101" s="520">
        <f t="shared" si="104"/>
        <v>111</v>
      </c>
      <c r="AA101" s="520">
        <f>IFERROR(Y101/U101, 0)</f>
        <v>17.61904761904762</v>
      </c>
      <c r="AB101" s="521">
        <f t="shared" si="84"/>
        <v>0.1336536510246939</v>
      </c>
      <c r="AC101" s="514">
        <f>'Audience Sizing'!$E$17</f>
        <v>2541480.12189011</v>
      </c>
      <c r="AD101" s="526">
        <v>45460</v>
      </c>
      <c r="AE101" s="527">
        <v>45473</v>
      </c>
      <c r="AF101" s="376"/>
      <c r="AG101" s="312"/>
      <c r="AI101" s="366">
        <v>2.13</v>
      </c>
      <c r="AJ101" s="366">
        <f>AI101*Q101/1000</f>
        <v>1447.0286944864863</v>
      </c>
      <c r="AK101" s="366">
        <f>AJ101*5%</f>
        <v>72.351434724324321</v>
      </c>
      <c r="AL101" s="366">
        <f>AJ101+AK101</f>
        <v>1519.3801292108105</v>
      </c>
      <c r="AN101" s="366">
        <v>1.43</v>
      </c>
      <c r="AO101" s="366">
        <f t="shared" si="108"/>
        <v>971.47935827027015</v>
      </c>
      <c r="AP101" s="366">
        <f t="shared" si="109"/>
        <v>48.573967913513513</v>
      </c>
      <c r="AQ101" s="366">
        <f t="shared" si="110"/>
        <v>1020.0533261837836</v>
      </c>
    </row>
    <row r="102" spans="2:43" s="366" customFormat="1" x14ac:dyDescent="0.3">
      <c r="B102" s="525" t="s">
        <v>185</v>
      </c>
      <c r="C102" s="512" t="s">
        <v>56</v>
      </c>
      <c r="D102" s="512" t="s">
        <v>57</v>
      </c>
      <c r="E102" s="512" t="s">
        <v>58</v>
      </c>
      <c r="F102" s="512" t="s">
        <v>75</v>
      </c>
      <c r="G102" s="512" t="s">
        <v>60</v>
      </c>
      <c r="H102" s="512" t="s">
        <v>61</v>
      </c>
      <c r="I102" s="512" t="s">
        <v>2276</v>
      </c>
      <c r="J102" s="512" t="s">
        <v>76</v>
      </c>
      <c r="K102" s="512" t="s">
        <v>312</v>
      </c>
      <c r="L102" s="512" t="s">
        <v>77</v>
      </c>
      <c r="M102" s="512" t="s">
        <v>64</v>
      </c>
      <c r="N102" s="512" t="s">
        <v>65</v>
      </c>
      <c r="O102" s="512" t="s">
        <v>66</v>
      </c>
      <c r="P102" s="513">
        <v>13</v>
      </c>
      <c r="Q102" s="514">
        <f t="shared" si="105"/>
        <v>1025351.1450381679</v>
      </c>
      <c r="R102" s="515"/>
      <c r="S102" s="516">
        <v>0.75</v>
      </c>
      <c r="T102" s="514">
        <f t="shared" si="106"/>
        <v>769013.35877862596</v>
      </c>
      <c r="U102" s="514">
        <f t="shared" ref="U102:U103" si="111">Q102*R102</f>
        <v>0</v>
      </c>
      <c r="V102" s="517">
        <f t="shared" si="107"/>
        <v>256337.78625954199</v>
      </c>
      <c r="W102" s="518">
        <v>4</v>
      </c>
      <c r="X102" s="499">
        <v>131</v>
      </c>
      <c r="Y102" s="500">
        <v>134321</v>
      </c>
      <c r="Z102" s="520">
        <f t="shared" si="104"/>
        <v>131</v>
      </c>
      <c r="AA102" s="520">
        <f t="shared" ref="AA102:AA103" si="112">IFERROR(Y102/U102, 0)</f>
        <v>0</v>
      </c>
      <c r="AB102" s="521">
        <f t="shared" si="84"/>
        <v>0.43852875518186385</v>
      </c>
      <c r="AC102" s="514">
        <f>'Audience Sizing'!F17</f>
        <v>584540.42803472537</v>
      </c>
      <c r="AD102" s="526">
        <v>45460</v>
      </c>
      <c r="AE102" s="527">
        <v>45473</v>
      </c>
      <c r="AF102" s="376"/>
      <c r="AG102" s="312"/>
      <c r="AI102" s="366">
        <v>2.13</v>
      </c>
      <c r="AJ102" s="366">
        <f>AI102*Q102/1000</f>
        <v>2183.9979389312975</v>
      </c>
      <c r="AK102" s="366">
        <f>AJ102*5%</f>
        <v>109.19989694656488</v>
      </c>
      <c r="AL102" s="366">
        <f>AJ102+AK102</f>
        <v>2293.1978358778624</v>
      </c>
      <c r="AN102" s="366">
        <v>1.43</v>
      </c>
      <c r="AO102" s="366">
        <f t="shared" si="108"/>
        <v>1466.25213740458</v>
      </c>
      <c r="AP102" s="366">
        <f t="shared" si="109"/>
        <v>73.312606870229004</v>
      </c>
      <c r="AQ102" s="366">
        <f t="shared" si="110"/>
        <v>1539.5647442748091</v>
      </c>
    </row>
    <row r="103" spans="2:43" s="366" customFormat="1" x14ac:dyDescent="0.3">
      <c r="B103" s="525" t="s">
        <v>185</v>
      </c>
      <c r="C103" s="512" t="s">
        <v>56</v>
      </c>
      <c r="D103" s="512" t="s">
        <v>71</v>
      </c>
      <c r="E103" s="512" t="s">
        <v>58</v>
      </c>
      <c r="F103" s="512" t="s">
        <v>72</v>
      </c>
      <c r="G103" s="512" t="s">
        <v>60</v>
      </c>
      <c r="H103" s="512" t="s">
        <v>61</v>
      </c>
      <c r="I103" s="512" t="s">
        <v>2276</v>
      </c>
      <c r="J103" s="512" t="s">
        <v>76</v>
      </c>
      <c r="K103" s="492" t="s">
        <v>2353</v>
      </c>
      <c r="L103" s="512" t="s">
        <v>152</v>
      </c>
      <c r="M103" s="512" t="s">
        <v>64</v>
      </c>
      <c r="N103" s="512" t="s">
        <v>65</v>
      </c>
      <c r="O103" s="512" t="s">
        <v>66</v>
      </c>
      <c r="P103" s="513"/>
      <c r="Q103" s="514">
        <f t="shared" si="105"/>
        <v>596982.22222222225</v>
      </c>
      <c r="R103" s="515">
        <v>0</v>
      </c>
      <c r="S103" s="516">
        <v>0.85</v>
      </c>
      <c r="T103" s="514">
        <f t="shared" si="106"/>
        <v>507434.88888888888</v>
      </c>
      <c r="U103" s="514">
        <f t="shared" si="111"/>
        <v>0</v>
      </c>
      <c r="V103" s="517">
        <f t="shared" si="107"/>
        <v>99497.037037037036</v>
      </c>
      <c r="W103" s="518">
        <v>6</v>
      </c>
      <c r="X103" s="499">
        <v>225</v>
      </c>
      <c r="Y103" s="500">
        <v>134321</v>
      </c>
      <c r="Z103" s="520">
        <f t="shared" si="104"/>
        <v>224.99999999999997</v>
      </c>
      <c r="AA103" s="520">
        <f t="shared" si="112"/>
        <v>0</v>
      </c>
      <c r="AB103" s="521">
        <f t="shared" si="84"/>
        <v>0.67453585752262513</v>
      </c>
      <c r="AC103" s="514">
        <f>'Audience Sizing'!H17</f>
        <v>147504.44461538462</v>
      </c>
      <c r="AD103" s="526">
        <v>45460</v>
      </c>
      <c r="AE103" s="527">
        <v>45473</v>
      </c>
      <c r="AF103" s="376"/>
      <c r="AG103" s="312"/>
      <c r="AN103" s="366">
        <v>1.43</v>
      </c>
      <c r="AO103" s="366">
        <f t="shared" si="108"/>
        <v>853.6845777777778</v>
      </c>
      <c r="AP103" s="366">
        <f t="shared" si="109"/>
        <v>42.684228888888896</v>
      </c>
      <c r="AQ103" s="366">
        <f t="shared" si="110"/>
        <v>896.36880666666673</v>
      </c>
    </row>
    <row r="104" spans="2:43" s="366" customFormat="1" x14ac:dyDescent="0.3">
      <c r="B104" s="525" t="s">
        <v>185</v>
      </c>
      <c r="C104" s="512" t="s">
        <v>56</v>
      </c>
      <c r="D104" s="512" t="s">
        <v>71</v>
      </c>
      <c r="E104" s="512" t="s">
        <v>67</v>
      </c>
      <c r="F104" s="512" t="s">
        <v>72</v>
      </c>
      <c r="G104" s="512" t="s">
        <v>60</v>
      </c>
      <c r="H104" s="512" t="s">
        <v>68</v>
      </c>
      <c r="I104" s="512" t="s">
        <v>2276</v>
      </c>
      <c r="J104" s="512" t="s">
        <v>76</v>
      </c>
      <c r="K104" s="512" t="s">
        <v>2298</v>
      </c>
      <c r="L104" s="512" t="s">
        <v>152</v>
      </c>
      <c r="M104" s="512" t="s">
        <v>64</v>
      </c>
      <c r="N104" s="512" t="s">
        <v>65</v>
      </c>
      <c r="O104" s="512" t="s">
        <v>65</v>
      </c>
      <c r="P104" s="513">
        <v>13</v>
      </c>
      <c r="Q104" s="514">
        <f t="shared" si="105"/>
        <v>333867.22302657127</v>
      </c>
      <c r="R104" s="515">
        <v>7.0000000000000001E-3</v>
      </c>
      <c r="S104" s="516">
        <v>0.85</v>
      </c>
      <c r="T104" s="514">
        <f t="shared" si="106"/>
        <v>283787.13957258558</v>
      </c>
      <c r="U104" s="514">
        <f>Q104*R104</f>
        <v>2337.0705611859989</v>
      </c>
      <c r="V104" s="517">
        <f t="shared" si="107"/>
        <v>166933.61151328564</v>
      </c>
      <c r="W104" s="518">
        <v>2</v>
      </c>
      <c r="X104" s="519">
        <v>175</v>
      </c>
      <c r="Y104" s="520">
        <v>58426.764029649974</v>
      </c>
      <c r="Z104" s="520">
        <f t="shared" ref="Z104:Z109" si="113">Y104/Q104*1000</f>
        <v>175.00000000000003</v>
      </c>
      <c r="AA104" s="520">
        <f>IFERROR(Y104/U104, 0)</f>
        <v>25</v>
      </c>
      <c r="AB104" s="521">
        <f t="shared" si="84"/>
        <v>0.11221044439927076</v>
      </c>
      <c r="AC104" s="514">
        <f>'Audience Sizing'!$G$17</f>
        <v>1487683.3650109891</v>
      </c>
      <c r="AD104" s="526">
        <v>45460</v>
      </c>
      <c r="AE104" s="527">
        <v>45473</v>
      </c>
      <c r="AF104" s="376"/>
      <c r="AG104" s="312"/>
      <c r="AN104" s="366">
        <v>1.43</v>
      </c>
      <c r="AO104" s="366">
        <f t="shared" si="108"/>
        <v>477.43012892799692</v>
      </c>
      <c r="AP104" s="366">
        <f t="shared" si="109"/>
        <v>23.871506446399849</v>
      </c>
      <c r="AQ104" s="366">
        <f t="shared" si="110"/>
        <v>501.30163537439677</v>
      </c>
    </row>
    <row r="105" spans="2:43" s="366" customFormat="1" x14ac:dyDescent="0.3">
      <c r="B105" s="525" t="s">
        <v>185</v>
      </c>
      <c r="C105" s="512" t="s">
        <v>56</v>
      </c>
      <c r="D105" s="512" t="s">
        <v>71</v>
      </c>
      <c r="E105" s="512" t="s">
        <v>67</v>
      </c>
      <c r="F105" s="512" t="s">
        <v>72</v>
      </c>
      <c r="G105" s="512" t="s">
        <v>60</v>
      </c>
      <c r="H105" s="512" t="s">
        <v>68</v>
      </c>
      <c r="I105" s="512" t="s">
        <v>2276</v>
      </c>
      <c r="J105" s="512" t="s">
        <v>76</v>
      </c>
      <c r="K105" s="512" t="s">
        <v>2299</v>
      </c>
      <c r="L105" s="512" t="s">
        <v>152</v>
      </c>
      <c r="M105" s="512" t="s">
        <v>64</v>
      </c>
      <c r="N105" s="512" t="s">
        <v>65</v>
      </c>
      <c r="O105" s="512" t="s">
        <v>65</v>
      </c>
      <c r="P105" s="513">
        <v>13</v>
      </c>
      <c r="Q105" s="514">
        <f t="shared" si="105"/>
        <v>139111.34292773801</v>
      </c>
      <c r="R105" s="515">
        <v>3.0000000000000001E-3</v>
      </c>
      <c r="S105" s="516">
        <v>0.85</v>
      </c>
      <c r="T105" s="514">
        <f t="shared" si="106"/>
        <v>118244.6414885773</v>
      </c>
      <c r="U105" s="514">
        <f>Q105*R105</f>
        <v>417.33402878321402</v>
      </c>
      <c r="V105" s="517">
        <f t="shared" si="107"/>
        <v>69555.671463869003</v>
      </c>
      <c r="W105" s="518">
        <v>2</v>
      </c>
      <c r="X105" s="519">
        <v>105</v>
      </c>
      <c r="Y105" s="520">
        <v>14606.69100741249</v>
      </c>
      <c r="Z105" s="520">
        <f t="shared" si="113"/>
        <v>105</v>
      </c>
      <c r="AA105" s="520">
        <f>IFERROR(Y105/U105, 0)</f>
        <v>35</v>
      </c>
      <c r="AB105" s="521">
        <f t="shared" ref="AB105:AB109" si="114">V105/AC105</f>
        <v>4.6754351833029478E-2</v>
      </c>
      <c r="AC105" s="514">
        <f>'Audience Sizing'!$G$17</f>
        <v>1487683.3650109891</v>
      </c>
      <c r="AD105" s="526">
        <v>45460</v>
      </c>
      <c r="AE105" s="527">
        <v>45473</v>
      </c>
      <c r="AF105" s="376"/>
      <c r="AG105" s="312"/>
      <c r="AN105" s="366">
        <v>1.43</v>
      </c>
      <c r="AO105" s="366">
        <f t="shared" si="108"/>
        <v>198.92922038666535</v>
      </c>
      <c r="AP105" s="366">
        <f t="shared" si="109"/>
        <v>9.9464610193332685</v>
      </c>
      <c r="AQ105" s="366">
        <f t="shared" si="110"/>
        <v>208.87568140599862</v>
      </c>
    </row>
    <row r="106" spans="2:43" s="366" customFormat="1" x14ac:dyDescent="0.3">
      <c r="B106" s="525" t="s">
        <v>185</v>
      </c>
      <c r="C106" s="512" t="s">
        <v>56</v>
      </c>
      <c r="D106" s="512" t="s">
        <v>71</v>
      </c>
      <c r="E106" s="512" t="s">
        <v>67</v>
      </c>
      <c r="F106" s="512" t="s">
        <v>72</v>
      </c>
      <c r="G106" s="512" t="s">
        <v>60</v>
      </c>
      <c r="H106" s="512" t="s">
        <v>69</v>
      </c>
      <c r="I106" s="512" t="s">
        <v>2276</v>
      </c>
      <c r="J106" s="512" t="s">
        <v>76</v>
      </c>
      <c r="K106" s="512" t="s">
        <v>2334</v>
      </c>
      <c r="L106" s="512" t="s">
        <v>152</v>
      </c>
      <c r="M106" s="512" t="s">
        <v>64</v>
      </c>
      <c r="N106" s="512" t="s">
        <v>65</v>
      </c>
      <c r="O106" s="512" t="s">
        <v>65</v>
      </c>
      <c r="P106" s="513">
        <v>13</v>
      </c>
      <c r="Q106" s="514">
        <f t="shared" si="105"/>
        <v>333867.22302657127</v>
      </c>
      <c r="R106" s="515">
        <v>7.0000000000000001E-3</v>
      </c>
      <c r="S106" s="516">
        <v>0.85</v>
      </c>
      <c r="T106" s="514">
        <f t="shared" si="106"/>
        <v>283787.13957258558</v>
      </c>
      <c r="U106" s="514">
        <f>Q106*R106</f>
        <v>2337.0705611859989</v>
      </c>
      <c r="V106" s="517">
        <f t="shared" si="107"/>
        <v>166933.61151328564</v>
      </c>
      <c r="W106" s="518">
        <v>2</v>
      </c>
      <c r="X106" s="519">
        <v>175</v>
      </c>
      <c r="Y106" s="520">
        <v>58426.764029649974</v>
      </c>
      <c r="Z106" s="520">
        <f t="shared" si="113"/>
        <v>175.00000000000003</v>
      </c>
      <c r="AA106" s="520">
        <f>IFERROR(Y106/U106, 0)</f>
        <v>25</v>
      </c>
      <c r="AB106" s="521">
        <f t="shared" si="114"/>
        <v>0.11221044439927076</v>
      </c>
      <c r="AC106" s="514">
        <f>'Audience Sizing'!$G$17</f>
        <v>1487683.3650109891</v>
      </c>
      <c r="AD106" s="526">
        <v>45460</v>
      </c>
      <c r="AE106" s="527">
        <v>45473</v>
      </c>
      <c r="AF106" s="376"/>
      <c r="AG106" s="312"/>
      <c r="AN106" s="366">
        <v>1.43</v>
      </c>
      <c r="AO106" s="366">
        <f t="shared" si="108"/>
        <v>477.43012892799692</v>
      </c>
      <c r="AP106" s="366">
        <f t="shared" si="109"/>
        <v>23.871506446399849</v>
      </c>
      <c r="AQ106" s="366">
        <f t="shared" si="110"/>
        <v>501.30163537439677</v>
      </c>
    </row>
    <row r="107" spans="2:43" s="366" customFormat="1" x14ac:dyDescent="0.3">
      <c r="B107" s="525" t="s">
        <v>185</v>
      </c>
      <c r="C107" s="512" t="s">
        <v>56</v>
      </c>
      <c r="D107" s="512" t="s">
        <v>71</v>
      </c>
      <c r="E107" s="512" t="s">
        <v>67</v>
      </c>
      <c r="F107" s="512" t="s">
        <v>72</v>
      </c>
      <c r="G107" s="512" t="s">
        <v>60</v>
      </c>
      <c r="H107" s="512" t="s">
        <v>69</v>
      </c>
      <c r="I107" s="512" t="s">
        <v>2276</v>
      </c>
      <c r="J107" s="512" t="s">
        <v>76</v>
      </c>
      <c r="K107" s="512" t="s">
        <v>2300</v>
      </c>
      <c r="L107" s="512" t="s">
        <v>152</v>
      </c>
      <c r="M107" s="512" t="s">
        <v>64</v>
      </c>
      <c r="N107" s="512" t="s">
        <v>65</v>
      </c>
      <c r="O107" s="512" t="s">
        <v>65</v>
      </c>
      <c r="P107" s="513">
        <v>13</v>
      </c>
      <c r="Q107" s="514">
        <f t="shared" si="105"/>
        <v>139111.34292773801</v>
      </c>
      <c r="R107" s="515">
        <v>3.0000000000000001E-3</v>
      </c>
      <c r="S107" s="516">
        <v>0.85</v>
      </c>
      <c r="T107" s="514">
        <f t="shared" si="106"/>
        <v>118244.6414885773</v>
      </c>
      <c r="U107" s="514">
        <f>Q107*R107</f>
        <v>417.33402878321402</v>
      </c>
      <c r="V107" s="517">
        <f t="shared" si="107"/>
        <v>69555.671463869003</v>
      </c>
      <c r="W107" s="518">
        <v>2</v>
      </c>
      <c r="X107" s="519">
        <v>105</v>
      </c>
      <c r="Y107" s="520">
        <v>14606.69100741249</v>
      </c>
      <c r="Z107" s="520">
        <f t="shared" si="113"/>
        <v>105</v>
      </c>
      <c r="AA107" s="520">
        <f>IFERROR(Y107/U107, 0)</f>
        <v>35</v>
      </c>
      <c r="AB107" s="521">
        <f t="shared" si="114"/>
        <v>4.6754351833029478E-2</v>
      </c>
      <c r="AC107" s="514">
        <f>'Audience Sizing'!$G$17</f>
        <v>1487683.3650109891</v>
      </c>
      <c r="AD107" s="526">
        <v>45460</v>
      </c>
      <c r="AE107" s="527">
        <v>45473</v>
      </c>
      <c r="AF107" s="376"/>
      <c r="AG107" s="312"/>
      <c r="AN107" s="366">
        <v>1.43</v>
      </c>
      <c r="AO107" s="366">
        <f t="shared" si="108"/>
        <v>198.92922038666535</v>
      </c>
      <c r="AP107" s="366">
        <f t="shared" si="109"/>
        <v>9.9464610193332685</v>
      </c>
      <c r="AQ107" s="366">
        <f t="shared" si="110"/>
        <v>208.87568140599862</v>
      </c>
    </row>
    <row r="108" spans="2:43" s="366" customFormat="1" x14ac:dyDescent="0.3">
      <c r="B108" s="437" t="s">
        <v>2351</v>
      </c>
      <c r="C108" s="410"/>
      <c r="D108" s="410"/>
      <c r="E108" s="410"/>
      <c r="F108" s="410"/>
      <c r="G108" s="410"/>
      <c r="H108" s="410"/>
      <c r="I108" s="410"/>
      <c r="J108" s="410"/>
      <c r="K108" s="410"/>
      <c r="L108" s="410"/>
      <c r="M108" s="410"/>
      <c r="N108" s="410"/>
      <c r="O108" s="410"/>
      <c r="P108" s="411"/>
      <c r="Q108" s="412">
        <f>SUM(Q100:Q107)</f>
        <v>3997769.1586284684</v>
      </c>
      <c r="R108" s="413">
        <f>U108/Q108</f>
        <v>3.6681830905256731E-3</v>
      </c>
      <c r="S108" s="414">
        <f>T108/Q108</f>
        <v>0.82680409184755654</v>
      </c>
      <c r="T108" s="412">
        <f>SUM(T100:T107)</f>
        <v>3305371.898615981</v>
      </c>
      <c r="U108" s="412">
        <f>SUM(U100:U107)</f>
        <v>14664.549227505995</v>
      </c>
      <c r="V108" s="415">
        <f>V101+V100*20%+SUM(V102:V107)*50%</f>
        <v>829097.03840922797</v>
      </c>
      <c r="W108" s="427">
        <f>Q108/V108</f>
        <v>4.8218350487645072</v>
      </c>
      <c r="X108" s="416"/>
      <c r="Y108" s="417">
        <f>SUM(Y100:Y107)</f>
        <v>573381.04127412499</v>
      </c>
      <c r="Z108" s="417">
        <f t="shared" si="113"/>
        <v>143.42525006392245</v>
      </c>
      <c r="AA108" s="417">
        <f>Y108/U108</f>
        <v>39.099806777466156</v>
      </c>
      <c r="AB108" s="418">
        <f t="shared" si="114"/>
        <v>0.64968983195618446</v>
      </c>
      <c r="AC108" s="412">
        <f>'Audience Sizing'!C17</f>
        <v>1276142.857142857</v>
      </c>
      <c r="AD108" s="387"/>
      <c r="AE108" s="387"/>
      <c r="AF108" s="376"/>
      <c r="AG108" s="312"/>
    </row>
    <row r="109" spans="2:43" x14ac:dyDescent="0.3">
      <c r="B109" s="436" t="s">
        <v>26</v>
      </c>
      <c r="C109" s="352"/>
      <c r="D109" s="352"/>
      <c r="E109" s="352"/>
      <c r="F109" s="352"/>
      <c r="G109" s="352"/>
      <c r="H109" s="352"/>
      <c r="I109" s="352"/>
      <c r="J109" s="352"/>
      <c r="K109" s="352"/>
      <c r="L109" s="352"/>
      <c r="M109" s="352"/>
      <c r="N109" s="352"/>
      <c r="O109" s="352"/>
      <c r="P109" s="352"/>
      <c r="Q109" s="353">
        <f>SUM(Q22+Q12+Q32+Q42+Q52+Q62+Q72+Q81+Q90+Q99+Q108)</f>
        <v>151283320.8973909</v>
      </c>
      <c r="R109" s="354">
        <f>U109/Q109</f>
        <v>5.549672657678268E-3</v>
      </c>
      <c r="S109" s="355">
        <f>T109/Q109</f>
        <v>0.84853916835343135</v>
      </c>
      <c r="T109" s="353">
        <f>SUM(T22+T12+T32+T42+T52+T62+T72+T81+T90+T99+T108)</f>
        <v>128369823.30001736</v>
      </c>
      <c r="U109" s="353">
        <f>SUM(U22+U12+U32+U42+U52+U62+U72+U81+U90+U99+U108)</f>
        <v>839572.90954701765</v>
      </c>
      <c r="V109" s="356">
        <f>SUM(V22+V12+V32+V42+V52+V62+V72+V81+V90+V99+V108)</f>
        <v>32401130.254827466</v>
      </c>
      <c r="W109" s="434">
        <f>Q109/V109</f>
        <v>4.6690754213690155</v>
      </c>
      <c r="X109" s="357"/>
      <c r="Y109" s="358">
        <f>SUM(Y22+Y12+Y32+Y42+Y52+Y62+Y72+Y81+Y90+Y99+Y108)</f>
        <v>21127520.671747357</v>
      </c>
      <c r="Z109" s="359">
        <f t="shared" si="113"/>
        <v>139.65532053647382</v>
      </c>
      <c r="AA109" s="359">
        <f>IFERROR(Y109/U109, 0)</f>
        <v>25.164605040849256</v>
      </c>
      <c r="AB109" s="360">
        <f t="shared" si="114"/>
        <v>0.44385109938119816</v>
      </c>
      <c r="AC109" s="361">
        <f>'Audience Sizing'!C12</f>
        <v>73000000</v>
      </c>
      <c r="AD109" s="352"/>
      <c r="AE109" s="432"/>
      <c r="AI109" s="349"/>
      <c r="AJ109" s="349"/>
      <c r="AK109" s="349"/>
      <c r="AL109" s="522">
        <f>SUM(AL3:AL108)</f>
        <v>193098.64131666342</v>
      </c>
      <c r="AM109" s="523"/>
      <c r="AN109" s="523"/>
      <c r="AO109" s="523"/>
      <c r="AP109" s="523"/>
      <c r="AQ109" s="522">
        <f>SUM(AQ3:AQ107)</f>
        <v>227151.90632743246</v>
      </c>
    </row>
    <row r="110" spans="2:43" x14ac:dyDescent="0.3">
      <c r="Y110" s="524"/>
      <c r="AE110" s="433"/>
      <c r="AO110" s="262"/>
      <c r="AP110" s="262"/>
      <c r="AQ110" s="262"/>
    </row>
    <row r="111" spans="2:43" x14ac:dyDescent="0.3">
      <c r="Y111" s="262"/>
    </row>
    <row r="112" spans="2:43" x14ac:dyDescent="0.3">
      <c r="Y112" s="263"/>
      <c r="Z112" s="262"/>
    </row>
    <row r="113" spans="25:47" x14ac:dyDescent="0.3">
      <c r="Y113" s="347"/>
      <c r="Z113" s="262"/>
    </row>
    <row r="114" spans="25:47" x14ac:dyDescent="0.3">
      <c r="Z114" s="262"/>
    </row>
    <row r="115" spans="25:47" x14ac:dyDescent="0.3">
      <c r="Z115" s="262"/>
    </row>
    <row r="116" spans="25:47" x14ac:dyDescent="0.3">
      <c r="Z116" s="262"/>
    </row>
    <row r="117" spans="25:47" x14ac:dyDescent="0.3">
      <c r="Z117" s="262"/>
      <c r="AS117" s="89"/>
      <c r="AT117" s="89"/>
      <c r="AU117" s="89"/>
    </row>
    <row r="118" spans="25:47" x14ac:dyDescent="0.3">
      <c r="Z118" s="262"/>
      <c r="AS118" s="89"/>
      <c r="AT118" s="89"/>
      <c r="AU118" s="89"/>
    </row>
    <row r="119" spans="25:47" x14ac:dyDescent="0.3">
      <c r="Z119" s="262"/>
      <c r="AS119" s="89"/>
      <c r="AT119" s="89"/>
      <c r="AU119" s="89"/>
    </row>
    <row r="120" spans="25:47" x14ac:dyDescent="0.3">
      <c r="Z120" s="262"/>
      <c r="AS120" s="89"/>
      <c r="AT120" s="89"/>
      <c r="AU120" s="89"/>
    </row>
    <row r="121" spans="25:47" x14ac:dyDescent="0.3">
      <c r="Z121" s="262"/>
      <c r="AS121" s="89"/>
      <c r="AT121" s="89"/>
      <c r="AU121" s="89"/>
    </row>
    <row r="122" spans="25:47" x14ac:dyDescent="0.3">
      <c r="AS122" s="89"/>
      <c r="AT122" s="89"/>
    </row>
    <row r="123" spans="25:47" x14ac:dyDescent="0.3">
      <c r="AS123" s="89"/>
      <c r="AT123" s="89"/>
    </row>
    <row r="124" spans="25:47" x14ac:dyDescent="0.3">
      <c r="AS124" s="89"/>
      <c r="AT124" s="89"/>
    </row>
    <row r="125" spans="25:47" x14ac:dyDescent="0.3">
      <c r="AS125" s="89"/>
      <c r="AT125" s="89"/>
    </row>
    <row r="126" spans="25:47" x14ac:dyDescent="0.3">
      <c r="AS126" s="89"/>
      <c r="AT126" s="89"/>
    </row>
    <row r="127" spans="25:47" x14ac:dyDescent="0.3">
      <c r="AS127" s="89"/>
      <c r="AT127" s="89"/>
    </row>
  </sheetData>
  <autoFilter ref="B2:AF109" xr:uid="{DD464366-09DE-4EA6-9659-017F70D253EA}"/>
  <pageMargins left="0.7" right="0.7" top="0.75" bottom="0.75" header="0.3" footer="0.3"/>
  <ignoredErrors>
    <ignoredError sqref="Q12 T12:V12 AA22 AA12 T22:V22 Q22 Q32 T32:V32 AA32 AA42 AC44 Q42 T42:U42 AA52 AA62 AA72 T62:U62 Q62 T52:U52 Q52 Q72 Q81 T81:U81 Q90 T90 U90 T72:U72 AA99 T99:V99 Q99"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383F-8994-4392-94C6-648B9B337AA2}">
  <sheetPr codeName="Sheet7"/>
  <dimension ref="B1:I6"/>
  <sheetViews>
    <sheetView workbookViewId="0">
      <selection activeCell="E2" sqref="E2:E6"/>
    </sheetView>
  </sheetViews>
  <sheetFormatPr defaultRowHeight="14.4" x14ac:dyDescent="0.3"/>
  <cols>
    <col min="1" max="1" width="3" customWidth="1"/>
    <col min="2" max="2" width="12.6640625" bestFit="1" customWidth="1"/>
    <col min="3" max="3" width="13.109375" bestFit="1" customWidth="1"/>
    <col min="4" max="4" width="11.33203125" bestFit="1" customWidth="1"/>
    <col min="5" max="5" width="80.88671875" customWidth="1"/>
    <col min="6" max="6" width="10.33203125" bestFit="1" customWidth="1"/>
    <col min="7" max="7" width="15.6640625" customWidth="1"/>
    <col min="9" max="9" width="15.33203125" customWidth="1"/>
  </cols>
  <sheetData>
    <row r="1" spans="2:9" x14ac:dyDescent="0.3">
      <c r="B1" s="40"/>
    </row>
    <row r="2" spans="2:9" x14ac:dyDescent="0.3">
      <c r="B2" s="61" t="s">
        <v>187</v>
      </c>
      <c r="C2" s="61" t="s">
        <v>188</v>
      </c>
      <c r="D2" s="61" t="s">
        <v>189</v>
      </c>
      <c r="E2" s="61" t="s">
        <v>190</v>
      </c>
      <c r="F2" s="61" t="s">
        <v>191</v>
      </c>
      <c r="G2" s="110" t="s">
        <v>192</v>
      </c>
      <c r="H2" s="110" t="s">
        <v>193</v>
      </c>
      <c r="I2" s="110" t="s">
        <v>147</v>
      </c>
    </row>
    <row r="3" spans="2:9" ht="115.2" x14ac:dyDescent="0.3">
      <c r="B3" s="41" t="s">
        <v>194</v>
      </c>
      <c r="C3" s="41" t="s">
        <v>195</v>
      </c>
      <c r="D3" s="41" t="s">
        <v>196</v>
      </c>
      <c r="E3" s="41" t="s">
        <v>197</v>
      </c>
      <c r="F3" s="41" t="s">
        <v>198</v>
      </c>
      <c r="G3" s="41" t="s">
        <v>199</v>
      </c>
      <c r="H3" s="41" t="s">
        <v>200</v>
      </c>
      <c r="I3" s="109" t="s">
        <v>201</v>
      </c>
    </row>
    <row r="4" spans="2:9" ht="86.4" x14ac:dyDescent="0.3">
      <c r="B4" s="541" t="s">
        <v>194</v>
      </c>
      <c r="C4" s="539" t="s">
        <v>202</v>
      </c>
      <c r="D4" s="541" t="s">
        <v>196</v>
      </c>
      <c r="E4" s="41" t="s">
        <v>203</v>
      </c>
      <c r="F4" s="41" t="s">
        <v>204</v>
      </c>
      <c r="G4" s="41" t="s">
        <v>205</v>
      </c>
      <c r="H4" s="41"/>
      <c r="I4" s="109"/>
    </row>
    <row r="5" spans="2:9" ht="57.6" x14ac:dyDescent="0.3">
      <c r="B5" s="542"/>
      <c r="C5" s="540"/>
      <c r="D5" s="542"/>
      <c r="E5" s="41" t="s">
        <v>206</v>
      </c>
      <c r="F5" s="41" t="s">
        <v>204</v>
      </c>
      <c r="G5" s="41"/>
      <c r="H5" s="41"/>
      <c r="I5" s="109"/>
    </row>
    <row r="6" spans="2:9" ht="115.2" x14ac:dyDescent="0.3">
      <c r="B6" s="41" t="s">
        <v>194</v>
      </c>
      <c r="C6" s="34" t="s">
        <v>207</v>
      </c>
      <c r="D6" s="41" t="s">
        <v>208</v>
      </c>
      <c r="E6" s="41" t="s">
        <v>209</v>
      </c>
      <c r="F6" s="41" t="s">
        <v>207</v>
      </c>
      <c r="G6" s="41" t="s">
        <v>210</v>
      </c>
      <c r="H6" s="41" t="s">
        <v>211</v>
      </c>
      <c r="I6" s="109" t="s">
        <v>212</v>
      </c>
    </row>
  </sheetData>
  <mergeCells count="3">
    <mergeCell ref="C4:C5"/>
    <mergeCell ref="D4:D5"/>
    <mergeCell ref="B4:B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F1675-B6E0-45CE-89B1-C543E5613217}">
  <sheetPr>
    <tabColor theme="0"/>
  </sheetPr>
  <dimension ref="B1:Q32"/>
  <sheetViews>
    <sheetView showGridLines="0" zoomScale="80" zoomScaleNormal="80" workbookViewId="0">
      <selection activeCell="U6" sqref="U6"/>
    </sheetView>
  </sheetViews>
  <sheetFormatPr defaultColWidth="24.33203125" defaultRowHeight="37.200000000000003" customHeight="1" x14ac:dyDescent="0.3"/>
  <cols>
    <col min="1" max="1" width="5.5546875" style="114" customWidth="1"/>
    <col min="2" max="2" width="11.21875" style="114" customWidth="1"/>
    <col min="3" max="3" width="35.44140625" style="114" customWidth="1"/>
    <col min="4" max="4" width="11.33203125" style="114" bestFit="1" customWidth="1"/>
    <col min="5" max="5" width="12.21875" style="114" bestFit="1" customWidth="1"/>
    <col min="6" max="6" width="9" style="114" bestFit="1" customWidth="1"/>
    <col min="7" max="7" width="70.21875" style="114" bestFit="1" customWidth="1"/>
    <col min="8" max="8" width="43.33203125" style="114" bestFit="1" customWidth="1"/>
    <col min="9" max="9" width="21.21875" style="114" bestFit="1" customWidth="1"/>
    <col min="10" max="10" width="14.44140625" style="114" bestFit="1" customWidth="1"/>
    <col min="11" max="11" width="11.6640625" style="114" bestFit="1" customWidth="1"/>
    <col min="12" max="12" width="10.5546875" style="114" bestFit="1" customWidth="1"/>
    <col min="13" max="13" width="24.33203125" style="114"/>
    <col min="14" max="17" width="24.33203125" style="114" hidden="1" customWidth="1"/>
    <col min="18" max="16384" width="24.33203125" style="114"/>
  </cols>
  <sheetData>
    <row r="1" spans="2:17" ht="37.200000000000003" customHeight="1" x14ac:dyDescent="0.3">
      <c r="N1" s="114" t="s">
        <v>2282</v>
      </c>
    </row>
    <row r="2" spans="2:17" ht="37.200000000000003" customHeight="1" x14ac:dyDescent="0.3">
      <c r="B2" s="122" t="s">
        <v>115</v>
      </c>
      <c r="C2" s="122" t="s">
        <v>0</v>
      </c>
      <c r="D2" s="122" t="s">
        <v>141</v>
      </c>
      <c r="E2" s="122" t="s">
        <v>142</v>
      </c>
      <c r="F2" s="122" t="s">
        <v>143</v>
      </c>
      <c r="G2" s="122" t="s">
        <v>144</v>
      </c>
      <c r="H2" s="122" t="s">
        <v>37</v>
      </c>
      <c r="I2" s="122" t="s">
        <v>145</v>
      </c>
      <c r="J2" s="122" t="s">
        <v>146</v>
      </c>
      <c r="K2" s="122" t="s">
        <v>2302</v>
      </c>
      <c r="L2" s="122" t="s">
        <v>147</v>
      </c>
      <c r="N2" s="195" t="s">
        <v>2283</v>
      </c>
      <c r="O2" s="195" t="s">
        <v>2284</v>
      </c>
      <c r="P2" s="195" t="s">
        <v>2285</v>
      </c>
      <c r="Q2" s="195" t="s">
        <v>2286</v>
      </c>
    </row>
    <row r="3" spans="2:17" ht="72" x14ac:dyDescent="0.3">
      <c r="B3" s="115" t="s">
        <v>150</v>
      </c>
      <c r="C3" s="115" t="s">
        <v>151</v>
      </c>
      <c r="D3" s="115" t="s">
        <v>306</v>
      </c>
      <c r="E3" s="115" t="s">
        <v>152</v>
      </c>
      <c r="F3" s="115">
        <v>120</v>
      </c>
      <c r="G3" s="115" t="s">
        <v>2287</v>
      </c>
      <c r="H3" s="196" t="s">
        <v>153</v>
      </c>
      <c r="I3" s="117">
        <v>12500000</v>
      </c>
      <c r="J3" s="117">
        <v>37500000</v>
      </c>
      <c r="K3" s="117" t="s">
        <v>2303</v>
      </c>
      <c r="L3" s="543">
        <v>8500000</v>
      </c>
      <c r="N3">
        <v>1.43</v>
      </c>
      <c r="O3" s="36">
        <f>J3*N3/1000</f>
        <v>53625</v>
      </c>
      <c r="P3" s="36">
        <f>O3*5%</f>
        <v>2681.25</v>
      </c>
      <c r="Q3" s="26">
        <f>P3+O3</f>
        <v>56306.25</v>
      </c>
    </row>
    <row r="4" spans="2:17" ht="51.6" customHeight="1" x14ac:dyDescent="0.3">
      <c r="B4" s="115" t="s">
        <v>148</v>
      </c>
      <c r="C4" s="115" t="s">
        <v>154</v>
      </c>
      <c r="D4" s="115" t="s">
        <v>306</v>
      </c>
      <c r="E4" s="116" t="s">
        <v>149</v>
      </c>
      <c r="F4" s="116" t="s">
        <v>123</v>
      </c>
      <c r="G4" s="115" t="s">
        <v>2288</v>
      </c>
      <c r="H4" s="194" t="s">
        <v>2289</v>
      </c>
      <c r="I4" s="193" t="s">
        <v>155</v>
      </c>
      <c r="J4" s="117" t="s">
        <v>123</v>
      </c>
      <c r="K4" s="117"/>
      <c r="L4" s="543"/>
    </row>
    <row r="5" spans="2:17" ht="37.200000000000003" customHeight="1" x14ac:dyDescent="0.3">
      <c r="B5" s="115" t="s">
        <v>148</v>
      </c>
      <c r="C5" s="115" t="s">
        <v>156</v>
      </c>
      <c r="D5" s="115" t="s">
        <v>306</v>
      </c>
      <c r="E5" s="115" t="s">
        <v>152</v>
      </c>
      <c r="F5" s="115" t="s">
        <v>123</v>
      </c>
      <c r="G5" s="115" t="s">
        <v>157</v>
      </c>
      <c r="H5" s="123"/>
      <c r="I5" s="117">
        <f>J5/3</f>
        <v>1388889</v>
      </c>
      <c r="J5" s="117">
        <v>4166667</v>
      </c>
      <c r="K5" s="117"/>
      <c r="L5" s="543"/>
    </row>
    <row r="6" spans="2:17" ht="37.200000000000003" customHeight="1" x14ac:dyDescent="0.3">
      <c r="B6" s="115" t="s">
        <v>148</v>
      </c>
      <c r="C6" s="115" t="s">
        <v>158</v>
      </c>
      <c r="D6" s="115" t="s">
        <v>306</v>
      </c>
      <c r="E6" s="115" t="s">
        <v>152</v>
      </c>
      <c r="F6" s="115" t="s">
        <v>123</v>
      </c>
      <c r="G6" s="115" t="s">
        <v>159</v>
      </c>
      <c r="H6" s="545" t="s">
        <v>160</v>
      </c>
      <c r="I6" s="117">
        <v>500000</v>
      </c>
      <c r="J6" s="548" t="s">
        <v>123</v>
      </c>
      <c r="K6" s="117"/>
      <c r="L6" s="543"/>
    </row>
    <row r="7" spans="2:17" ht="37.200000000000003" customHeight="1" x14ac:dyDescent="0.3">
      <c r="B7" s="115" t="s">
        <v>148</v>
      </c>
      <c r="C7" s="115" t="s">
        <v>161</v>
      </c>
      <c r="D7" s="115" t="s">
        <v>306</v>
      </c>
      <c r="E7" s="115" t="s">
        <v>152</v>
      </c>
      <c r="F7" s="115" t="s">
        <v>123</v>
      </c>
      <c r="G7" s="115" t="s">
        <v>162</v>
      </c>
      <c r="H7" s="546"/>
      <c r="I7" s="117">
        <v>200000</v>
      </c>
      <c r="J7" s="549"/>
      <c r="K7" s="117"/>
      <c r="L7" s="543"/>
    </row>
    <row r="8" spans="2:17" ht="37.200000000000003" customHeight="1" x14ac:dyDescent="0.3">
      <c r="B8" s="115" t="s">
        <v>148</v>
      </c>
      <c r="C8" s="115" t="s">
        <v>163</v>
      </c>
      <c r="D8" s="115" t="s">
        <v>306</v>
      </c>
      <c r="E8" s="115" t="s">
        <v>152</v>
      </c>
      <c r="F8" s="115" t="s">
        <v>123</v>
      </c>
      <c r="G8" s="115" t="s">
        <v>164</v>
      </c>
      <c r="H8" s="547"/>
      <c r="I8" s="117">
        <v>200000</v>
      </c>
      <c r="J8" s="550"/>
      <c r="K8" s="117"/>
      <c r="L8" s="544"/>
    </row>
    <row r="9" spans="2:17" ht="37.200000000000003" customHeight="1" x14ac:dyDescent="0.3">
      <c r="B9" s="124" t="s">
        <v>23</v>
      </c>
      <c r="C9" s="124"/>
      <c r="D9" s="124"/>
      <c r="E9" s="124"/>
      <c r="F9" s="124"/>
      <c r="G9" s="124"/>
      <c r="H9" s="124"/>
      <c r="I9" s="125">
        <f>I3</f>
        <v>12500000</v>
      </c>
      <c r="J9" s="125">
        <f>J5+J3</f>
        <v>41666667</v>
      </c>
      <c r="K9" s="125"/>
      <c r="L9" s="278">
        <v>8500000</v>
      </c>
      <c r="N9" s="61"/>
      <c r="O9" s="61"/>
      <c r="P9" s="61"/>
      <c r="Q9" s="197">
        <f>SUM(Q3:Q8)</f>
        <v>56306.25</v>
      </c>
    </row>
    <row r="10" spans="2:17" ht="19.8" customHeight="1" x14ac:dyDescent="0.3">
      <c r="B10" s="165"/>
      <c r="C10" s="128" t="s">
        <v>311</v>
      </c>
      <c r="G10" s="126"/>
    </row>
    <row r="11" spans="2:17" ht="19.8" customHeight="1" x14ac:dyDescent="0.3">
      <c r="B11" s="198" t="s">
        <v>2290</v>
      </c>
      <c r="C11" s="199"/>
      <c r="G11" s="126"/>
    </row>
    <row r="12" spans="2:17" ht="19.8" customHeight="1" x14ac:dyDescent="0.3">
      <c r="B12" s="198" t="s">
        <v>2291</v>
      </c>
      <c r="C12" s="199"/>
      <c r="G12" s="126"/>
    </row>
    <row r="13" spans="2:17" ht="19.8" customHeight="1" x14ac:dyDescent="0.3">
      <c r="B13" s="200"/>
      <c r="C13" s="201"/>
      <c r="G13" s="126"/>
    </row>
    <row r="14" spans="2:17" ht="19.8" customHeight="1" x14ac:dyDescent="0.3">
      <c r="B14" s="200"/>
      <c r="C14" s="201"/>
      <c r="G14" s="126"/>
    </row>
    <row r="15" spans="2:17" ht="19.8" customHeight="1" x14ac:dyDescent="0.3">
      <c r="B15" s="200"/>
      <c r="C15" s="201"/>
      <c r="G15" s="126"/>
    </row>
    <row r="16" spans="2:17" ht="19.8" customHeight="1" x14ac:dyDescent="0.3">
      <c r="B16" s="200"/>
      <c r="C16" s="201"/>
      <c r="G16" s="126"/>
    </row>
    <row r="17" spans="2:7" ht="37.200000000000003" customHeight="1" x14ac:dyDescent="0.3">
      <c r="B17" s="198"/>
      <c r="C17" s="199"/>
      <c r="G17" s="126"/>
    </row>
    <row r="18" spans="2:7" ht="37.200000000000003" customHeight="1" x14ac:dyDescent="0.3">
      <c r="B18" s="198"/>
      <c r="C18" s="199"/>
      <c r="G18" s="126"/>
    </row>
    <row r="19" spans="2:7" ht="37.200000000000003" customHeight="1" x14ac:dyDescent="0.3">
      <c r="B19" s="198"/>
      <c r="C19" s="199"/>
      <c r="G19" s="126"/>
    </row>
    <row r="20" spans="2:7" ht="37.200000000000003" customHeight="1" x14ac:dyDescent="0.3">
      <c r="B20" s="198"/>
      <c r="C20" s="199"/>
      <c r="G20" s="126"/>
    </row>
    <row r="21" spans="2:7" ht="37.200000000000003" customHeight="1" x14ac:dyDescent="0.3">
      <c r="C21" t="s">
        <v>165</v>
      </c>
      <c r="D21"/>
      <c r="E21"/>
    </row>
    <row r="22" spans="2:7" ht="37.200000000000003" customHeight="1" x14ac:dyDescent="0.3">
      <c r="C22" s="43" t="s">
        <v>166</v>
      </c>
      <c r="D22" s="43" t="s">
        <v>167</v>
      </c>
      <c r="E22" s="43" t="s">
        <v>168</v>
      </c>
    </row>
    <row r="23" spans="2:7" ht="37.200000000000003" customHeight="1" x14ac:dyDescent="0.3">
      <c r="C23" s="34">
        <v>1</v>
      </c>
      <c r="D23" s="34" t="s">
        <v>169</v>
      </c>
      <c r="E23" s="34" t="s">
        <v>170</v>
      </c>
    </row>
    <row r="24" spans="2:7" ht="37.200000000000003" customHeight="1" x14ac:dyDescent="0.3">
      <c r="C24" s="34">
        <v>2</v>
      </c>
      <c r="D24" s="34" t="s">
        <v>87</v>
      </c>
      <c r="E24" s="34" t="s">
        <v>171</v>
      </c>
    </row>
    <row r="25" spans="2:7" ht="37.200000000000003" customHeight="1" x14ac:dyDescent="0.3">
      <c r="C25" s="34">
        <v>3</v>
      </c>
      <c r="D25" s="34" t="s">
        <v>172</v>
      </c>
      <c r="E25" s="34" t="s">
        <v>173</v>
      </c>
    </row>
    <row r="26" spans="2:7" ht="37.200000000000003" customHeight="1" x14ac:dyDescent="0.3">
      <c r="C26" s="34">
        <v>4</v>
      </c>
      <c r="D26" s="34" t="s">
        <v>91</v>
      </c>
      <c r="E26" s="34" t="s">
        <v>174</v>
      </c>
    </row>
    <row r="27" spans="2:7" ht="37.200000000000003" customHeight="1" x14ac:dyDescent="0.3">
      <c r="C27" s="34">
        <v>5</v>
      </c>
      <c r="D27" s="34" t="s">
        <v>175</v>
      </c>
      <c r="E27" s="34" t="s">
        <v>176</v>
      </c>
    </row>
    <row r="28" spans="2:7" ht="37.200000000000003" customHeight="1" x14ac:dyDescent="0.3">
      <c r="C28" s="34">
        <v>6</v>
      </c>
      <c r="D28" s="34" t="s">
        <v>177</v>
      </c>
      <c r="E28" s="34" t="s">
        <v>178</v>
      </c>
    </row>
    <row r="29" spans="2:7" ht="37.200000000000003" customHeight="1" x14ac:dyDescent="0.3">
      <c r="C29" s="34">
        <v>7</v>
      </c>
      <c r="D29" s="34" t="s">
        <v>179</v>
      </c>
      <c r="E29" s="34" t="s">
        <v>180</v>
      </c>
    </row>
    <row r="30" spans="2:7" ht="37.200000000000003" customHeight="1" x14ac:dyDescent="0.3">
      <c r="C30" s="34">
        <v>8</v>
      </c>
      <c r="D30" s="34" t="s">
        <v>181</v>
      </c>
      <c r="E30" s="34" t="s">
        <v>182</v>
      </c>
    </row>
    <row r="31" spans="2:7" ht="37.200000000000003" customHeight="1" x14ac:dyDescent="0.3">
      <c r="C31" s="34">
        <v>9</v>
      </c>
      <c r="D31" s="34" t="s">
        <v>183</v>
      </c>
      <c r="E31" s="34" t="s">
        <v>184</v>
      </c>
    </row>
    <row r="32" spans="2:7" ht="37.200000000000003" customHeight="1" x14ac:dyDescent="0.3">
      <c r="C32" s="34">
        <v>10</v>
      </c>
      <c r="D32" s="34" t="s">
        <v>185</v>
      </c>
      <c r="E32" s="34" t="s">
        <v>186</v>
      </c>
    </row>
  </sheetData>
  <mergeCells count="3">
    <mergeCell ref="L3:L8"/>
    <mergeCell ref="H6:H8"/>
    <mergeCell ref="J6: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7D0C-BDFD-4211-AD83-E9B1B555365B}">
  <sheetPr codeName="Sheet8"/>
  <dimension ref="B2:P1460"/>
  <sheetViews>
    <sheetView showGridLines="0" topLeftCell="B1" zoomScale="96" zoomScaleNormal="96" workbookViewId="0">
      <selection activeCell="C3" sqref="C3"/>
    </sheetView>
  </sheetViews>
  <sheetFormatPr defaultColWidth="8.88671875" defaultRowHeight="12" x14ac:dyDescent="0.25"/>
  <cols>
    <col min="1" max="1" width="3.33203125" style="90" customWidth="1"/>
    <col min="2" max="2" width="11.109375" style="90" bestFit="1" customWidth="1"/>
    <col min="3" max="3" width="117.21875" style="90" customWidth="1"/>
    <col min="4" max="4" width="6.77734375" style="90" customWidth="1"/>
    <col min="5" max="5" width="25" style="90" customWidth="1"/>
    <col min="6" max="6" width="27.21875" style="90" bestFit="1" customWidth="1"/>
    <col min="7" max="7" width="1.5546875" style="90" customWidth="1"/>
    <col min="8" max="8" width="22.77734375" style="90" bestFit="1" customWidth="1"/>
    <col min="9" max="9" width="25.88671875" style="90" bestFit="1" customWidth="1"/>
    <col min="10" max="10" width="8.88671875" style="90"/>
    <col min="11" max="11" width="28.77734375" style="90" bestFit="1" customWidth="1"/>
    <col min="12" max="13" width="8.88671875" style="90"/>
    <col min="14" max="14" width="42" style="90" bestFit="1" customWidth="1"/>
    <col min="15" max="15" width="16.5546875" style="90" bestFit="1" customWidth="1"/>
    <col min="16" max="16" width="9.6640625" style="90" bestFit="1" customWidth="1"/>
    <col min="17" max="16384" width="8.88671875" style="90"/>
  </cols>
  <sheetData>
    <row r="2" spans="2:16" x14ac:dyDescent="0.25">
      <c r="B2" s="91" t="s">
        <v>115</v>
      </c>
      <c r="C2" s="92" t="s">
        <v>213</v>
      </c>
      <c r="N2" s="90" t="s">
        <v>2311</v>
      </c>
    </row>
    <row r="3" spans="2:16" ht="84" x14ac:dyDescent="0.25">
      <c r="B3" s="93" t="s">
        <v>214</v>
      </c>
      <c r="C3" s="94" t="s">
        <v>344</v>
      </c>
      <c r="D3" s="95"/>
      <c r="N3" s="553" t="s">
        <v>2315</v>
      </c>
      <c r="O3" s="279" t="s">
        <v>2311</v>
      </c>
      <c r="P3" s="95"/>
    </row>
    <row r="4" spans="2:16" ht="84" x14ac:dyDescent="0.25">
      <c r="B4" s="93" t="s">
        <v>214</v>
      </c>
      <c r="C4" s="94" t="s">
        <v>345</v>
      </c>
      <c r="D4" s="95"/>
      <c r="N4" s="554"/>
      <c r="O4" s="299" t="s">
        <v>2316</v>
      </c>
      <c r="P4" s="95"/>
    </row>
    <row r="5" spans="2:16" ht="36" x14ac:dyDescent="0.25">
      <c r="B5" s="93" t="s">
        <v>215</v>
      </c>
      <c r="C5" s="94" t="s">
        <v>346</v>
      </c>
      <c r="N5" s="280"/>
      <c r="O5" s="280"/>
      <c r="P5" s="280"/>
    </row>
    <row r="6" spans="2:16" ht="48.6" thickBot="1" x14ac:dyDescent="0.3">
      <c r="B6" s="93" t="s">
        <v>215</v>
      </c>
      <c r="C6" s="94" t="s">
        <v>347</v>
      </c>
      <c r="N6" s="555" t="s">
        <v>2317</v>
      </c>
      <c r="O6" s="555"/>
      <c r="P6" s="280"/>
    </row>
    <row r="7" spans="2:16" ht="12.6" thickBot="1" x14ac:dyDescent="0.3">
      <c r="F7" s="552" t="s">
        <v>2273</v>
      </c>
      <c r="G7" s="552"/>
      <c r="H7" s="552"/>
      <c r="N7" s="556" t="s">
        <v>2318</v>
      </c>
      <c r="O7" s="557"/>
      <c r="P7" s="281"/>
    </row>
    <row r="8" spans="2:16" x14ac:dyDescent="0.25">
      <c r="E8" s="551" t="s">
        <v>502</v>
      </c>
      <c r="F8" s="551"/>
      <c r="H8" s="551" t="s">
        <v>822</v>
      </c>
      <c r="I8" s="551"/>
      <c r="N8" s="555" t="s">
        <v>2319</v>
      </c>
      <c r="O8" s="555"/>
      <c r="P8" s="281"/>
    </row>
    <row r="9" spans="2:16" ht="16.2" thickBot="1" x14ac:dyDescent="0.35">
      <c r="C9" s="190" t="s">
        <v>501</v>
      </c>
      <c r="E9" s="192" t="s">
        <v>503</v>
      </c>
      <c r="F9" s="192" t="s">
        <v>504</v>
      </c>
      <c r="H9" s="192" t="s">
        <v>503</v>
      </c>
      <c r="I9" s="192" t="s">
        <v>504</v>
      </c>
      <c r="K9" s="192" t="s">
        <v>823</v>
      </c>
      <c r="N9" s="282" t="s">
        <v>2320</v>
      </c>
      <c r="O9" s="282" t="s">
        <v>2321</v>
      </c>
      <c r="P9" s="282" t="s">
        <v>388</v>
      </c>
    </row>
    <row r="10" spans="2:16" ht="13.8" x14ac:dyDescent="0.25">
      <c r="C10" s="191" t="s">
        <v>409</v>
      </c>
      <c r="E10" s="191" t="s">
        <v>505</v>
      </c>
      <c r="F10" s="191" t="s">
        <v>506</v>
      </c>
      <c r="H10" s="191" t="s">
        <v>782</v>
      </c>
      <c r="I10" s="191" t="s">
        <v>783</v>
      </c>
      <c r="K10" s="191" t="s">
        <v>824</v>
      </c>
      <c r="N10" s="283" t="s">
        <v>2322</v>
      </c>
      <c r="O10" s="284" t="s">
        <v>2323</v>
      </c>
      <c r="P10" s="285" t="s">
        <v>2324</v>
      </c>
    </row>
    <row r="11" spans="2:16" ht="14.4" thickBot="1" x14ac:dyDescent="0.3">
      <c r="C11" s="191" t="s">
        <v>410</v>
      </c>
      <c r="E11" s="191" t="s">
        <v>507</v>
      </c>
      <c r="F11" s="191" t="s">
        <v>508</v>
      </c>
      <c r="H11" s="191" t="s">
        <v>784</v>
      </c>
      <c r="I11" s="191" t="s">
        <v>785</v>
      </c>
      <c r="K11" s="191" t="s">
        <v>825</v>
      </c>
      <c r="N11" s="286" t="s">
        <v>87</v>
      </c>
      <c r="O11" s="287" t="s">
        <v>2323</v>
      </c>
      <c r="P11" s="288" t="s">
        <v>2325</v>
      </c>
    </row>
    <row r="12" spans="2:16" ht="13.8" x14ac:dyDescent="0.25">
      <c r="C12" s="191" t="s">
        <v>411</v>
      </c>
      <c r="E12" s="191" t="s">
        <v>509</v>
      </c>
      <c r="F12" s="191" t="s">
        <v>510</v>
      </c>
      <c r="H12" s="191" t="s">
        <v>786</v>
      </c>
      <c r="I12" s="191" t="s">
        <v>787</v>
      </c>
      <c r="K12" s="191" t="s">
        <v>826</v>
      </c>
      <c r="N12" s="289" t="s">
        <v>2326</v>
      </c>
      <c r="O12" s="290" t="s">
        <v>2327</v>
      </c>
      <c r="P12" s="291" t="s">
        <v>2328</v>
      </c>
    </row>
    <row r="13" spans="2:16" ht="13.8" x14ac:dyDescent="0.25">
      <c r="C13" s="191" t="s">
        <v>412</v>
      </c>
      <c r="E13" s="191" t="s">
        <v>511</v>
      </c>
      <c r="F13" s="191" t="s">
        <v>512</v>
      </c>
      <c r="H13" s="191" t="s">
        <v>788</v>
      </c>
      <c r="I13" s="191" t="s">
        <v>789</v>
      </c>
      <c r="K13" s="191" t="s">
        <v>827</v>
      </c>
      <c r="N13" s="292" t="s">
        <v>175</v>
      </c>
      <c r="O13" s="293" t="s">
        <v>2327</v>
      </c>
      <c r="P13" s="294" t="s">
        <v>2329</v>
      </c>
    </row>
    <row r="14" spans="2:16" ht="13.8" x14ac:dyDescent="0.25">
      <c r="C14" s="191" t="s">
        <v>413</v>
      </c>
      <c r="E14" s="191" t="s">
        <v>513</v>
      </c>
      <c r="F14" s="191" t="s">
        <v>514</v>
      </c>
      <c r="H14" s="191" t="s">
        <v>790</v>
      </c>
      <c r="I14" s="191" t="s">
        <v>791</v>
      </c>
      <c r="K14" s="191" t="s">
        <v>828</v>
      </c>
      <c r="N14" s="292" t="s">
        <v>2330</v>
      </c>
      <c r="O14" s="293" t="s">
        <v>2327</v>
      </c>
      <c r="P14" s="294" t="s">
        <v>2328</v>
      </c>
    </row>
    <row r="15" spans="2:16" ht="13.8" x14ac:dyDescent="0.25">
      <c r="C15" s="191" t="s">
        <v>414</v>
      </c>
      <c r="E15" s="191" t="s">
        <v>515</v>
      </c>
      <c r="F15" s="191" t="s">
        <v>516</v>
      </c>
      <c r="H15" s="191" t="s">
        <v>792</v>
      </c>
      <c r="I15" s="191" t="s">
        <v>793</v>
      </c>
      <c r="K15" s="191" t="s">
        <v>829</v>
      </c>
      <c r="N15" s="292" t="s">
        <v>2309</v>
      </c>
      <c r="O15" s="293" t="s">
        <v>2327</v>
      </c>
      <c r="P15" s="294" t="s">
        <v>2331</v>
      </c>
    </row>
    <row r="16" spans="2:16" ht="13.8" x14ac:dyDescent="0.25">
      <c r="C16" s="191" t="s">
        <v>415</v>
      </c>
      <c r="E16" s="191" t="s">
        <v>517</v>
      </c>
      <c r="F16" s="191" t="s">
        <v>518</v>
      </c>
      <c r="H16" s="191" t="s">
        <v>794</v>
      </c>
      <c r="I16" s="191" t="s">
        <v>795</v>
      </c>
      <c r="K16" s="191" t="s">
        <v>830</v>
      </c>
      <c r="N16" s="292" t="s">
        <v>172</v>
      </c>
      <c r="O16" s="293" t="s">
        <v>2327</v>
      </c>
      <c r="P16" s="294" t="s">
        <v>2325</v>
      </c>
    </row>
    <row r="17" spans="3:16" ht="14.4" thickBot="1" x14ac:dyDescent="0.3">
      <c r="C17" s="191" t="s">
        <v>416</v>
      </c>
      <c r="E17" s="191" t="s">
        <v>519</v>
      </c>
      <c r="F17" s="191" t="s">
        <v>520</v>
      </c>
      <c r="H17" s="191" t="s">
        <v>796</v>
      </c>
      <c r="I17" s="191" t="s">
        <v>797</v>
      </c>
      <c r="K17" s="191" t="s">
        <v>831</v>
      </c>
      <c r="N17" s="295" t="s">
        <v>179</v>
      </c>
      <c r="O17" s="296" t="s">
        <v>2327</v>
      </c>
      <c r="P17" s="297" t="s">
        <v>2332</v>
      </c>
    </row>
    <row r="18" spans="3:16" x14ac:dyDescent="0.25">
      <c r="C18" s="191" t="s">
        <v>417</v>
      </c>
      <c r="E18" s="191" t="s">
        <v>521</v>
      </c>
      <c r="F18" s="191" t="s">
        <v>522</v>
      </c>
      <c r="H18" s="191" t="s">
        <v>798</v>
      </c>
      <c r="I18" s="191" t="s">
        <v>799</v>
      </c>
      <c r="K18" s="191" t="s">
        <v>832</v>
      </c>
    </row>
    <row r="19" spans="3:16" x14ac:dyDescent="0.25">
      <c r="C19" s="191" t="s">
        <v>418</v>
      </c>
      <c r="E19" s="191" t="s">
        <v>523</v>
      </c>
      <c r="F19" s="191" t="s">
        <v>524</v>
      </c>
      <c r="H19" s="191" t="s">
        <v>603</v>
      </c>
      <c r="I19" s="191" t="s">
        <v>604</v>
      </c>
      <c r="K19" s="191" t="s">
        <v>833</v>
      </c>
    </row>
    <row r="20" spans="3:16" x14ac:dyDescent="0.25">
      <c r="C20" s="191" t="s">
        <v>419</v>
      </c>
      <c r="E20" s="191" t="s">
        <v>525</v>
      </c>
      <c r="F20" s="191" t="s">
        <v>526</v>
      </c>
      <c r="H20" s="191" t="s">
        <v>800</v>
      </c>
      <c r="I20" s="191" t="s">
        <v>801</v>
      </c>
      <c r="K20" s="191" t="s">
        <v>834</v>
      </c>
    </row>
    <row r="21" spans="3:16" x14ac:dyDescent="0.25">
      <c r="C21" s="191" t="s">
        <v>420</v>
      </c>
      <c r="E21" s="191" t="s">
        <v>527</v>
      </c>
      <c r="F21" s="191" t="s">
        <v>528</v>
      </c>
      <c r="H21" s="191" t="s">
        <v>615</v>
      </c>
      <c r="I21" s="191" t="s">
        <v>616</v>
      </c>
      <c r="K21" s="191" t="s">
        <v>835</v>
      </c>
    </row>
    <row r="22" spans="3:16" x14ac:dyDescent="0.25">
      <c r="C22" s="191" t="s">
        <v>421</v>
      </c>
      <c r="E22" s="191" t="s">
        <v>529</v>
      </c>
      <c r="F22" s="191" t="s">
        <v>530</v>
      </c>
      <c r="H22" s="191" t="s">
        <v>802</v>
      </c>
      <c r="I22" s="191" t="s">
        <v>803</v>
      </c>
      <c r="K22" s="191" t="s">
        <v>836</v>
      </c>
    </row>
    <row r="23" spans="3:16" x14ac:dyDescent="0.25">
      <c r="C23" s="191" t="s">
        <v>422</v>
      </c>
      <c r="E23" s="191" t="s">
        <v>531</v>
      </c>
      <c r="F23" s="191" t="s">
        <v>532</v>
      </c>
      <c r="H23" s="191" t="s">
        <v>804</v>
      </c>
      <c r="I23" s="191" t="s">
        <v>805</v>
      </c>
      <c r="K23" s="191" t="s">
        <v>837</v>
      </c>
    </row>
    <row r="24" spans="3:16" x14ac:dyDescent="0.25">
      <c r="C24" s="191" t="s">
        <v>423</v>
      </c>
      <c r="E24" s="191" t="s">
        <v>533</v>
      </c>
      <c r="F24" s="191" t="s">
        <v>534</v>
      </c>
      <c r="H24" s="191" t="s">
        <v>806</v>
      </c>
      <c r="I24" s="191" t="s">
        <v>807</v>
      </c>
      <c r="K24" s="191" t="s">
        <v>838</v>
      </c>
    </row>
    <row r="25" spans="3:16" x14ac:dyDescent="0.25">
      <c r="C25" s="191" t="s">
        <v>424</v>
      </c>
      <c r="E25" s="191" t="s">
        <v>535</v>
      </c>
      <c r="F25" s="191" t="s">
        <v>536</v>
      </c>
      <c r="H25" s="191" t="s">
        <v>808</v>
      </c>
      <c r="I25" s="191" t="s">
        <v>809</v>
      </c>
      <c r="K25" s="191" t="s">
        <v>839</v>
      </c>
    </row>
    <row r="26" spans="3:16" x14ac:dyDescent="0.25">
      <c r="C26" s="191" t="s">
        <v>425</v>
      </c>
      <c r="E26" s="191" t="s">
        <v>537</v>
      </c>
      <c r="F26" s="191" t="s">
        <v>538</v>
      </c>
      <c r="H26" s="191" t="s">
        <v>810</v>
      </c>
      <c r="I26" s="191" t="s">
        <v>811</v>
      </c>
      <c r="K26" s="191" t="s">
        <v>840</v>
      </c>
    </row>
    <row r="27" spans="3:16" x14ac:dyDescent="0.25">
      <c r="C27" s="191" t="s">
        <v>426</v>
      </c>
      <c r="E27" s="191" t="s">
        <v>539</v>
      </c>
      <c r="F27" s="191" t="s">
        <v>540</v>
      </c>
      <c r="H27" s="191" t="s">
        <v>812</v>
      </c>
      <c r="I27" s="191" t="s">
        <v>813</v>
      </c>
      <c r="K27" s="191" t="s">
        <v>841</v>
      </c>
    </row>
    <row r="28" spans="3:16" x14ac:dyDescent="0.25">
      <c r="C28" s="191" t="s">
        <v>427</v>
      </c>
      <c r="E28" s="191" t="s">
        <v>541</v>
      </c>
      <c r="F28" s="191" t="s">
        <v>542</v>
      </c>
      <c r="H28" s="191" t="s">
        <v>814</v>
      </c>
      <c r="I28" s="191" t="s">
        <v>815</v>
      </c>
      <c r="K28" s="191" t="s">
        <v>842</v>
      </c>
    </row>
    <row r="29" spans="3:16" x14ac:dyDescent="0.25">
      <c r="C29" s="191" t="s">
        <v>428</v>
      </c>
      <c r="E29" s="191" t="s">
        <v>543</v>
      </c>
      <c r="F29" s="191" t="s">
        <v>544</v>
      </c>
      <c r="H29" s="191" t="s">
        <v>816</v>
      </c>
      <c r="I29" s="191" t="s">
        <v>817</v>
      </c>
      <c r="K29" s="191" t="s">
        <v>843</v>
      </c>
    </row>
    <row r="30" spans="3:16" x14ac:dyDescent="0.25">
      <c r="C30" s="191" t="s">
        <v>429</v>
      </c>
      <c r="E30" s="191" t="s">
        <v>545</v>
      </c>
      <c r="F30" s="191" t="s">
        <v>546</v>
      </c>
      <c r="H30" s="191" t="s">
        <v>818</v>
      </c>
      <c r="I30" s="191" t="s">
        <v>819</v>
      </c>
      <c r="K30" s="191" t="s">
        <v>844</v>
      </c>
    </row>
    <row r="31" spans="3:16" x14ac:dyDescent="0.25">
      <c r="C31" s="191" t="s">
        <v>430</v>
      </c>
      <c r="E31" s="191" t="s">
        <v>547</v>
      </c>
      <c r="F31" s="191" t="s">
        <v>548</v>
      </c>
      <c r="H31" s="191" t="s">
        <v>820</v>
      </c>
      <c r="I31" s="191" t="s">
        <v>821</v>
      </c>
      <c r="K31" s="191" t="s">
        <v>845</v>
      </c>
    </row>
    <row r="32" spans="3:16" x14ac:dyDescent="0.25">
      <c r="C32" s="191" t="s">
        <v>431</v>
      </c>
      <c r="E32" s="191" t="s">
        <v>549</v>
      </c>
      <c r="F32" s="191" t="s">
        <v>550</v>
      </c>
      <c r="K32" s="191" t="s">
        <v>846</v>
      </c>
    </row>
    <row r="33" spans="3:11" x14ac:dyDescent="0.25">
      <c r="C33" s="191" t="s">
        <v>432</v>
      </c>
      <c r="E33" s="191" t="s">
        <v>551</v>
      </c>
      <c r="F33" s="191" t="s">
        <v>552</v>
      </c>
      <c r="K33" s="191" t="s">
        <v>847</v>
      </c>
    </row>
    <row r="34" spans="3:11" x14ac:dyDescent="0.25">
      <c r="C34" s="191" t="s">
        <v>433</v>
      </c>
      <c r="E34" s="191" t="s">
        <v>553</v>
      </c>
      <c r="F34" s="191" t="s">
        <v>554</v>
      </c>
      <c r="K34" s="191" t="s">
        <v>848</v>
      </c>
    </row>
    <row r="35" spans="3:11" x14ac:dyDescent="0.25">
      <c r="C35" s="191" t="s">
        <v>434</v>
      </c>
      <c r="E35" s="191" t="s">
        <v>555</v>
      </c>
      <c r="F35" s="191" t="s">
        <v>556</v>
      </c>
      <c r="K35" s="191" t="s">
        <v>849</v>
      </c>
    </row>
    <row r="36" spans="3:11" x14ac:dyDescent="0.25">
      <c r="C36" s="191" t="s">
        <v>435</v>
      </c>
      <c r="E36" s="191" t="s">
        <v>557</v>
      </c>
      <c r="F36" s="191" t="s">
        <v>558</v>
      </c>
      <c r="K36" s="191" t="s">
        <v>850</v>
      </c>
    </row>
    <row r="37" spans="3:11" x14ac:dyDescent="0.25">
      <c r="C37" s="191" t="s">
        <v>436</v>
      </c>
      <c r="E37" s="191" t="s">
        <v>559</v>
      </c>
      <c r="F37" s="191" t="s">
        <v>560</v>
      </c>
      <c r="K37" s="191" t="s">
        <v>851</v>
      </c>
    </row>
    <row r="38" spans="3:11" x14ac:dyDescent="0.25">
      <c r="C38" s="191" t="s">
        <v>437</v>
      </c>
      <c r="E38" s="191" t="s">
        <v>561</v>
      </c>
      <c r="F38" s="191" t="s">
        <v>562</v>
      </c>
      <c r="K38" s="191" t="s">
        <v>852</v>
      </c>
    </row>
    <row r="39" spans="3:11" x14ac:dyDescent="0.25">
      <c r="C39" s="191" t="s">
        <v>438</v>
      </c>
      <c r="E39" s="191" t="s">
        <v>563</v>
      </c>
      <c r="F39" s="191" t="s">
        <v>564</v>
      </c>
      <c r="K39" s="191" t="s">
        <v>853</v>
      </c>
    </row>
    <row r="40" spans="3:11" x14ac:dyDescent="0.25">
      <c r="C40" s="191" t="s">
        <v>439</v>
      </c>
      <c r="E40" s="191" t="s">
        <v>565</v>
      </c>
      <c r="F40" s="191" t="s">
        <v>566</v>
      </c>
      <c r="K40" s="191" t="s">
        <v>854</v>
      </c>
    </row>
    <row r="41" spans="3:11" x14ac:dyDescent="0.25">
      <c r="C41" s="191" t="s">
        <v>440</v>
      </c>
      <c r="E41" s="191" t="s">
        <v>567</v>
      </c>
      <c r="F41" s="191" t="s">
        <v>568</v>
      </c>
      <c r="K41" s="191" t="s">
        <v>855</v>
      </c>
    </row>
    <row r="42" spans="3:11" x14ac:dyDescent="0.25">
      <c r="C42" s="191" t="s">
        <v>441</v>
      </c>
      <c r="E42" s="191" t="s">
        <v>569</v>
      </c>
      <c r="F42" s="191" t="s">
        <v>570</v>
      </c>
      <c r="K42" s="191" t="s">
        <v>856</v>
      </c>
    </row>
    <row r="43" spans="3:11" x14ac:dyDescent="0.25">
      <c r="C43" s="191" t="s">
        <v>442</v>
      </c>
      <c r="E43" s="191" t="s">
        <v>571</v>
      </c>
      <c r="F43" s="191" t="s">
        <v>572</v>
      </c>
      <c r="K43" s="191" t="s">
        <v>857</v>
      </c>
    </row>
    <row r="44" spans="3:11" x14ac:dyDescent="0.25">
      <c r="C44" s="191" t="s">
        <v>443</v>
      </c>
      <c r="E44" s="191" t="s">
        <v>573</v>
      </c>
      <c r="F44" s="191" t="s">
        <v>574</v>
      </c>
      <c r="K44" s="191" t="s">
        <v>858</v>
      </c>
    </row>
    <row r="45" spans="3:11" x14ac:dyDescent="0.25">
      <c r="C45" s="191" t="s">
        <v>444</v>
      </c>
      <c r="E45" s="191" t="s">
        <v>575</v>
      </c>
      <c r="F45" s="191" t="s">
        <v>576</v>
      </c>
      <c r="K45" s="191" t="s">
        <v>859</v>
      </c>
    </row>
    <row r="46" spans="3:11" x14ac:dyDescent="0.25">
      <c r="C46" s="191" t="s">
        <v>445</v>
      </c>
      <c r="E46" s="191" t="s">
        <v>577</v>
      </c>
      <c r="F46" s="191" t="s">
        <v>578</v>
      </c>
      <c r="K46" s="191" t="s">
        <v>860</v>
      </c>
    </row>
    <row r="47" spans="3:11" x14ac:dyDescent="0.25">
      <c r="C47" s="191" t="s">
        <v>446</v>
      </c>
      <c r="E47" s="191" t="s">
        <v>579</v>
      </c>
      <c r="F47" s="191" t="s">
        <v>580</v>
      </c>
      <c r="K47" s="191" t="s">
        <v>861</v>
      </c>
    </row>
    <row r="48" spans="3:11" x14ac:dyDescent="0.25">
      <c r="C48" s="191" t="s">
        <v>447</v>
      </c>
      <c r="E48" s="191" t="s">
        <v>581</v>
      </c>
      <c r="F48" s="191" t="s">
        <v>582</v>
      </c>
      <c r="K48" s="191" t="s">
        <v>862</v>
      </c>
    </row>
    <row r="49" spans="3:11" x14ac:dyDescent="0.25">
      <c r="C49" s="191" t="s">
        <v>448</v>
      </c>
      <c r="E49" s="191" t="s">
        <v>583</v>
      </c>
      <c r="F49" s="191" t="s">
        <v>584</v>
      </c>
      <c r="K49" s="191" t="s">
        <v>863</v>
      </c>
    </row>
    <row r="50" spans="3:11" x14ac:dyDescent="0.25">
      <c r="C50" s="191" t="s">
        <v>449</v>
      </c>
      <c r="E50" s="191" t="s">
        <v>585</v>
      </c>
      <c r="F50" s="191" t="s">
        <v>586</v>
      </c>
      <c r="K50" s="191" t="s">
        <v>864</v>
      </c>
    </row>
    <row r="51" spans="3:11" x14ac:dyDescent="0.25">
      <c r="C51" s="191" t="s">
        <v>450</v>
      </c>
      <c r="E51" s="191" t="s">
        <v>587</v>
      </c>
      <c r="F51" s="191" t="s">
        <v>588</v>
      </c>
      <c r="K51" s="191" t="s">
        <v>865</v>
      </c>
    </row>
    <row r="52" spans="3:11" x14ac:dyDescent="0.25">
      <c r="C52" s="191" t="s">
        <v>451</v>
      </c>
      <c r="E52" s="191" t="s">
        <v>589</v>
      </c>
      <c r="F52" s="191" t="s">
        <v>590</v>
      </c>
      <c r="K52" s="191" t="s">
        <v>866</v>
      </c>
    </row>
    <row r="53" spans="3:11" x14ac:dyDescent="0.25">
      <c r="C53" s="191" t="s">
        <v>452</v>
      </c>
      <c r="E53" s="191" t="s">
        <v>591</v>
      </c>
      <c r="F53" s="191" t="s">
        <v>592</v>
      </c>
      <c r="K53" s="191" t="s">
        <v>867</v>
      </c>
    </row>
    <row r="54" spans="3:11" x14ac:dyDescent="0.25">
      <c r="C54" s="191" t="s">
        <v>453</v>
      </c>
      <c r="E54" s="191" t="s">
        <v>593</v>
      </c>
      <c r="F54" s="191" t="s">
        <v>594</v>
      </c>
      <c r="K54" s="191" t="s">
        <v>868</v>
      </c>
    </row>
    <row r="55" spans="3:11" x14ac:dyDescent="0.25">
      <c r="C55" s="191" t="s">
        <v>454</v>
      </c>
      <c r="E55" s="191" t="s">
        <v>595</v>
      </c>
      <c r="F55" s="191" t="s">
        <v>596</v>
      </c>
      <c r="K55" s="191" t="s">
        <v>869</v>
      </c>
    </row>
    <row r="56" spans="3:11" x14ac:dyDescent="0.25">
      <c r="C56" s="191" t="s">
        <v>455</v>
      </c>
      <c r="E56" s="191" t="s">
        <v>597</v>
      </c>
      <c r="F56" s="191" t="s">
        <v>598</v>
      </c>
      <c r="K56" s="191" t="s">
        <v>870</v>
      </c>
    </row>
    <row r="57" spans="3:11" x14ac:dyDescent="0.25">
      <c r="C57" s="191" t="s">
        <v>456</v>
      </c>
      <c r="E57" s="191" t="s">
        <v>599</v>
      </c>
      <c r="F57" s="191" t="s">
        <v>600</v>
      </c>
      <c r="K57" s="191" t="s">
        <v>871</v>
      </c>
    </row>
    <row r="58" spans="3:11" x14ac:dyDescent="0.25">
      <c r="C58" s="191" t="s">
        <v>457</v>
      </c>
      <c r="E58" s="191" t="s">
        <v>601</v>
      </c>
      <c r="F58" s="191" t="s">
        <v>602</v>
      </c>
      <c r="K58" s="191" t="s">
        <v>872</v>
      </c>
    </row>
    <row r="59" spans="3:11" x14ac:dyDescent="0.25">
      <c r="C59" s="191" t="s">
        <v>458</v>
      </c>
      <c r="E59" s="191" t="s">
        <v>603</v>
      </c>
      <c r="F59" s="191" t="s">
        <v>604</v>
      </c>
      <c r="K59" s="191" t="s">
        <v>873</v>
      </c>
    </row>
    <row r="60" spans="3:11" x14ac:dyDescent="0.25">
      <c r="C60" s="191" t="s">
        <v>459</v>
      </c>
      <c r="E60" s="191" t="s">
        <v>605</v>
      </c>
      <c r="F60" s="191" t="s">
        <v>606</v>
      </c>
      <c r="K60" s="191" t="s">
        <v>874</v>
      </c>
    </row>
    <row r="61" spans="3:11" x14ac:dyDescent="0.25">
      <c r="C61" s="191" t="s">
        <v>460</v>
      </c>
      <c r="E61" s="191" t="s">
        <v>607</v>
      </c>
      <c r="F61" s="191" t="s">
        <v>608</v>
      </c>
      <c r="K61" s="191" t="s">
        <v>875</v>
      </c>
    </row>
    <row r="62" spans="3:11" x14ac:dyDescent="0.25">
      <c r="C62" s="191" t="s">
        <v>461</v>
      </c>
      <c r="E62" s="191" t="s">
        <v>609</v>
      </c>
      <c r="F62" s="191" t="s">
        <v>610</v>
      </c>
      <c r="K62" s="191" t="s">
        <v>876</v>
      </c>
    </row>
    <row r="63" spans="3:11" x14ac:dyDescent="0.25">
      <c r="C63" s="191" t="s">
        <v>462</v>
      </c>
      <c r="E63" s="191" t="s">
        <v>611</v>
      </c>
      <c r="F63" s="191" t="s">
        <v>612</v>
      </c>
      <c r="K63" s="191" t="s">
        <v>877</v>
      </c>
    </row>
    <row r="64" spans="3:11" x14ac:dyDescent="0.25">
      <c r="C64" s="191" t="s">
        <v>463</v>
      </c>
      <c r="E64" s="191" t="s">
        <v>613</v>
      </c>
      <c r="F64" s="191" t="s">
        <v>614</v>
      </c>
      <c r="K64" s="191" t="s">
        <v>878</v>
      </c>
    </row>
    <row r="65" spans="3:11" x14ac:dyDescent="0.25">
      <c r="C65" s="191" t="s">
        <v>464</v>
      </c>
      <c r="E65" s="191" t="s">
        <v>615</v>
      </c>
      <c r="F65" s="191" t="s">
        <v>616</v>
      </c>
      <c r="K65" s="191" t="s">
        <v>879</v>
      </c>
    </row>
    <row r="66" spans="3:11" x14ac:dyDescent="0.25">
      <c r="C66" s="191" t="s">
        <v>465</v>
      </c>
      <c r="E66" s="191" t="s">
        <v>617</v>
      </c>
      <c r="F66" s="191" t="s">
        <v>618</v>
      </c>
      <c r="K66" s="191" t="s">
        <v>880</v>
      </c>
    </row>
    <row r="67" spans="3:11" x14ac:dyDescent="0.25">
      <c r="C67" s="191" t="s">
        <v>466</v>
      </c>
      <c r="E67" s="191" t="s">
        <v>619</v>
      </c>
      <c r="F67" s="191" t="s">
        <v>620</v>
      </c>
      <c r="K67" s="191" t="s">
        <v>881</v>
      </c>
    </row>
    <row r="68" spans="3:11" x14ac:dyDescent="0.25">
      <c r="C68" s="191" t="s">
        <v>467</v>
      </c>
      <c r="E68" s="191" t="s">
        <v>621</v>
      </c>
      <c r="F68" s="191" t="s">
        <v>622</v>
      </c>
      <c r="K68" s="191" t="s">
        <v>882</v>
      </c>
    </row>
    <row r="69" spans="3:11" x14ac:dyDescent="0.25">
      <c r="C69" s="191" t="s">
        <v>468</v>
      </c>
      <c r="E69" s="191" t="s">
        <v>623</v>
      </c>
      <c r="F69" s="191" t="s">
        <v>624</v>
      </c>
      <c r="K69" s="191" t="s">
        <v>883</v>
      </c>
    </row>
    <row r="70" spans="3:11" x14ac:dyDescent="0.25">
      <c r="C70" s="191" t="s">
        <v>469</v>
      </c>
      <c r="E70" s="191" t="s">
        <v>625</v>
      </c>
      <c r="F70" s="191" t="s">
        <v>626</v>
      </c>
      <c r="K70" s="191" t="s">
        <v>884</v>
      </c>
    </row>
    <row r="71" spans="3:11" x14ac:dyDescent="0.25">
      <c r="C71" s="191" t="s">
        <v>470</v>
      </c>
      <c r="E71" s="191" t="s">
        <v>627</v>
      </c>
      <c r="F71" s="191" t="s">
        <v>628</v>
      </c>
      <c r="K71" s="191" t="s">
        <v>885</v>
      </c>
    </row>
    <row r="72" spans="3:11" x14ac:dyDescent="0.25">
      <c r="C72" s="191" t="s">
        <v>471</v>
      </c>
      <c r="E72" s="191" t="s">
        <v>629</v>
      </c>
      <c r="F72" s="191" t="s">
        <v>630</v>
      </c>
      <c r="K72" s="191" t="s">
        <v>886</v>
      </c>
    </row>
    <row r="73" spans="3:11" x14ac:dyDescent="0.25">
      <c r="C73" s="191" t="s">
        <v>472</v>
      </c>
      <c r="E73" s="191" t="s">
        <v>631</v>
      </c>
      <c r="F73" s="191" t="s">
        <v>632</v>
      </c>
      <c r="K73" s="191" t="s">
        <v>887</v>
      </c>
    </row>
    <row r="74" spans="3:11" x14ac:dyDescent="0.25">
      <c r="C74" s="191" t="s">
        <v>473</v>
      </c>
      <c r="E74" s="191" t="s">
        <v>633</v>
      </c>
      <c r="F74" s="191" t="s">
        <v>634</v>
      </c>
      <c r="K74" s="191" t="s">
        <v>888</v>
      </c>
    </row>
    <row r="75" spans="3:11" x14ac:dyDescent="0.25">
      <c r="C75" s="191" t="s">
        <v>474</v>
      </c>
      <c r="E75" s="191" t="s">
        <v>635</v>
      </c>
      <c r="F75" s="191" t="s">
        <v>636</v>
      </c>
      <c r="K75" s="191" t="s">
        <v>889</v>
      </c>
    </row>
    <row r="76" spans="3:11" x14ac:dyDescent="0.25">
      <c r="C76" s="191" t="s">
        <v>475</v>
      </c>
      <c r="E76" s="191" t="s">
        <v>637</v>
      </c>
      <c r="F76" s="191" t="s">
        <v>638</v>
      </c>
      <c r="K76" s="191" t="s">
        <v>890</v>
      </c>
    </row>
    <row r="77" spans="3:11" x14ac:dyDescent="0.25">
      <c r="C77" s="191" t="s">
        <v>414</v>
      </c>
      <c r="E77" s="191" t="s">
        <v>639</v>
      </c>
      <c r="F77" s="191" t="s">
        <v>640</v>
      </c>
      <c r="K77" s="191" t="s">
        <v>891</v>
      </c>
    </row>
    <row r="78" spans="3:11" x14ac:dyDescent="0.25">
      <c r="C78" s="191" t="s">
        <v>416</v>
      </c>
      <c r="E78" s="191" t="s">
        <v>641</v>
      </c>
      <c r="F78" s="191" t="s">
        <v>642</v>
      </c>
      <c r="K78" s="191" t="s">
        <v>892</v>
      </c>
    </row>
    <row r="79" spans="3:11" x14ac:dyDescent="0.25">
      <c r="C79" s="191" t="s">
        <v>417</v>
      </c>
      <c r="E79" s="191" t="s">
        <v>643</v>
      </c>
      <c r="F79" s="191" t="s">
        <v>644</v>
      </c>
      <c r="K79" s="191" t="s">
        <v>893</v>
      </c>
    </row>
    <row r="80" spans="3:11" x14ac:dyDescent="0.25">
      <c r="C80" s="191" t="s">
        <v>476</v>
      </c>
      <c r="E80" s="191" t="s">
        <v>645</v>
      </c>
      <c r="F80" s="191" t="s">
        <v>646</v>
      </c>
      <c r="K80" s="191" t="s">
        <v>894</v>
      </c>
    </row>
    <row r="81" spans="3:11" x14ac:dyDescent="0.25">
      <c r="C81" s="191" t="s">
        <v>477</v>
      </c>
      <c r="E81" s="191" t="s">
        <v>647</v>
      </c>
      <c r="F81" s="191" t="s">
        <v>648</v>
      </c>
      <c r="K81" s="191" t="s">
        <v>895</v>
      </c>
    </row>
    <row r="82" spans="3:11" x14ac:dyDescent="0.25">
      <c r="C82" s="191" t="s">
        <v>423</v>
      </c>
      <c r="E82" s="191" t="s">
        <v>649</v>
      </c>
      <c r="F82" s="191" t="s">
        <v>650</v>
      </c>
      <c r="K82" s="191" t="s">
        <v>896</v>
      </c>
    </row>
    <row r="83" spans="3:11" x14ac:dyDescent="0.25">
      <c r="C83" s="191" t="s">
        <v>424</v>
      </c>
      <c r="E83" s="191" t="s">
        <v>651</v>
      </c>
      <c r="F83" s="191" t="s">
        <v>652</v>
      </c>
      <c r="K83" s="191" t="s">
        <v>897</v>
      </c>
    </row>
    <row r="84" spans="3:11" x14ac:dyDescent="0.25">
      <c r="C84" s="191" t="s">
        <v>478</v>
      </c>
      <c r="E84" s="191" t="s">
        <v>653</v>
      </c>
      <c r="F84" s="191" t="s">
        <v>654</v>
      </c>
      <c r="K84" s="191" t="s">
        <v>898</v>
      </c>
    </row>
    <row r="85" spans="3:11" x14ac:dyDescent="0.25">
      <c r="C85" s="191" t="s">
        <v>479</v>
      </c>
      <c r="E85" s="191" t="s">
        <v>655</v>
      </c>
      <c r="F85" s="191" t="s">
        <v>656</v>
      </c>
      <c r="K85" s="191" t="s">
        <v>899</v>
      </c>
    </row>
    <row r="86" spans="3:11" x14ac:dyDescent="0.25">
      <c r="C86" s="191" t="s">
        <v>480</v>
      </c>
      <c r="E86" s="191" t="s">
        <v>657</v>
      </c>
      <c r="F86" s="191" t="s">
        <v>658</v>
      </c>
      <c r="K86" s="191" t="s">
        <v>900</v>
      </c>
    </row>
    <row r="87" spans="3:11" x14ac:dyDescent="0.25">
      <c r="C87" s="191" t="s">
        <v>429</v>
      </c>
      <c r="E87" s="191" t="s">
        <v>659</v>
      </c>
      <c r="F87" s="191" t="s">
        <v>660</v>
      </c>
      <c r="K87" s="191" t="s">
        <v>901</v>
      </c>
    </row>
    <row r="88" spans="3:11" x14ac:dyDescent="0.25">
      <c r="C88" s="191" t="s">
        <v>481</v>
      </c>
      <c r="E88" s="191" t="s">
        <v>661</v>
      </c>
      <c r="F88" s="191" t="s">
        <v>662</v>
      </c>
      <c r="K88" s="191" t="s">
        <v>902</v>
      </c>
    </row>
    <row r="89" spans="3:11" x14ac:dyDescent="0.25">
      <c r="C89" s="191" t="s">
        <v>431</v>
      </c>
      <c r="E89" s="191" t="s">
        <v>663</v>
      </c>
      <c r="F89" s="191" t="s">
        <v>664</v>
      </c>
      <c r="K89" s="191" t="s">
        <v>903</v>
      </c>
    </row>
    <row r="90" spans="3:11" x14ac:dyDescent="0.25">
      <c r="C90" s="191" t="s">
        <v>482</v>
      </c>
      <c r="E90" s="191" t="s">
        <v>665</v>
      </c>
      <c r="F90" s="191" t="s">
        <v>666</v>
      </c>
      <c r="K90" s="191" t="s">
        <v>904</v>
      </c>
    </row>
    <row r="91" spans="3:11" x14ac:dyDescent="0.25">
      <c r="C91" s="191" t="s">
        <v>434</v>
      </c>
      <c r="E91" s="191" t="s">
        <v>667</v>
      </c>
      <c r="F91" s="191" t="s">
        <v>668</v>
      </c>
      <c r="K91" s="191" t="s">
        <v>905</v>
      </c>
    </row>
    <row r="92" spans="3:11" x14ac:dyDescent="0.25">
      <c r="C92" s="191" t="s">
        <v>435</v>
      </c>
      <c r="E92" s="191" t="s">
        <v>669</v>
      </c>
      <c r="F92" s="191" t="s">
        <v>670</v>
      </c>
      <c r="K92" s="191" t="s">
        <v>906</v>
      </c>
    </row>
    <row r="93" spans="3:11" x14ac:dyDescent="0.25">
      <c r="C93" s="191" t="s">
        <v>436</v>
      </c>
      <c r="E93" s="191" t="s">
        <v>671</v>
      </c>
      <c r="F93" s="191" t="s">
        <v>672</v>
      </c>
      <c r="K93" s="191" t="s">
        <v>907</v>
      </c>
    </row>
    <row r="94" spans="3:11" x14ac:dyDescent="0.25">
      <c r="C94" s="191" t="s">
        <v>483</v>
      </c>
      <c r="E94" s="191" t="s">
        <v>673</v>
      </c>
      <c r="F94" s="191" t="s">
        <v>674</v>
      </c>
      <c r="K94" s="191" t="s">
        <v>908</v>
      </c>
    </row>
    <row r="95" spans="3:11" x14ac:dyDescent="0.25">
      <c r="C95" s="191" t="s">
        <v>484</v>
      </c>
      <c r="E95" s="191" t="s">
        <v>675</v>
      </c>
      <c r="F95" s="191" t="s">
        <v>676</v>
      </c>
      <c r="K95" s="191" t="s">
        <v>909</v>
      </c>
    </row>
    <row r="96" spans="3:11" x14ac:dyDescent="0.25">
      <c r="C96" s="191" t="s">
        <v>485</v>
      </c>
      <c r="E96" s="191" t="s">
        <v>677</v>
      </c>
      <c r="F96" s="191" t="s">
        <v>678</v>
      </c>
      <c r="K96" s="191" t="s">
        <v>910</v>
      </c>
    </row>
    <row r="97" spans="3:11" x14ac:dyDescent="0.25">
      <c r="C97" s="191" t="s">
        <v>486</v>
      </c>
      <c r="E97" s="191" t="s">
        <v>679</v>
      </c>
      <c r="F97" s="191" t="s">
        <v>680</v>
      </c>
      <c r="K97" s="191" t="s">
        <v>911</v>
      </c>
    </row>
    <row r="98" spans="3:11" x14ac:dyDescent="0.25">
      <c r="C98" s="191" t="s">
        <v>443</v>
      </c>
      <c r="E98" s="191" t="s">
        <v>681</v>
      </c>
      <c r="F98" s="191" t="s">
        <v>682</v>
      </c>
      <c r="K98" s="191" t="s">
        <v>912</v>
      </c>
    </row>
    <row r="99" spans="3:11" x14ac:dyDescent="0.25">
      <c r="C99" s="191" t="s">
        <v>487</v>
      </c>
      <c r="E99" s="191" t="s">
        <v>683</v>
      </c>
      <c r="F99" s="191" t="s">
        <v>684</v>
      </c>
      <c r="K99" s="191" t="s">
        <v>913</v>
      </c>
    </row>
    <row r="100" spans="3:11" x14ac:dyDescent="0.25">
      <c r="C100" s="191" t="s">
        <v>488</v>
      </c>
      <c r="E100" s="191" t="s">
        <v>685</v>
      </c>
      <c r="F100" s="191" t="s">
        <v>686</v>
      </c>
      <c r="K100" s="191" t="s">
        <v>914</v>
      </c>
    </row>
    <row r="101" spans="3:11" x14ac:dyDescent="0.25">
      <c r="C101" s="191" t="s">
        <v>489</v>
      </c>
      <c r="E101" s="191" t="s">
        <v>687</v>
      </c>
      <c r="F101" s="191" t="s">
        <v>688</v>
      </c>
      <c r="K101" s="191" t="s">
        <v>915</v>
      </c>
    </row>
    <row r="102" spans="3:11" x14ac:dyDescent="0.25">
      <c r="C102" s="191" t="s">
        <v>490</v>
      </c>
      <c r="E102" s="191" t="s">
        <v>689</v>
      </c>
      <c r="F102" s="191" t="s">
        <v>690</v>
      </c>
      <c r="K102" s="191" t="s">
        <v>916</v>
      </c>
    </row>
    <row r="103" spans="3:11" x14ac:dyDescent="0.25">
      <c r="C103" s="191" t="s">
        <v>491</v>
      </c>
      <c r="E103" s="191" t="s">
        <v>691</v>
      </c>
      <c r="F103" s="191" t="s">
        <v>692</v>
      </c>
      <c r="K103" s="191" t="s">
        <v>917</v>
      </c>
    </row>
    <row r="104" spans="3:11" x14ac:dyDescent="0.25">
      <c r="C104" s="191" t="s">
        <v>450</v>
      </c>
      <c r="E104" s="191" t="s">
        <v>693</v>
      </c>
      <c r="F104" s="191" t="s">
        <v>694</v>
      </c>
      <c r="K104" s="191" t="s">
        <v>918</v>
      </c>
    </row>
    <row r="105" spans="3:11" x14ac:dyDescent="0.25">
      <c r="C105" s="191" t="s">
        <v>459</v>
      </c>
      <c r="E105" s="191" t="s">
        <v>695</v>
      </c>
      <c r="F105" s="191" t="s">
        <v>696</v>
      </c>
      <c r="K105" s="191" t="s">
        <v>919</v>
      </c>
    </row>
    <row r="106" spans="3:11" x14ac:dyDescent="0.25">
      <c r="C106" s="191" t="s">
        <v>492</v>
      </c>
      <c r="E106" s="191" t="s">
        <v>697</v>
      </c>
      <c r="F106" s="191" t="s">
        <v>698</v>
      </c>
      <c r="K106" s="191" t="s">
        <v>920</v>
      </c>
    </row>
    <row r="107" spans="3:11" x14ac:dyDescent="0.25">
      <c r="C107" s="191" t="s">
        <v>493</v>
      </c>
      <c r="E107" s="191" t="s">
        <v>699</v>
      </c>
      <c r="F107" s="191" t="s">
        <v>700</v>
      </c>
      <c r="K107" s="191" t="s">
        <v>921</v>
      </c>
    </row>
    <row r="108" spans="3:11" x14ac:dyDescent="0.25">
      <c r="C108" s="191" t="s">
        <v>494</v>
      </c>
      <c r="E108" s="191" t="s">
        <v>701</v>
      </c>
      <c r="F108" s="191" t="s">
        <v>702</v>
      </c>
      <c r="K108" s="191" t="s">
        <v>922</v>
      </c>
    </row>
    <row r="109" spans="3:11" x14ac:dyDescent="0.25">
      <c r="C109" s="191" t="s">
        <v>495</v>
      </c>
      <c r="E109" s="191" t="s">
        <v>703</v>
      </c>
      <c r="F109" s="191" t="s">
        <v>704</v>
      </c>
      <c r="K109" s="191" t="s">
        <v>923</v>
      </c>
    </row>
    <row r="110" spans="3:11" x14ac:dyDescent="0.25">
      <c r="C110" s="191" t="s">
        <v>496</v>
      </c>
      <c r="E110" s="191" t="s">
        <v>705</v>
      </c>
      <c r="F110" s="191" t="s">
        <v>706</v>
      </c>
      <c r="K110" s="191" t="s">
        <v>924</v>
      </c>
    </row>
    <row r="111" spans="3:11" x14ac:dyDescent="0.25">
      <c r="C111" s="191" t="s">
        <v>497</v>
      </c>
      <c r="E111" s="191" t="s">
        <v>707</v>
      </c>
      <c r="F111" s="191" t="s">
        <v>708</v>
      </c>
      <c r="K111" s="191" t="s">
        <v>925</v>
      </c>
    </row>
    <row r="112" spans="3:11" x14ac:dyDescent="0.25">
      <c r="C112" s="191" t="s">
        <v>498</v>
      </c>
      <c r="E112" s="191" t="s">
        <v>709</v>
      </c>
      <c r="F112" s="191" t="s">
        <v>710</v>
      </c>
      <c r="K112" s="191" t="s">
        <v>926</v>
      </c>
    </row>
    <row r="113" spans="3:11" x14ac:dyDescent="0.25">
      <c r="C113" s="191" t="s">
        <v>470</v>
      </c>
      <c r="E113" s="191" t="s">
        <v>711</v>
      </c>
      <c r="F113" s="191" t="s">
        <v>712</v>
      </c>
      <c r="K113" s="191" t="s">
        <v>927</v>
      </c>
    </row>
    <row r="114" spans="3:11" x14ac:dyDescent="0.25">
      <c r="C114" s="191" t="s">
        <v>473</v>
      </c>
      <c r="E114" s="191" t="s">
        <v>713</v>
      </c>
      <c r="F114" s="191" t="s">
        <v>714</v>
      </c>
      <c r="K114" s="191" t="s">
        <v>928</v>
      </c>
    </row>
    <row r="115" spans="3:11" x14ac:dyDescent="0.25">
      <c r="C115" s="191" t="s">
        <v>499</v>
      </c>
      <c r="E115" s="191" t="s">
        <v>715</v>
      </c>
      <c r="F115" s="191" t="s">
        <v>716</v>
      </c>
      <c r="K115" s="191" t="s">
        <v>929</v>
      </c>
    </row>
    <row r="116" spans="3:11" x14ac:dyDescent="0.25">
      <c r="E116" s="191" t="s">
        <v>717</v>
      </c>
      <c r="F116" s="191" t="s">
        <v>718</v>
      </c>
      <c r="K116" s="191" t="s">
        <v>930</v>
      </c>
    </row>
    <row r="117" spans="3:11" x14ac:dyDescent="0.25">
      <c r="E117" s="191" t="s">
        <v>719</v>
      </c>
      <c r="F117" s="191" t="s">
        <v>720</v>
      </c>
      <c r="K117" s="191" t="s">
        <v>931</v>
      </c>
    </row>
    <row r="118" spans="3:11" x14ac:dyDescent="0.25">
      <c r="E118" s="191" t="s">
        <v>721</v>
      </c>
      <c r="F118" s="191" t="s">
        <v>722</v>
      </c>
      <c r="K118" s="191" t="s">
        <v>932</v>
      </c>
    </row>
    <row r="119" spans="3:11" x14ac:dyDescent="0.25">
      <c r="E119" s="191" t="s">
        <v>723</v>
      </c>
      <c r="F119" s="191" t="s">
        <v>724</v>
      </c>
      <c r="K119" s="191" t="s">
        <v>933</v>
      </c>
    </row>
    <row r="120" spans="3:11" x14ac:dyDescent="0.25">
      <c r="E120" s="191" t="s">
        <v>725</v>
      </c>
      <c r="F120" s="191" t="s">
        <v>726</v>
      </c>
      <c r="K120" s="191" t="s">
        <v>934</v>
      </c>
    </row>
    <row r="121" spans="3:11" x14ac:dyDescent="0.25">
      <c r="E121" s="191" t="s">
        <v>727</v>
      </c>
      <c r="F121" s="191" t="s">
        <v>728</v>
      </c>
      <c r="K121" s="191" t="s">
        <v>935</v>
      </c>
    </row>
    <row r="122" spans="3:11" x14ac:dyDescent="0.25">
      <c r="E122" s="191" t="s">
        <v>729</v>
      </c>
      <c r="F122" s="191" t="s">
        <v>730</v>
      </c>
      <c r="K122" s="191" t="s">
        <v>936</v>
      </c>
    </row>
    <row r="123" spans="3:11" x14ac:dyDescent="0.25">
      <c r="E123" s="191" t="s">
        <v>731</v>
      </c>
      <c r="F123" s="191" t="s">
        <v>732</v>
      </c>
      <c r="K123" s="191" t="s">
        <v>937</v>
      </c>
    </row>
    <row r="124" spans="3:11" x14ac:dyDescent="0.25">
      <c r="E124" s="191" t="s">
        <v>733</v>
      </c>
      <c r="F124" s="191" t="s">
        <v>734</v>
      </c>
      <c r="K124" s="191" t="s">
        <v>938</v>
      </c>
    </row>
    <row r="125" spans="3:11" x14ac:dyDescent="0.25">
      <c r="E125" s="191" t="s">
        <v>735</v>
      </c>
      <c r="F125" s="191" t="s">
        <v>736</v>
      </c>
      <c r="K125" s="191" t="s">
        <v>939</v>
      </c>
    </row>
    <row r="126" spans="3:11" x14ac:dyDescent="0.25">
      <c r="E126" s="191" t="s">
        <v>737</v>
      </c>
      <c r="F126" s="191" t="s">
        <v>738</v>
      </c>
      <c r="K126" s="191" t="s">
        <v>940</v>
      </c>
    </row>
    <row r="127" spans="3:11" x14ac:dyDescent="0.25">
      <c r="E127" s="191" t="s">
        <v>739</v>
      </c>
      <c r="F127" s="191" t="s">
        <v>740</v>
      </c>
      <c r="K127" s="191" t="s">
        <v>941</v>
      </c>
    </row>
    <row r="128" spans="3:11" x14ac:dyDescent="0.25">
      <c r="E128" s="191" t="s">
        <v>741</v>
      </c>
      <c r="F128" s="191" t="s">
        <v>742</v>
      </c>
      <c r="K128" s="191" t="s">
        <v>942</v>
      </c>
    </row>
    <row r="129" spans="5:11" x14ac:dyDescent="0.25">
      <c r="E129" s="191" t="s">
        <v>743</v>
      </c>
      <c r="F129" s="191" t="s">
        <v>744</v>
      </c>
      <c r="K129" s="191" t="s">
        <v>943</v>
      </c>
    </row>
    <row r="130" spans="5:11" x14ac:dyDescent="0.25">
      <c r="E130" s="191" t="s">
        <v>745</v>
      </c>
      <c r="F130" s="191" t="s">
        <v>746</v>
      </c>
      <c r="K130" s="191" t="s">
        <v>944</v>
      </c>
    </row>
    <row r="131" spans="5:11" x14ac:dyDescent="0.25">
      <c r="E131" s="191" t="s">
        <v>747</v>
      </c>
      <c r="F131" s="191" t="s">
        <v>748</v>
      </c>
      <c r="K131" s="191" t="s">
        <v>945</v>
      </c>
    </row>
    <row r="132" spans="5:11" x14ac:dyDescent="0.25">
      <c r="E132" s="191" t="s">
        <v>749</v>
      </c>
      <c r="F132" s="191" t="s">
        <v>750</v>
      </c>
      <c r="K132" s="191" t="s">
        <v>946</v>
      </c>
    </row>
    <row r="133" spans="5:11" x14ac:dyDescent="0.25">
      <c r="E133" s="191" t="s">
        <v>751</v>
      </c>
      <c r="F133" s="191" t="s">
        <v>752</v>
      </c>
      <c r="K133" s="191" t="s">
        <v>947</v>
      </c>
    </row>
    <row r="134" spans="5:11" x14ac:dyDescent="0.25">
      <c r="E134" s="191" t="s">
        <v>753</v>
      </c>
      <c r="F134" s="191" t="s">
        <v>724</v>
      </c>
      <c r="K134" s="191" t="s">
        <v>948</v>
      </c>
    </row>
    <row r="135" spans="5:11" x14ac:dyDescent="0.25">
      <c r="E135" s="191" t="s">
        <v>754</v>
      </c>
      <c r="F135" s="191" t="s">
        <v>755</v>
      </c>
      <c r="K135" s="191" t="s">
        <v>949</v>
      </c>
    </row>
    <row r="136" spans="5:11" x14ac:dyDescent="0.25">
      <c r="E136" s="191" t="s">
        <v>756</v>
      </c>
      <c r="F136" s="191" t="s">
        <v>757</v>
      </c>
      <c r="K136" s="191" t="s">
        <v>950</v>
      </c>
    </row>
    <row r="137" spans="5:11" x14ac:dyDescent="0.25">
      <c r="E137" s="191" t="s">
        <v>758</v>
      </c>
      <c r="F137" s="191" t="s">
        <v>759</v>
      </c>
      <c r="K137" s="191" t="s">
        <v>951</v>
      </c>
    </row>
    <row r="138" spans="5:11" x14ac:dyDescent="0.25">
      <c r="E138" s="191" t="s">
        <v>760</v>
      </c>
      <c r="F138" s="191" t="s">
        <v>761</v>
      </c>
      <c r="K138" s="191" t="s">
        <v>952</v>
      </c>
    </row>
    <row r="139" spans="5:11" x14ac:dyDescent="0.25">
      <c r="E139" s="191" t="s">
        <v>762</v>
      </c>
      <c r="F139" s="191" t="s">
        <v>763</v>
      </c>
      <c r="K139" s="191" t="s">
        <v>953</v>
      </c>
    </row>
    <row r="140" spans="5:11" x14ac:dyDescent="0.25">
      <c r="E140" s="191" t="s">
        <v>764</v>
      </c>
      <c r="F140" s="191" t="s">
        <v>765</v>
      </c>
      <c r="K140" s="191" t="s">
        <v>954</v>
      </c>
    </row>
    <row r="141" spans="5:11" x14ac:dyDescent="0.25">
      <c r="E141" s="191" t="s">
        <v>766</v>
      </c>
      <c r="F141" s="191" t="s">
        <v>767</v>
      </c>
      <c r="K141" s="191" t="s">
        <v>955</v>
      </c>
    </row>
    <row r="142" spans="5:11" x14ac:dyDescent="0.25">
      <c r="E142" s="191" t="s">
        <v>768</v>
      </c>
      <c r="F142" s="191" t="s">
        <v>769</v>
      </c>
      <c r="K142" s="191" t="s">
        <v>956</v>
      </c>
    </row>
    <row r="143" spans="5:11" x14ac:dyDescent="0.25">
      <c r="E143" s="191" t="s">
        <v>770</v>
      </c>
      <c r="F143" s="191" t="s">
        <v>771</v>
      </c>
      <c r="K143" s="191" t="s">
        <v>957</v>
      </c>
    </row>
    <row r="144" spans="5:11" x14ac:dyDescent="0.25">
      <c r="E144" s="191" t="s">
        <v>772</v>
      </c>
      <c r="F144" s="191" t="s">
        <v>773</v>
      </c>
      <c r="K144" s="191" t="s">
        <v>958</v>
      </c>
    </row>
    <row r="145" spans="5:11" x14ac:dyDescent="0.25">
      <c r="E145" s="191" t="s">
        <v>774</v>
      </c>
      <c r="F145" s="191" t="s">
        <v>775</v>
      </c>
      <c r="K145" s="191" t="s">
        <v>959</v>
      </c>
    </row>
    <row r="146" spans="5:11" x14ac:dyDescent="0.25">
      <c r="E146" s="191" t="s">
        <v>776</v>
      </c>
      <c r="F146" s="191" t="s">
        <v>777</v>
      </c>
      <c r="K146" s="191" t="s">
        <v>960</v>
      </c>
    </row>
    <row r="147" spans="5:11" x14ac:dyDescent="0.25">
      <c r="E147" s="191" t="s">
        <v>778</v>
      </c>
      <c r="F147" s="191" t="s">
        <v>779</v>
      </c>
      <c r="K147" s="191" t="s">
        <v>961</v>
      </c>
    </row>
    <row r="148" spans="5:11" x14ac:dyDescent="0.25">
      <c r="E148" s="191" t="s">
        <v>780</v>
      </c>
      <c r="F148" s="191" t="s">
        <v>781</v>
      </c>
      <c r="K148" s="191" t="s">
        <v>962</v>
      </c>
    </row>
    <row r="149" spans="5:11" x14ac:dyDescent="0.25">
      <c r="K149" s="191" t="s">
        <v>963</v>
      </c>
    </row>
    <row r="150" spans="5:11" x14ac:dyDescent="0.25">
      <c r="K150" s="191" t="s">
        <v>964</v>
      </c>
    </row>
    <row r="151" spans="5:11" x14ac:dyDescent="0.25">
      <c r="K151" s="191" t="s">
        <v>965</v>
      </c>
    </row>
    <row r="152" spans="5:11" x14ac:dyDescent="0.25">
      <c r="K152" s="191" t="s">
        <v>966</v>
      </c>
    </row>
    <row r="153" spans="5:11" x14ac:dyDescent="0.25">
      <c r="K153" s="191" t="s">
        <v>967</v>
      </c>
    </row>
    <row r="154" spans="5:11" x14ac:dyDescent="0.25">
      <c r="K154" s="191" t="s">
        <v>968</v>
      </c>
    </row>
    <row r="155" spans="5:11" x14ac:dyDescent="0.25">
      <c r="K155" s="191" t="s">
        <v>969</v>
      </c>
    </row>
    <row r="156" spans="5:11" x14ac:dyDescent="0.25">
      <c r="K156" s="191" t="s">
        <v>970</v>
      </c>
    </row>
    <row r="157" spans="5:11" x14ac:dyDescent="0.25">
      <c r="K157" s="191" t="s">
        <v>971</v>
      </c>
    </row>
    <row r="158" spans="5:11" x14ac:dyDescent="0.25">
      <c r="K158" s="191" t="s">
        <v>972</v>
      </c>
    </row>
    <row r="159" spans="5:11" x14ac:dyDescent="0.25">
      <c r="K159" s="191" t="s">
        <v>973</v>
      </c>
    </row>
    <row r="160" spans="5:11" x14ac:dyDescent="0.25">
      <c r="K160" s="191" t="s">
        <v>974</v>
      </c>
    </row>
    <row r="161" spans="11:11" x14ac:dyDescent="0.25">
      <c r="K161" s="191" t="s">
        <v>975</v>
      </c>
    </row>
    <row r="162" spans="11:11" x14ac:dyDescent="0.25">
      <c r="K162" s="191" t="s">
        <v>976</v>
      </c>
    </row>
    <row r="163" spans="11:11" x14ac:dyDescent="0.25">
      <c r="K163" s="191" t="s">
        <v>977</v>
      </c>
    </row>
    <row r="164" spans="11:11" x14ac:dyDescent="0.25">
      <c r="K164" s="191" t="s">
        <v>978</v>
      </c>
    </row>
    <row r="165" spans="11:11" x14ac:dyDescent="0.25">
      <c r="K165" s="191" t="s">
        <v>979</v>
      </c>
    </row>
    <row r="166" spans="11:11" x14ac:dyDescent="0.25">
      <c r="K166" s="191" t="s">
        <v>980</v>
      </c>
    </row>
    <row r="167" spans="11:11" x14ac:dyDescent="0.25">
      <c r="K167" s="191" t="s">
        <v>981</v>
      </c>
    </row>
    <row r="168" spans="11:11" x14ac:dyDescent="0.25">
      <c r="K168" s="191" t="s">
        <v>982</v>
      </c>
    </row>
    <row r="169" spans="11:11" x14ac:dyDescent="0.25">
      <c r="K169" s="191" t="s">
        <v>983</v>
      </c>
    </row>
    <row r="170" spans="11:11" x14ac:dyDescent="0.25">
      <c r="K170" s="191" t="s">
        <v>984</v>
      </c>
    </row>
    <row r="171" spans="11:11" x14ac:dyDescent="0.25">
      <c r="K171" s="191" t="s">
        <v>985</v>
      </c>
    </row>
    <row r="172" spans="11:11" x14ac:dyDescent="0.25">
      <c r="K172" s="191" t="s">
        <v>986</v>
      </c>
    </row>
    <row r="173" spans="11:11" x14ac:dyDescent="0.25">
      <c r="K173" s="191" t="s">
        <v>987</v>
      </c>
    </row>
    <row r="174" spans="11:11" x14ac:dyDescent="0.25">
      <c r="K174" s="191" t="s">
        <v>988</v>
      </c>
    </row>
    <row r="175" spans="11:11" x14ac:dyDescent="0.25">
      <c r="K175" s="191" t="s">
        <v>989</v>
      </c>
    </row>
    <row r="176" spans="11:11" x14ac:dyDescent="0.25">
      <c r="K176" s="191" t="s">
        <v>990</v>
      </c>
    </row>
    <row r="177" spans="11:11" x14ac:dyDescent="0.25">
      <c r="K177" s="191" t="s">
        <v>991</v>
      </c>
    </row>
    <row r="178" spans="11:11" x14ac:dyDescent="0.25">
      <c r="K178" s="191" t="s">
        <v>992</v>
      </c>
    </row>
    <row r="179" spans="11:11" x14ac:dyDescent="0.25">
      <c r="K179" s="191" t="s">
        <v>993</v>
      </c>
    </row>
    <row r="180" spans="11:11" x14ac:dyDescent="0.25">
      <c r="K180" s="191" t="s">
        <v>994</v>
      </c>
    </row>
    <row r="181" spans="11:11" x14ac:dyDescent="0.25">
      <c r="K181" s="191" t="s">
        <v>995</v>
      </c>
    </row>
    <row r="182" spans="11:11" x14ac:dyDescent="0.25">
      <c r="K182" s="191" t="s">
        <v>996</v>
      </c>
    </row>
    <row r="183" spans="11:11" x14ac:dyDescent="0.25">
      <c r="K183" s="191" t="s">
        <v>997</v>
      </c>
    </row>
    <row r="184" spans="11:11" x14ac:dyDescent="0.25">
      <c r="K184" s="191" t="s">
        <v>998</v>
      </c>
    </row>
    <row r="185" spans="11:11" x14ac:dyDescent="0.25">
      <c r="K185" s="191" t="s">
        <v>999</v>
      </c>
    </row>
    <row r="186" spans="11:11" x14ac:dyDescent="0.25">
      <c r="K186" s="191" t="s">
        <v>1000</v>
      </c>
    </row>
    <row r="187" spans="11:11" x14ac:dyDescent="0.25">
      <c r="K187" s="191" t="s">
        <v>1001</v>
      </c>
    </row>
    <row r="188" spans="11:11" x14ac:dyDescent="0.25">
      <c r="K188" s="191" t="s">
        <v>1002</v>
      </c>
    </row>
    <row r="189" spans="11:11" x14ac:dyDescent="0.25">
      <c r="K189" s="191" t="s">
        <v>1003</v>
      </c>
    </row>
    <row r="190" spans="11:11" x14ac:dyDescent="0.25">
      <c r="K190" s="191" t="s">
        <v>1004</v>
      </c>
    </row>
    <row r="191" spans="11:11" x14ac:dyDescent="0.25">
      <c r="K191" s="191" t="s">
        <v>1005</v>
      </c>
    </row>
    <row r="192" spans="11:11" x14ac:dyDescent="0.25">
      <c r="K192" s="191" t="s">
        <v>1006</v>
      </c>
    </row>
    <row r="193" spans="11:11" x14ac:dyDescent="0.25">
      <c r="K193" s="191" t="s">
        <v>1007</v>
      </c>
    </row>
    <row r="194" spans="11:11" x14ac:dyDescent="0.25">
      <c r="K194" s="191" t="s">
        <v>1008</v>
      </c>
    </row>
    <row r="195" spans="11:11" x14ac:dyDescent="0.25">
      <c r="K195" s="191" t="s">
        <v>1009</v>
      </c>
    </row>
    <row r="196" spans="11:11" x14ac:dyDescent="0.25">
      <c r="K196" s="191" t="s">
        <v>1010</v>
      </c>
    </row>
    <row r="197" spans="11:11" x14ac:dyDescent="0.25">
      <c r="K197" s="191" t="s">
        <v>1011</v>
      </c>
    </row>
    <row r="198" spans="11:11" x14ac:dyDescent="0.25">
      <c r="K198" s="191" t="s">
        <v>1012</v>
      </c>
    </row>
    <row r="199" spans="11:11" x14ac:dyDescent="0.25">
      <c r="K199" s="191" t="s">
        <v>1013</v>
      </c>
    </row>
    <row r="200" spans="11:11" x14ac:dyDescent="0.25">
      <c r="K200" s="191" t="s">
        <v>1014</v>
      </c>
    </row>
    <row r="201" spans="11:11" x14ac:dyDescent="0.25">
      <c r="K201" s="191" t="s">
        <v>1015</v>
      </c>
    </row>
    <row r="202" spans="11:11" x14ac:dyDescent="0.25">
      <c r="K202" s="191" t="s">
        <v>1016</v>
      </c>
    </row>
    <row r="203" spans="11:11" x14ac:dyDescent="0.25">
      <c r="K203" s="191" t="s">
        <v>1017</v>
      </c>
    </row>
    <row r="204" spans="11:11" x14ac:dyDescent="0.25">
      <c r="K204" s="191" t="s">
        <v>1018</v>
      </c>
    </row>
    <row r="205" spans="11:11" x14ac:dyDescent="0.25">
      <c r="K205" s="191" t="s">
        <v>1019</v>
      </c>
    </row>
    <row r="206" spans="11:11" x14ac:dyDescent="0.25">
      <c r="K206" s="191" t="s">
        <v>1020</v>
      </c>
    </row>
    <row r="207" spans="11:11" x14ac:dyDescent="0.25">
      <c r="K207" s="191" t="s">
        <v>1021</v>
      </c>
    </row>
    <row r="208" spans="11:11" x14ac:dyDescent="0.25">
      <c r="K208" s="191" t="s">
        <v>1022</v>
      </c>
    </row>
    <row r="209" spans="11:11" x14ac:dyDescent="0.25">
      <c r="K209" s="191" t="s">
        <v>1023</v>
      </c>
    </row>
    <row r="210" spans="11:11" x14ac:dyDescent="0.25">
      <c r="K210" s="191" t="s">
        <v>1024</v>
      </c>
    </row>
    <row r="211" spans="11:11" x14ac:dyDescent="0.25">
      <c r="K211" s="191" t="s">
        <v>1025</v>
      </c>
    </row>
    <row r="212" spans="11:11" x14ac:dyDescent="0.25">
      <c r="K212" s="191" t="s">
        <v>1026</v>
      </c>
    </row>
    <row r="213" spans="11:11" x14ac:dyDescent="0.25">
      <c r="K213" s="191" t="s">
        <v>1027</v>
      </c>
    </row>
    <row r="214" spans="11:11" x14ac:dyDescent="0.25">
      <c r="K214" s="191" t="s">
        <v>1028</v>
      </c>
    </row>
    <row r="215" spans="11:11" x14ac:dyDescent="0.25">
      <c r="K215" s="191" t="s">
        <v>1029</v>
      </c>
    </row>
    <row r="216" spans="11:11" x14ac:dyDescent="0.25">
      <c r="K216" s="191" t="s">
        <v>1030</v>
      </c>
    </row>
    <row r="217" spans="11:11" x14ac:dyDescent="0.25">
      <c r="K217" s="191" t="s">
        <v>1031</v>
      </c>
    </row>
    <row r="218" spans="11:11" x14ac:dyDescent="0.25">
      <c r="K218" s="191" t="s">
        <v>1032</v>
      </c>
    </row>
    <row r="219" spans="11:11" x14ac:dyDescent="0.25">
      <c r="K219" s="191" t="s">
        <v>1033</v>
      </c>
    </row>
    <row r="220" spans="11:11" x14ac:dyDescent="0.25">
      <c r="K220" s="191" t="s">
        <v>1034</v>
      </c>
    </row>
    <row r="221" spans="11:11" x14ac:dyDescent="0.25">
      <c r="K221" s="191" t="s">
        <v>1035</v>
      </c>
    </row>
    <row r="222" spans="11:11" x14ac:dyDescent="0.25">
      <c r="K222" s="191" t="s">
        <v>1036</v>
      </c>
    </row>
    <row r="223" spans="11:11" x14ac:dyDescent="0.25">
      <c r="K223" s="191" t="s">
        <v>1037</v>
      </c>
    </row>
    <row r="224" spans="11:11" x14ac:dyDescent="0.25">
      <c r="K224" s="191" t="s">
        <v>1038</v>
      </c>
    </row>
    <row r="225" spans="11:11" x14ac:dyDescent="0.25">
      <c r="K225" s="191" t="s">
        <v>1039</v>
      </c>
    </row>
    <row r="226" spans="11:11" x14ac:dyDescent="0.25">
      <c r="K226" s="191" t="s">
        <v>1040</v>
      </c>
    </row>
    <row r="227" spans="11:11" x14ac:dyDescent="0.25">
      <c r="K227" s="191" t="s">
        <v>1041</v>
      </c>
    </row>
    <row r="228" spans="11:11" x14ac:dyDescent="0.25">
      <c r="K228" s="191" t="s">
        <v>1042</v>
      </c>
    </row>
    <row r="229" spans="11:11" x14ac:dyDescent="0.25">
      <c r="K229" s="191" t="s">
        <v>1043</v>
      </c>
    </row>
    <row r="230" spans="11:11" x14ac:dyDescent="0.25">
      <c r="K230" s="191" t="s">
        <v>1044</v>
      </c>
    </row>
    <row r="231" spans="11:11" x14ac:dyDescent="0.25">
      <c r="K231" s="191" t="s">
        <v>1045</v>
      </c>
    </row>
    <row r="232" spans="11:11" x14ac:dyDescent="0.25">
      <c r="K232" s="191" t="s">
        <v>1046</v>
      </c>
    </row>
    <row r="233" spans="11:11" x14ac:dyDescent="0.25">
      <c r="K233" s="191" t="s">
        <v>1047</v>
      </c>
    </row>
    <row r="234" spans="11:11" x14ac:dyDescent="0.25">
      <c r="K234" s="191" t="s">
        <v>1048</v>
      </c>
    </row>
    <row r="235" spans="11:11" x14ac:dyDescent="0.25">
      <c r="K235" s="191" t="s">
        <v>1049</v>
      </c>
    </row>
    <row r="236" spans="11:11" x14ac:dyDescent="0.25">
      <c r="K236" s="191" t="s">
        <v>1050</v>
      </c>
    </row>
    <row r="237" spans="11:11" x14ac:dyDescent="0.25">
      <c r="K237" s="191" t="s">
        <v>1051</v>
      </c>
    </row>
    <row r="238" spans="11:11" x14ac:dyDescent="0.25">
      <c r="K238" s="191" t="s">
        <v>1052</v>
      </c>
    </row>
    <row r="239" spans="11:11" x14ac:dyDescent="0.25">
      <c r="K239" s="191" t="s">
        <v>1053</v>
      </c>
    </row>
    <row r="240" spans="11:11" x14ac:dyDescent="0.25">
      <c r="K240" s="191" t="s">
        <v>1054</v>
      </c>
    </row>
    <row r="241" spans="11:11" x14ac:dyDescent="0.25">
      <c r="K241" s="191" t="s">
        <v>1055</v>
      </c>
    </row>
    <row r="242" spans="11:11" x14ac:dyDescent="0.25">
      <c r="K242" s="191" t="s">
        <v>1056</v>
      </c>
    </row>
    <row r="243" spans="11:11" x14ac:dyDescent="0.25">
      <c r="K243" s="191" t="s">
        <v>1057</v>
      </c>
    </row>
    <row r="244" spans="11:11" x14ac:dyDescent="0.25">
      <c r="K244" s="191" t="s">
        <v>1058</v>
      </c>
    </row>
    <row r="245" spans="11:11" x14ac:dyDescent="0.25">
      <c r="K245" s="191" t="s">
        <v>1059</v>
      </c>
    </row>
    <row r="246" spans="11:11" x14ac:dyDescent="0.25">
      <c r="K246" s="191" t="s">
        <v>1060</v>
      </c>
    </row>
    <row r="247" spans="11:11" x14ac:dyDescent="0.25">
      <c r="K247" s="191" t="s">
        <v>1061</v>
      </c>
    </row>
    <row r="248" spans="11:11" x14ac:dyDescent="0.25">
      <c r="K248" s="191" t="s">
        <v>1062</v>
      </c>
    </row>
    <row r="249" spans="11:11" x14ac:dyDescent="0.25">
      <c r="K249" s="191" t="s">
        <v>1063</v>
      </c>
    </row>
    <row r="250" spans="11:11" x14ac:dyDescent="0.25">
      <c r="K250" s="191" t="s">
        <v>1064</v>
      </c>
    </row>
    <row r="251" spans="11:11" x14ac:dyDescent="0.25">
      <c r="K251" s="191" t="s">
        <v>1065</v>
      </c>
    </row>
    <row r="252" spans="11:11" x14ac:dyDescent="0.25">
      <c r="K252" s="191" t="s">
        <v>1066</v>
      </c>
    </row>
    <row r="253" spans="11:11" x14ac:dyDescent="0.25">
      <c r="K253" s="191" t="s">
        <v>1067</v>
      </c>
    </row>
    <row r="254" spans="11:11" x14ac:dyDescent="0.25">
      <c r="K254" s="191" t="s">
        <v>1068</v>
      </c>
    </row>
    <row r="255" spans="11:11" x14ac:dyDescent="0.25">
      <c r="K255" s="191" t="s">
        <v>1069</v>
      </c>
    </row>
    <row r="256" spans="11:11" x14ac:dyDescent="0.25">
      <c r="K256" s="191" t="s">
        <v>1070</v>
      </c>
    </row>
    <row r="257" spans="11:11" x14ac:dyDescent="0.25">
      <c r="K257" s="191" t="s">
        <v>1071</v>
      </c>
    </row>
    <row r="258" spans="11:11" x14ac:dyDescent="0.25">
      <c r="K258" s="191" t="s">
        <v>1072</v>
      </c>
    </row>
    <row r="259" spans="11:11" x14ac:dyDescent="0.25">
      <c r="K259" s="191" t="s">
        <v>1073</v>
      </c>
    </row>
    <row r="260" spans="11:11" x14ac:dyDescent="0.25">
      <c r="K260" s="191" t="s">
        <v>1074</v>
      </c>
    </row>
    <row r="261" spans="11:11" x14ac:dyDescent="0.25">
      <c r="K261" s="191" t="s">
        <v>1075</v>
      </c>
    </row>
    <row r="262" spans="11:11" x14ac:dyDescent="0.25">
      <c r="K262" s="191" t="s">
        <v>1076</v>
      </c>
    </row>
    <row r="263" spans="11:11" x14ac:dyDescent="0.25">
      <c r="K263" s="191" t="s">
        <v>1077</v>
      </c>
    </row>
    <row r="264" spans="11:11" x14ac:dyDescent="0.25">
      <c r="K264" s="191" t="s">
        <v>1078</v>
      </c>
    </row>
    <row r="265" spans="11:11" x14ac:dyDescent="0.25">
      <c r="K265" s="191" t="s">
        <v>1079</v>
      </c>
    </row>
    <row r="266" spans="11:11" x14ac:dyDescent="0.25">
      <c r="K266" s="191" t="s">
        <v>1080</v>
      </c>
    </row>
    <row r="267" spans="11:11" x14ac:dyDescent="0.25">
      <c r="K267" s="191" t="s">
        <v>1081</v>
      </c>
    </row>
    <row r="268" spans="11:11" x14ac:dyDescent="0.25">
      <c r="K268" s="191" t="s">
        <v>1082</v>
      </c>
    </row>
    <row r="269" spans="11:11" x14ac:dyDescent="0.25">
      <c r="K269" s="191" t="s">
        <v>1083</v>
      </c>
    </row>
    <row r="270" spans="11:11" x14ac:dyDescent="0.25">
      <c r="K270" s="191" t="s">
        <v>1084</v>
      </c>
    </row>
    <row r="271" spans="11:11" x14ac:dyDescent="0.25">
      <c r="K271" s="191" t="s">
        <v>1085</v>
      </c>
    </row>
    <row r="272" spans="11:11" x14ac:dyDescent="0.25">
      <c r="K272" s="191" t="s">
        <v>1086</v>
      </c>
    </row>
    <row r="273" spans="11:11" x14ac:dyDescent="0.25">
      <c r="K273" s="191" t="s">
        <v>1087</v>
      </c>
    </row>
    <row r="274" spans="11:11" x14ac:dyDescent="0.25">
      <c r="K274" s="191" t="s">
        <v>1088</v>
      </c>
    </row>
    <row r="275" spans="11:11" x14ac:dyDescent="0.25">
      <c r="K275" s="191" t="s">
        <v>1089</v>
      </c>
    </row>
    <row r="276" spans="11:11" x14ac:dyDescent="0.25">
      <c r="K276" s="191" t="s">
        <v>1090</v>
      </c>
    </row>
    <row r="277" spans="11:11" x14ac:dyDescent="0.25">
      <c r="K277" s="191" t="s">
        <v>1091</v>
      </c>
    </row>
    <row r="278" spans="11:11" x14ac:dyDescent="0.25">
      <c r="K278" s="191" t="s">
        <v>1092</v>
      </c>
    </row>
    <row r="279" spans="11:11" x14ac:dyDescent="0.25">
      <c r="K279" s="191" t="s">
        <v>1093</v>
      </c>
    </row>
    <row r="280" spans="11:11" x14ac:dyDescent="0.25">
      <c r="K280" s="191" t="s">
        <v>1094</v>
      </c>
    </row>
    <row r="281" spans="11:11" x14ac:dyDescent="0.25">
      <c r="K281" s="191" t="s">
        <v>1095</v>
      </c>
    </row>
    <row r="282" spans="11:11" x14ac:dyDescent="0.25">
      <c r="K282" s="191" t="s">
        <v>1096</v>
      </c>
    </row>
    <row r="283" spans="11:11" x14ac:dyDescent="0.25">
      <c r="K283" s="191" t="s">
        <v>1097</v>
      </c>
    </row>
    <row r="284" spans="11:11" x14ac:dyDescent="0.25">
      <c r="K284" s="191" t="s">
        <v>1098</v>
      </c>
    </row>
    <row r="285" spans="11:11" x14ac:dyDescent="0.25">
      <c r="K285" s="191" t="s">
        <v>1099</v>
      </c>
    </row>
    <row r="286" spans="11:11" x14ac:dyDescent="0.25">
      <c r="K286" s="191" t="s">
        <v>1100</v>
      </c>
    </row>
    <row r="287" spans="11:11" x14ac:dyDescent="0.25">
      <c r="K287" s="191" t="s">
        <v>1101</v>
      </c>
    </row>
    <row r="288" spans="11:11" x14ac:dyDescent="0.25">
      <c r="K288" s="191" t="s">
        <v>1102</v>
      </c>
    </row>
    <row r="289" spans="11:11" x14ac:dyDescent="0.25">
      <c r="K289" s="191" t="s">
        <v>1103</v>
      </c>
    </row>
    <row r="290" spans="11:11" x14ac:dyDescent="0.25">
      <c r="K290" s="191" t="s">
        <v>1104</v>
      </c>
    </row>
    <row r="291" spans="11:11" x14ac:dyDescent="0.25">
      <c r="K291" s="191" t="s">
        <v>1105</v>
      </c>
    </row>
    <row r="292" spans="11:11" x14ac:dyDescent="0.25">
      <c r="K292" s="191" t="s">
        <v>1106</v>
      </c>
    </row>
    <row r="293" spans="11:11" x14ac:dyDescent="0.25">
      <c r="K293" s="191" t="s">
        <v>1107</v>
      </c>
    </row>
    <row r="294" spans="11:11" x14ac:dyDescent="0.25">
      <c r="K294" s="191" t="s">
        <v>1108</v>
      </c>
    </row>
    <row r="295" spans="11:11" x14ac:dyDescent="0.25">
      <c r="K295" s="191" t="s">
        <v>1109</v>
      </c>
    </row>
    <row r="296" spans="11:11" x14ac:dyDescent="0.25">
      <c r="K296" s="191" t="s">
        <v>1110</v>
      </c>
    </row>
    <row r="297" spans="11:11" x14ac:dyDescent="0.25">
      <c r="K297" s="191" t="s">
        <v>1111</v>
      </c>
    </row>
    <row r="298" spans="11:11" x14ac:dyDescent="0.25">
      <c r="K298" s="191" t="s">
        <v>1112</v>
      </c>
    </row>
    <row r="299" spans="11:11" x14ac:dyDescent="0.25">
      <c r="K299" s="191" t="s">
        <v>1113</v>
      </c>
    </row>
    <row r="300" spans="11:11" x14ac:dyDescent="0.25">
      <c r="K300" s="191" t="s">
        <v>1114</v>
      </c>
    </row>
    <row r="301" spans="11:11" x14ac:dyDescent="0.25">
      <c r="K301" s="191" t="s">
        <v>1115</v>
      </c>
    </row>
    <row r="302" spans="11:11" x14ac:dyDescent="0.25">
      <c r="K302" s="191" t="s">
        <v>1116</v>
      </c>
    </row>
    <row r="303" spans="11:11" x14ac:dyDescent="0.25">
      <c r="K303" s="191" t="s">
        <v>1117</v>
      </c>
    </row>
    <row r="304" spans="11:11" x14ac:dyDescent="0.25">
      <c r="K304" s="191" t="s">
        <v>1118</v>
      </c>
    </row>
    <row r="305" spans="11:11" x14ac:dyDescent="0.25">
      <c r="K305" s="191" t="s">
        <v>1119</v>
      </c>
    </row>
    <row r="306" spans="11:11" x14ac:dyDescent="0.25">
      <c r="K306" s="191" t="s">
        <v>1120</v>
      </c>
    </row>
    <row r="307" spans="11:11" x14ac:dyDescent="0.25">
      <c r="K307" s="191" t="s">
        <v>1121</v>
      </c>
    </row>
    <row r="308" spans="11:11" x14ac:dyDescent="0.25">
      <c r="K308" s="191" t="s">
        <v>1122</v>
      </c>
    </row>
    <row r="309" spans="11:11" x14ac:dyDescent="0.25">
      <c r="K309" s="191" t="s">
        <v>1123</v>
      </c>
    </row>
    <row r="310" spans="11:11" x14ac:dyDescent="0.25">
      <c r="K310" s="191" t="s">
        <v>1124</v>
      </c>
    </row>
    <row r="311" spans="11:11" x14ac:dyDescent="0.25">
      <c r="K311" s="191" t="s">
        <v>1125</v>
      </c>
    </row>
    <row r="312" spans="11:11" x14ac:dyDescent="0.25">
      <c r="K312" s="191" t="s">
        <v>1126</v>
      </c>
    </row>
    <row r="313" spans="11:11" x14ac:dyDescent="0.25">
      <c r="K313" s="191" t="s">
        <v>1127</v>
      </c>
    </row>
    <row r="314" spans="11:11" x14ac:dyDescent="0.25">
      <c r="K314" s="191" t="s">
        <v>1128</v>
      </c>
    </row>
    <row r="315" spans="11:11" x14ac:dyDescent="0.25">
      <c r="K315" s="191" t="s">
        <v>1129</v>
      </c>
    </row>
    <row r="316" spans="11:11" x14ac:dyDescent="0.25">
      <c r="K316" s="191" t="s">
        <v>1130</v>
      </c>
    </row>
    <row r="317" spans="11:11" x14ac:dyDescent="0.25">
      <c r="K317" s="191" t="s">
        <v>1131</v>
      </c>
    </row>
    <row r="318" spans="11:11" x14ac:dyDescent="0.25">
      <c r="K318" s="191" t="s">
        <v>1132</v>
      </c>
    </row>
    <row r="319" spans="11:11" x14ac:dyDescent="0.25">
      <c r="K319" s="191" t="s">
        <v>1133</v>
      </c>
    </row>
    <row r="320" spans="11:11" x14ac:dyDescent="0.25">
      <c r="K320" s="191" t="s">
        <v>1134</v>
      </c>
    </row>
    <row r="321" spans="11:11" x14ac:dyDescent="0.25">
      <c r="K321" s="191" t="s">
        <v>1135</v>
      </c>
    </row>
    <row r="322" spans="11:11" x14ac:dyDescent="0.25">
      <c r="K322" s="191" t="s">
        <v>1136</v>
      </c>
    </row>
    <row r="323" spans="11:11" x14ac:dyDescent="0.25">
      <c r="K323" s="191" t="s">
        <v>1137</v>
      </c>
    </row>
    <row r="324" spans="11:11" x14ac:dyDescent="0.25">
      <c r="K324" s="191" t="s">
        <v>1138</v>
      </c>
    </row>
    <row r="325" spans="11:11" x14ac:dyDescent="0.25">
      <c r="K325" s="191" t="s">
        <v>1139</v>
      </c>
    </row>
    <row r="326" spans="11:11" x14ac:dyDescent="0.25">
      <c r="K326" s="191" t="s">
        <v>1140</v>
      </c>
    </row>
    <row r="327" spans="11:11" x14ac:dyDescent="0.25">
      <c r="K327" s="191" t="s">
        <v>1141</v>
      </c>
    </row>
    <row r="328" spans="11:11" x14ac:dyDescent="0.25">
      <c r="K328" s="191" t="s">
        <v>1142</v>
      </c>
    </row>
    <row r="329" spans="11:11" x14ac:dyDescent="0.25">
      <c r="K329" s="191" t="s">
        <v>1143</v>
      </c>
    </row>
    <row r="330" spans="11:11" x14ac:dyDescent="0.25">
      <c r="K330" s="191" t="s">
        <v>1144</v>
      </c>
    </row>
    <row r="331" spans="11:11" x14ac:dyDescent="0.25">
      <c r="K331" s="191" t="s">
        <v>1145</v>
      </c>
    </row>
    <row r="332" spans="11:11" x14ac:dyDescent="0.25">
      <c r="K332" s="191" t="s">
        <v>1146</v>
      </c>
    </row>
    <row r="333" spans="11:11" x14ac:dyDescent="0.25">
      <c r="K333" s="191" t="s">
        <v>1147</v>
      </c>
    </row>
    <row r="334" spans="11:11" x14ac:dyDescent="0.25">
      <c r="K334" s="191" t="s">
        <v>1148</v>
      </c>
    </row>
    <row r="335" spans="11:11" x14ac:dyDescent="0.25">
      <c r="K335" s="191" t="s">
        <v>1149</v>
      </c>
    </row>
    <row r="336" spans="11:11" x14ac:dyDescent="0.25">
      <c r="K336" s="191" t="s">
        <v>1150</v>
      </c>
    </row>
    <row r="337" spans="11:11" x14ac:dyDescent="0.25">
      <c r="K337" s="191" t="s">
        <v>1151</v>
      </c>
    </row>
    <row r="338" spans="11:11" x14ac:dyDescent="0.25">
      <c r="K338" s="191" t="s">
        <v>1152</v>
      </c>
    </row>
    <row r="339" spans="11:11" x14ac:dyDescent="0.25">
      <c r="K339" s="191" t="s">
        <v>1153</v>
      </c>
    </row>
    <row r="340" spans="11:11" x14ac:dyDescent="0.25">
      <c r="K340" s="191" t="s">
        <v>1154</v>
      </c>
    </row>
    <row r="341" spans="11:11" x14ac:dyDescent="0.25">
      <c r="K341" s="191" t="s">
        <v>1155</v>
      </c>
    </row>
    <row r="342" spans="11:11" x14ac:dyDescent="0.25">
      <c r="K342" s="191" t="s">
        <v>1156</v>
      </c>
    </row>
    <row r="343" spans="11:11" x14ac:dyDescent="0.25">
      <c r="K343" s="191" t="s">
        <v>1157</v>
      </c>
    </row>
    <row r="344" spans="11:11" x14ac:dyDescent="0.25">
      <c r="K344" s="191" t="s">
        <v>1158</v>
      </c>
    </row>
    <row r="345" spans="11:11" x14ac:dyDescent="0.25">
      <c r="K345" s="191" t="s">
        <v>1159</v>
      </c>
    </row>
    <row r="346" spans="11:11" x14ac:dyDescent="0.25">
      <c r="K346" s="191" t="s">
        <v>1160</v>
      </c>
    </row>
    <row r="347" spans="11:11" x14ac:dyDescent="0.25">
      <c r="K347" s="191" t="s">
        <v>1161</v>
      </c>
    </row>
    <row r="348" spans="11:11" x14ac:dyDescent="0.25">
      <c r="K348" s="191" t="s">
        <v>1162</v>
      </c>
    </row>
    <row r="349" spans="11:11" x14ac:dyDescent="0.25">
      <c r="K349" s="191" t="s">
        <v>1163</v>
      </c>
    </row>
    <row r="350" spans="11:11" x14ac:dyDescent="0.25">
      <c r="K350" s="191" t="s">
        <v>1164</v>
      </c>
    </row>
    <row r="351" spans="11:11" x14ac:dyDescent="0.25">
      <c r="K351" s="191" t="s">
        <v>1165</v>
      </c>
    </row>
    <row r="352" spans="11:11" x14ac:dyDescent="0.25">
      <c r="K352" s="191" t="s">
        <v>1166</v>
      </c>
    </row>
    <row r="353" spans="11:11" x14ac:dyDescent="0.25">
      <c r="K353" s="191" t="s">
        <v>1167</v>
      </c>
    </row>
    <row r="354" spans="11:11" x14ac:dyDescent="0.25">
      <c r="K354" s="191" t="s">
        <v>1168</v>
      </c>
    </row>
    <row r="355" spans="11:11" x14ac:dyDescent="0.25">
      <c r="K355" s="191" t="s">
        <v>1169</v>
      </c>
    </row>
    <row r="356" spans="11:11" x14ac:dyDescent="0.25">
      <c r="K356" s="191" t="s">
        <v>1170</v>
      </c>
    </row>
    <row r="357" spans="11:11" x14ac:dyDescent="0.25">
      <c r="K357" s="191" t="s">
        <v>1171</v>
      </c>
    </row>
    <row r="358" spans="11:11" x14ac:dyDescent="0.25">
      <c r="K358" s="191" t="s">
        <v>1172</v>
      </c>
    </row>
    <row r="359" spans="11:11" x14ac:dyDescent="0.25">
      <c r="K359" s="191" t="s">
        <v>1173</v>
      </c>
    </row>
    <row r="360" spans="11:11" x14ac:dyDescent="0.25">
      <c r="K360" s="191" t="s">
        <v>1174</v>
      </c>
    </row>
    <row r="361" spans="11:11" x14ac:dyDescent="0.25">
      <c r="K361" s="191" t="s">
        <v>1175</v>
      </c>
    </row>
    <row r="362" spans="11:11" x14ac:dyDescent="0.25">
      <c r="K362" s="191" t="s">
        <v>1176</v>
      </c>
    </row>
    <row r="363" spans="11:11" x14ac:dyDescent="0.25">
      <c r="K363" s="191" t="s">
        <v>1177</v>
      </c>
    </row>
    <row r="364" spans="11:11" x14ac:dyDescent="0.25">
      <c r="K364" s="191" t="s">
        <v>1178</v>
      </c>
    </row>
    <row r="365" spans="11:11" x14ac:dyDescent="0.25">
      <c r="K365" s="191" t="s">
        <v>1179</v>
      </c>
    </row>
    <row r="366" spans="11:11" x14ac:dyDescent="0.25">
      <c r="K366" s="191" t="s">
        <v>1180</v>
      </c>
    </row>
    <row r="367" spans="11:11" x14ac:dyDescent="0.25">
      <c r="K367" s="191" t="s">
        <v>1181</v>
      </c>
    </row>
    <row r="368" spans="11:11" x14ac:dyDescent="0.25">
      <c r="K368" s="191" t="s">
        <v>1182</v>
      </c>
    </row>
    <row r="369" spans="11:11" x14ac:dyDescent="0.25">
      <c r="K369" s="191" t="s">
        <v>1183</v>
      </c>
    </row>
    <row r="370" spans="11:11" x14ac:dyDescent="0.25">
      <c r="K370" s="191" t="s">
        <v>1184</v>
      </c>
    </row>
    <row r="371" spans="11:11" x14ac:dyDescent="0.25">
      <c r="K371" s="191" t="s">
        <v>1185</v>
      </c>
    </row>
    <row r="372" spans="11:11" x14ac:dyDescent="0.25">
      <c r="K372" s="191" t="s">
        <v>1186</v>
      </c>
    </row>
    <row r="373" spans="11:11" x14ac:dyDescent="0.25">
      <c r="K373" s="191" t="s">
        <v>1187</v>
      </c>
    </row>
    <row r="374" spans="11:11" x14ac:dyDescent="0.25">
      <c r="K374" s="191" t="s">
        <v>1188</v>
      </c>
    </row>
    <row r="375" spans="11:11" x14ac:dyDescent="0.25">
      <c r="K375" s="191" t="s">
        <v>1189</v>
      </c>
    </row>
    <row r="376" spans="11:11" x14ac:dyDescent="0.25">
      <c r="K376" s="191" t="s">
        <v>1190</v>
      </c>
    </row>
    <row r="377" spans="11:11" x14ac:dyDescent="0.25">
      <c r="K377" s="191" t="s">
        <v>1191</v>
      </c>
    </row>
    <row r="378" spans="11:11" x14ac:dyDescent="0.25">
      <c r="K378" s="191" t="s">
        <v>1192</v>
      </c>
    </row>
    <row r="379" spans="11:11" x14ac:dyDescent="0.25">
      <c r="K379" s="191" t="s">
        <v>1193</v>
      </c>
    </row>
    <row r="380" spans="11:11" x14ac:dyDescent="0.25">
      <c r="K380" s="191" t="s">
        <v>1194</v>
      </c>
    </row>
    <row r="381" spans="11:11" x14ac:dyDescent="0.25">
      <c r="K381" s="191" t="s">
        <v>1195</v>
      </c>
    </row>
    <row r="382" spans="11:11" x14ac:dyDescent="0.25">
      <c r="K382" s="191" t="s">
        <v>1196</v>
      </c>
    </row>
    <row r="383" spans="11:11" x14ac:dyDescent="0.25">
      <c r="K383" s="191" t="s">
        <v>1197</v>
      </c>
    </row>
    <row r="384" spans="11:11" x14ac:dyDescent="0.25">
      <c r="K384" s="191" t="s">
        <v>1198</v>
      </c>
    </row>
    <row r="385" spans="11:11" x14ac:dyDescent="0.25">
      <c r="K385" s="191" t="s">
        <v>1199</v>
      </c>
    </row>
    <row r="386" spans="11:11" x14ac:dyDescent="0.25">
      <c r="K386" s="191" t="s">
        <v>1200</v>
      </c>
    </row>
    <row r="387" spans="11:11" x14ac:dyDescent="0.25">
      <c r="K387" s="191" t="s">
        <v>1201</v>
      </c>
    </row>
    <row r="388" spans="11:11" x14ac:dyDescent="0.25">
      <c r="K388" s="191" t="s">
        <v>1202</v>
      </c>
    </row>
    <row r="389" spans="11:11" x14ac:dyDescent="0.25">
      <c r="K389" s="191" t="s">
        <v>1203</v>
      </c>
    </row>
    <row r="390" spans="11:11" x14ac:dyDescent="0.25">
      <c r="K390" s="191" t="s">
        <v>1204</v>
      </c>
    </row>
    <row r="391" spans="11:11" x14ac:dyDescent="0.25">
      <c r="K391" s="191" t="s">
        <v>1205</v>
      </c>
    </row>
    <row r="392" spans="11:11" x14ac:dyDescent="0.25">
      <c r="K392" s="191" t="s">
        <v>1206</v>
      </c>
    </row>
    <row r="393" spans="11:11" x14ac:dyDescent="0.25">
      <c r="K393" s="191" t="s">
        <v>1207</v>
      </c>
    </row>
    <row r="394" spans="11:11" x14ac:dyDescent="0.25">
      <c r="K394" s="191" t="s">
        <v>1208</v>
      </c>
    </row>
    <row r="395" spans="11:11" x14ac:dyDescent="0.25">
      <c r="K395" s="191" t="s">
        <v>1209</v>
      </c>
    </row>
    <row r="396" spans="11:11" x14ac:dyDescent="0.25">
      <c r="K396" s="191" t="s">
        <v>1210</v>
      </c>
    </row>
    <row r="397" spans="11:11" x14ac:dyDescent="0.25">
      <c r="K397" s="191" t="s">
        <v>1211</v>
      </c>
    </row>
    <row r="398" spans="11:11" x14ac:dyDescent="0.25">
      <c r="K398" s="191" t="s">
        <v>1212</v>
      </c>
    </row>
    <row r="399" spans="11:11" x14ac:dyDescent="0.25">
      <c r="K399" s="191" t="s">
        <v>1213</v>
      </c>
    </row>
    <row r="400" spans="11:11" x14ac:dyDescent="0.25">
      <c r="K400" s="191" t="s">
        <v>1214</v>
      </c>
    </row>
    <row r="401" spans="11:11" x14ac:dyDescent="0.25">
      <c r="K401" s="191" t="s">
        <v>1215</v>
      </c>
    </row>
    <row r="402" spans="11:11" x14ac:dyDescent="0.25">
      <c r="K402" s="191" t="s">
        <v>1216</v>
      </c>
    </row>
    <row r="403" spans="11:11" x14ac:dyDescent="0.25">
      <c r="K403" s="191" t="s">
        <v>1217</v>
      </c>
    </row>
    <row r="404" spans="11:11" x14ac:dyDescent="0.25">
      <c r="K404" s="191" t="s">
        <v>1218</v>
      </c>
    </row>
    <row r="405" spans="11:11" x14ac:dyDescent="0.25">
      <c r="K405" s="191" t="s">
        <v>1219</v>
      </c>
    </row>
    <row r="406" spans="11:11" x14ac:dyDescent="0.25">
      <c r="K406" s="191" t="s">
        <v>1220</v>
      </c>
    </row>
    <row r="407" spans="11:11" x14ac:dyDescent="0.25">
      <c r="K407" s="191" t="s">
        <v>1221</v>
      </c>
    </row>
    <row r="408" spans="11:11" x14ac:dyDescent="0.25">
      <c r="K408" s="191" t="s">
        <v>1222</v>
      </c>
    </row>
    <row r="409" spans="11:11" x14ac:dyDescent="0.25">
      <c r="K409" s="191" t="s">
        <v>1223</v>
      </c>
    </row>
    <row r="410" spans="11:11" x14ac:dyDescent="0.25">
      <c r="K410" s="191" t="s">
        <v>1224</v>
      </c>
    </row>
    <row r="411" spans="11:11" x14ac:dyDescent="0.25">
      <c r="K411" s="191" t="s">
        <v>1225</v>
      </c>
    </row>
    <row r="412" spans="11:11" x14ac:dyDescent="0.25">
      <c r="K412" s="191" t="s">
        <v>1226</v>
      </c>
    </row>
    <row r="413" spans="11:11" x14ac:dyDescent="0.25">
      <c r="K413" s="191" t="s">
        <v>1227</v>
      </c>
    </row>
    <row r="414" spans="11:11" x14ac:dyDescent="0.25">
      <c r="K414" s="191" t="s">
        <v>1228</v>
      </c>
    </row>
    <row r="415" spans="11:11" x14ac:dyDescent="0.25">
      <c r="K415" s="191" t="s">
        <v>1229</v>
      </c>
    </row>
    <row r="416" spans="11:11" x14ac:dyDescent="0.25">
      <c r="K416" s="191" t="s">
        <v>1230</v>
      </c>
    </row>
    <row r="417" spans="11:11" x14ac:dyDescent="0.25">
      <c r="K417" s="191" t="s">
        <v>1231</v>
      </c>
    </row>
    <row r="418" spans="11:11" x14ac:dyDescent="0.25">
      <c r="K418" s="191" t="s">
        <v>1232</v>
      </c>
    </row>
    <row r="419" spans="11:11" x14ac:dyDescent="0.25">
      <c r="K419" s="191" t="s">
        <v>1233</v>
      </c>
    </row>
    <row r="420" spans="11:11" x14ac:dyDescent="0.25">
      <c r="K420" s="191" t="s">
        <v>1234</v>
      </c>
    </row>
    <row r="421" spans="11:11" x14ac:dyDescent="0.25">
      <c r="K421" s="191" t="s">
        <v>1235</v>
      </c>
    </row>
    <row r="422" spans="11:11" x14ac:dyDescent="0.25">
      <c r="K422" s="191" t="s">
        <v>1236</v>
      </c>
    </row>
    <row r="423" spans="11:11" x14ac:dyDescent="0.25">
      <c r="K423" s="191" t="s">
        <v>1237</v>
      </c>
    </row>
    <row r="424" spans="11:11" x14ac:dyDescent="0.25">
      <c r="K424" s="191" t="s">
        <v>1238</v>
      </c>
    </row>
    <row r="425" spans="11:11" x14ac:dyDescent="0.25">
      <c r="K425" s="191" t="s">
        <v>1239</v>
      </c>
    </row>
    <row r="426" spans="11:11" x14ac:dyDescent="0.25">
      <c r="K426" s="191" t="s">
        <v>1240</v>
      </c>
    </row>
    <row r="427" spans="11:11" x14ac:dyDescent="0.25">
      <c r="K427" s="191" t="s">
        <v>1241</v>
      </c>
    </row>
    <row r="428" spans="11:11" x14ac:dyDescent="0.25">
      <c r="K428" s="191" t="s">
        <v>1242</v>
      </c>
    </row>
    <row r="429" spans="11:11" x14ac:dyDescent="0.25">
      <c r="K429" s="191" t="s">
        <v>1243</v>
      </c>
    </row>
    <row r="430" spans="11:11" x14ac:dyDescent="0.25">
      <c r="K430" s="191" t="s">
        <v>1244</v>
      </c>
    </row>
    <row r="431" spans="11:11" x14ac:dyDescent="0.25">
      <c r="K431" s="191" t="s">
        <v>1245</v>
      </c>
    </row>
    <row r="432" spans="11:11" x14ac:dyDescent="0.25">
      <c r="K432" s="191" t="s">
        <v>1246</v>
      </c>
    </row>
    <row r="433" spans="11:11" x14ac:dyDescent="0.25">
      <c r="K433" s="191" t="s">
        <v>1247</v>
      </c>
    </row>
    <row r="434" spans="11:11" x14ac:dyDescent="0.25">
      <c r="K434" s="191" t="s">
        <v>1248</v>
      </c>
    </row>
    <row r="435" spans="11:11" x14ac:dyDescent="0.25">
      <c r="K435" s="191" t="s">
        <v>1249</v>
      </c>
    </row>
    <row r="436" spans="11:11" x14ac:dyDescent="0.25">
      <c r="K436" s="191" t="s">
        <v>1250</v>
      </c>
    </row>
    <row r="437" spans="11:11" x14ac:dyDescent="0.25">
      <c r="K437" s="191" t="s">
        <v>1251</v>
      </c>
    </row>
    <row r="438" spans="11:11" x14ac:dyDescent="0.25">
      <c r="K438" s="191" t="s">
        <v>1252</v>
      </c>
    </row>
    <row r="439" spans="11:11" x14ac:dyDescent="0.25">
      <c r="K439" s="191" t="s">
        <v>1253</v>
      </c>
    </row>
    <row r="440" spans="11:11" x14ac:dyDescent="0.25">
      <c r="K440" s="191" t="s">
        <v>1254</v>
      </c>
    </row>
    <row r="441" spans="11:11" x14ac:dyDescent="0.25">
      <c r="K441" s="191" t="s">
        <v>1255</v>
      </c>
    </row>
    <row r="442" spans="11:11" x14ac:dyDescent="0.25">
      <c r="K442" s="191" t="s">
        <v>1256</v>
      </c>
    </row>
    <row r="443" spans="11:11" x14ac:dyDescent="0.25">
      <c r="K443" s="191" t="s">
        <v>1257</v>
      </c>
    </row>
    <row r="444" spans="11:11" x14ac:dyDescent="0.25">
      <c r="K444" s="191" t="s">
        <v>1258</v>
      </c>
    </row>
    <row r="445" spans="11:11" x14ac:dyDescent="0.25">
      <c r="K445" s="191" t="s">
        <v>1259</v>
      </c>
    </row>
    <row r="446" spans="11:11" x14ac:dyDescent="0.25">
      <c r="K446" s="191" t="s">
        <v>1260</v>
      </c>
    </row>
    <row r="447" spans="11:11" x14ac:dyDescent="0.25">
      <c r="K447" s="191" t="s">
        <v>1261</v>
      </c>
    </row>
    <row r="448" spans="11:11" x14ac:dyDescent="0.25">
      <c r="K448" s="191" t="s">
        <v>1262</v>
      </c>
    </row>
    <row r="449" spans="11:11" x14ac:dyDescent="0.25">
      <c r="K449" s="191" t="s">
        <v>1263</v>
      </c>
    </row>
    <row r="450" spans="11:11" x14ac:dyDescent="0.25">
      <c r="K450" s="191" t="s">
        <v>1264</v>
      </c>
    </row>
    <row r="451" spans="11:11" x14ac:dyDescent="0.25">
      <c r="K451" s="191" t="s">
        <v>1265</v>
      </c>
    </row>
    <row r="452" spans="11:11" x14ac:dyDescent="0.25">
      <c r="K452" s="191" t="s">
        <v>1266</v>
      </c>
    </row>
    <row r="453" spans="11:11" x14ac:dyDescent="0.25">
      <c r="K453" s="191" t="s">
        <v>1267</v>
      </c>
    </row>
    <row r="454" spans="11:11" x14ac:dyDescent="0.25">
      <c r="K454" s="191" t="s">
        <v>1268</v>
      </c>
    </row>
    <row r="455" spans="11:11" x14ac:dyDescent="0.25">
      <c r="K455" s="191" t="s">
        <v>1269</v>
      </c>
    </row>
    <row r="456" spans="11:11" x14ac:dyDescent="0.25">
      <c r="K456" s="191" t="s">
        <v>1270</v>
      </c>
    </row>
    <row r="457" spans="11:11" x14ac:dyDescent="0.25">
      <c r="K457" s="191" t="s">
        <v>1271</v>
      </c>
    </row>
    <row r="458" spans="11:11" x14ac:dyDescent="0.25">
      <c r="K458" s="191" t="s">
        <v>1272</v>
      </c>
    </row>
    <row r="459" spans="11:11" x14ac:dyDescent="0.25">
      <c r="K459" s="191" t="s">
        <v>1273</v>
      </c>
    </row>
    <row r="460" spans="11:11" x14ac:dyDescent="0.25">
      <c r="K460" s="191" t="s">
        <v>1274</v>
      </c>
    </row>
    <row r="461" spans="11:11" x14ac:dyDescent="0.25">
      <c r="K461" s="191" t="s">
        <v>1275</v>
      </c>
    </row>
    <row r="462" spans="11:11" x14ac:dyDescent="0.25">
      <c r="K462" s="191" t="s">
        <v>1276</v>
      </c>
    </row>
    <row r="463" spans="11:11" x14ac:dyDescent="0.25">
      <c r="K463" s="191" t="s">
        <v>1277</v>
      </c>
    </row>
    <row r="464" spans="11:11" x14ac:dyDescent="0.25">
      <c r="K464" s="191" t="s">
        <v>1278</v>
      </c>
    </row>
    <row r="465" spans="11:11" x14ac:dyDescent="0.25">
      <c r="K465" s="191" t="s">
        <v>1279</v>
      </c>
    </row>
    <row r="466" spans="11:11" x14ac:dyDescent="0.25">
      <c r="K466" s="191" t="s">
        <v>1280</v>
      </c>
    </row>
    <row r="467" spans="11:11" x14ac:dyDescent="0.25">
      <c r="K467" s="191" t="s">
        <v>1281</v>
      </c>
    </row>
    <row r="468" spans="11:11" x14ac:dyDescent="0.25">
      <c r="K468" s="191" t="s">
        <v>1282</v>
      </c>
    </row>
    <row r="469" spans="11:11" x14ac:dyDescent="0.25">
      <c r="K469" s="191" t="s">
        <v>1283</v>
      </c>
    </row>
    <row r="470" spans="11:11" x14ac:dyDescent="0.25">
      <c r="K470" s="191" t="s">
        <v>1284</v>
      </c>
    </row>
    <row r="471" spans="11:11" x14ac:dyDescent="0.25">
      <c r="K471" s="191" t="s">
        <v>1285</v>
      </c>
    </row>
    <row r="472" spans="11:11" x14ac:dyDescent="0.25">
      <c r="K472" s="191" t="s">
        <v>1286</v>
      </c>
    </row>
    <row r="473" spans="11:11" x14ac:dyDescent="0.25">
      <c r="K473" s="191" t="s">
        <v>1287</v>
      </c>
    </row>
    <row r="474" spans="11:11" x14ac:dyDescent="0.25">
      <c r="K474" s="191" t="s">
        <v>1288</v>
      </c>
    </row>
    <row r="475" spans="11:11" x14ac:dyDescent="0.25">
      <c r="K475" s="191" t="s">
        <v>1289</v>
      </c>
    </row>
    <row r="476" spans="11:11" x14ac:dyDescent="0.25">
      <c r="K476" s="191" t="s">
        <v>1290</v>
      </c>
    </row>
    <row r="477" spans="11:11" x14ac:dyDescent="0.25">
      <c r="K477" s="191" t="s">
        <v>1291</v>
      </c>
    </row>
    <row r="478" spans="11:11" x14ac:dyDescent="0.25">
      <c r="K478" s="191" t="s">
        <v>1292</v>
      </c>
    </row>
    <row r="479" spans="11:11" x14ac:dyDescent="0.25">
      <c r="K479" s="191" t="s">
        <v>1293</v>
      </c>
    </row>
    <row r="480" spans="11:11" x14ac:dyDescent="0.25">
      <c r="K480" s="191" t="s">
        <v>1294</v>
      </c>
    </row>
    <row r="481" spans="11:11" x14ac:dyDescent="0.25">
      <c r="K481" s="191" t="s">
        <v>1295</v>
      </c>
    </row>
    <row r="482" spans="11:11" x14ac:dyDescent="0.25">
      <c r="K482" s="191" t="s">
        <v>1296</v>
      </c>
    </row>
    <row r="483" spans="11:11" x14ac:dyDescent="0.25">
      <c r="K483" s="191" t="s">
        <v>1297</v>
      </c>
    </row>
    <row r="484" spans="11:11" x14ac:dyDescent="0.25">
      <c r="K484" s="191" t="s">
        <v>1298</v>
      </c>
    </row>
    <row r="485" spans="11:11" x14ac:dyDescent="0.25">
      <c r="K485" s="191" t="s">
        <v>1299</v>
      </c>
    </row>
    <row r="486" spans="11:11" x14ac:dyDescent="0.25">
      <c r="K486" s="191" t="s">
        <v>1300</v>
      </c>
    </row>
    <row r="487" spans="11:11" x14ac:dyDescent="0.25">
      <c r="K487" s="191" t="s">
        <v>1301</v>
      </c>
    </row>
    <row r="488" spans="11:11" x14ac:dyDescent="0.25">
      <c r="K488" s="191" t="s">
        <v>1302</v>
      </c>
    </row>
    <row r="489" spans="11:11" x14ac:dyDescent="0.25">
      <c r="K489" s="191" t="s">
        <v>1303</v>
      </c>
    </row>
    <row r="490" spans="11:11" x14ac:dyDescent="0.25">
      <c r="K490" s="191" t="s">
        <v>1304</v>
      </c>
    </row>
    <row r="491" spans="11:11" x14ac:dyDescent="0.25">
      <c r="K491" s="191" t="s">
        <v>1305</v>
      </c>
    </row>
    <row r="492" spans="11:11" x14ac:dyDescent="0.25">
      <c r="K492" s="191" t="s">
        <v>1306</v>
      </c>
    </row>
    <row r="493" spans="11:11" x14ac:dyDescent="0.25">
      <c r="K493" s="191" t="s">
        <v>1307</v>
      </c>
    </row>
    <row r="494" spans="11:11" x14ac:dyDescent="0.25">
      <c r="K494" s="191" t="s">
        <v>1308</v>
      </c>
    </row>
    <row r="495" spans="11:11" x14ac:dyDescent="0.25">
      <c r="K495" s="191" t="s">
        <v>1309</v>
      </c>
    </row>
    <row r="496" spans="11:11" x14ac:dyDescent="0.25">
      <c r="K496" s="191" t="s">
        <v>1310</v>
      </c>
    </row>
    <row r="497" spans="11:11" x14ac:dyDescent="0.25">
      <c r="K497" s="191" t="s">
        <v>1311</v>
      </c>
    </row>
    <row r="498" spans="11:11" x14ac:dyDescent="0.25">
      <c r="K498" s="191" t="s">
        <v>1312</v>
      </c>
    </row>
    <row r="499" spans="11:11" x14ac:dyDescent="0.25">
      <c r="K499" s="191" t="s">
        <v>1313</v>
      </c>
    </row>
    <row r="500" spans="11:11" x14ac:dyDescent="0.25">
      <c r="K500" s="191" t="s">
        <v>1314</v>
      </c>
    </row>
    <row r="501" spans="11:11" x14ac:dyDescent="0.25">
      <c r="K501" s="191" t="s">
        <v>1315</v>
      </c>
    </row>
    <row r="502" spans="11:11" x14ac:dyDescent="0.25">
      <c r="K502" s="191" t="s">
        <v>1316</v>
      </c>
    </row>
    <row r="503" spans="11:11" x14ac:dyDescent="0.25">
      <c r="K503" s="191" t="s">
        <v>1317</v>
      </c>
    </row>
    <row r="504" spans="11:11" x14ac:dyDescent="0.25">
      <c r="K504" s="191" t="s">
        <v>1318</v>
      </c>
    </row>
    <row r="505" spans="11:11" x14ac:dyDescent="0.25">
      <c r="K505" s="191" t="s">
        <v>1319</v>
      </c>
    </row>
    <row r="506" spans="11:11" x14ac:dyDescent="0.25">
      <c r="K506" s="191" t="s">
        <v>1320</v>
      </c>
    </row>
    <row r="507" spans="11:11" x14ac:dyDescent="0.25">
      <c r="K507" s="191" t="s">
        <v>1321</v>
      </c>
    </row>
    <row r="508" spans="11:11" x14ac:dyDescent="0.25">
      <c r="K508" s="191" t="s">
        <v>1322</v>
      </c>
    </row>
    <row r="509" spans="11:11" x14ac:dyDescent="0.25">
      <c r="K509" s="191" t="s">
        <v>1323</v>
      </c>
    </row>
    <row r="510" spans="11:11" x14ac:dyDescent="0.25">
      <c r="K510" s="191" t="s">
        <v>1324</v>
      </c>
    </row>
    <row r="511" spans="11:11" x14ac:dyDescent="0.25">
      <c r="K511" s="191" t="s">
        <v>1325</v>
      </c>
    </row>
    <row r="512" spans="11:11" x14ac:dyDescent="0.25">
      <c r="K512" s="191" t="s">
        <v>1326</v>
      </c>
    </row>
    <row r="513" spans="11:11" x14ac:dyDescent="0.25">
      <c r="K513" s="191" t="s">
        <v>1327</v>
      </c>
    </row>
    <row r="514" spans="11:11" x14ac:dyDescent="0.25">
      <c r="K514" s="191" t="s">
        <v>1328</v>
      </c>
    </row>
    <row r="515" spans="11:11" x14ac:dyDescent="0.25">
      <c r="K515" s="191" t="s">
        <v>1329</v>
      </c>
    </row>
    <row r="516" spans="11:11" x14ac:dyDescent="0.25">
      <c r="K516" s="191" t="s">
        <v>1330</v>
      </c>
    </row>
    <row r="517" spans="11:11" x14ac:dyDescent="0.25">
      <c r="K517" s="191" t="s">
        <v>1331</v>
      </c>
    </row>
    <row r="518" spans="11:11" x14ac:dyDescent="0.25">
      <c r="K518" s="191" t="s">
        <v>1332</v>
      </c>
    </row>
    <row r="519" spans="11:11" x14ac:dyDescent="0.25">
      <c r="K519" s="191" t="s">
        <v>1333</v>
      </c>
    </row>
    <row r="520" spans="11:11" x14ac:dyDescent="0.25">
      <c r="K520" s="191" t="s">
        <v>1334</v>
      </c>
    </row>
    <row r="521" spans="11:11" x14ac:dyDescent="0.25">
      <c r="K521" s="191" t="s">
        <v>1335</v>
      </c>
    </row>
    <row r="522" spans="11:11" x14ac:dyDescent="0.25">
      <c r="K522" s="191" t="s">
        <v>1336</v>
      </c>
    </row>
    <row r="523" spans="11:11" x14ac:dyDescent="0.25">
      <c r="K523" s="191" t="s">
        <v>1337</v>
      </c>
    </row>
    <row r="524" spans="11:11" x14ac:dyDescent="0.25">
      <c r="K524" s="191" t="s">
        <v>1338</v>
      </c>
    </row>
    <row r="525" spans="11:11" x14ac:dyDescent="0.25">
      <c r="K525" s="191" t="s">
        <v>1339</v>
      </c>
    </row>
    <row r="526" spans="11:11" x14ac:dyDescent="0.25">
      <c r="K526" s="191" t="s">
        <v>1340</v>
      </c>
    </row>
    <row r="527" spans="11:11" x14ac:dyDescent="0.25">
      <c r="K527" s="191" t="s">
        <v>1341</v>
      </c>
    </row>
    <row r="528" spans="11:11" x14ac:dyDescent="0.25">
      <c r="K528" s="191" t="s">
        <v>1342</v>
      </c>
    </row>
    <row r="529" spans="11:11" x14ac:dyDescent="0.25">
      <c r="K529" s="191" t="s">
        <v>1343</v>
      </c>
    </row>
    <row r="530" spans="11:11" x14ac:dyDescent="0.25">
      <c r="K530" s="191" t="s">
        <v>1344</v>
      </c>
    </row>
    <row r="531" spans="11:11" x14ac:dyDescent="0.25">
      <c r="K531" s="191" t="s">
        <v>1345</v>
      </c>
    </row>
    <row r="532" spans="11:11" x14ac:dyDescent="0.25">
      <c r="K532" s="191" t="s">
        <v>1346</v>
      </c>
    </row>
    <row r="533" spans="11:11" x14ac:dyDescent="0.25">
      <c r="K533" s="191" t="s">
        <v>1347</v>
      </c>
    </row>
    <row r="534" spans="11:11" x14ac:dyDescent="0.25">
      <c r="K534" s="191" t="s">
        <v>1348</v>
      </c>
    </row>
    <row r="535" spans="11:11" x14ac:dyDescent="0.25">
      <c r="K535" s="191" t="s">
        <v>1349</v>
      </c>
    </row>
    <row r="536" spans="11:11" x14ac:dyDescent="0.25">
      <c r="K536" s="191" t="s">
        <v>1350</v>
      </c>
    </row>
    <row r="537" spans="11:11" x14ac:dyDescent="0.25">
      <c r="K537" s="191" t="s">
        <v>1351</v>
      </c>
    </row>
    <row r="538" spans="11:11" x14ac:dyDescent="0.25">
      <c r="K538" s="191" t="s">
        <v>1352</v>
      </c>
    </row>
    <row r="539" spans="11:11" x14ac:dyDescent="0.25">
      <c r="K539" s="191" t="s">
        <v>1353</v>
      </c>
    </row>
    <row r="540" spans="11:11" x14ac:dyDescent="0.25">
      <c r="K540" s="191" t="s">
        <v>1354</v>
      </c>
    </row>
    <row r="541" spans="11:11" x14ac:dyDescent="0.25">
      <c r="K541" s="191" t="s">
        <v>1355</v>
      </c>
    </row>
    <row r="542" spans="11:11" x14ac:dyDescent="0.25">
      <c r="K542" s="191" t="s">
        <v>1356</v>
      </c>
    </row>
    <row r="543" spans="11:11" x14ac:dyDescent="0.25">
      <c r="K543" s="191" t="s">
        <v>1357</v>
      </c>
    </row>
    <row r="544" spans="11:11" x14ac:dyDescent="0.25">
      <c r="K544" s="191" t="s">
        <v>1358</v>
      </c>
    </row>
    <row r="545" spans="11:11" x14ac:dyDescent="0.25">
      <c r="K545" s="191" t="s">
        <v>1359</v>
      </c>
    </row>
    <row r="546" spans="11:11" x14ac:dyDescent="0.25">
      <c r="K546" s="191" t="s">
        <v>1360</v>
      </c>
    </row>
    <row r="547" spans="11:11" x14ac:dyDescent="0.25">
      <c r="K547" s="191" t="s">
        <v>1361</v>
      </c>
    </row>
    <row r="548" spans="11:11" x14ac:dyDescent="0.25">
      <c r="K548" s="191" t="s">
        <v>1362</v>
      </c>
    </row>
    <row r="549" spans="11:11" x14ac:dyDescent="0.25">
      <c r="K549" s="191" t="s">
        <v>1363</v>
      </c>
    </row>
    <row r="550" spans="11:11" x14ac:dyDescent="0.25">
      <c r="K550" s="191" t="s">
        <v>1364</v>
      </c>
    </row>
    <row r="551" spans="11:11" x14ac:dyDescent="0.25">
      <c r="K551" s="191" t="s">
        <v>1365</v>
      </c>
    </row>
    <row r="552" spans="11:11" x14ac:dyDescent="0.25">
      <c r="K552" s="191" t="s">
        <v>1366</v>
      </c>
    </row>
    <row r="553" spans="11:11" x14ac:dyDescent="0.25">
      <c r="K553" s="191" t="s">
        <v>1367</v>
      </c>
    </row>
    <row r="554" spans="11:11" x14ac:dyDescent="0.25">
      <c r="K554" s="191" t="s">
        <v>1368</v>
      </c>
    </row>
    <row r="555" spans="11:11" x14ac:dyDescent="0.25">
      <c r="K555" s="191" t="s">
        <v>1369</v>
      </c>
    </row>
    <row r="556" spans="11:11" x14ac:dyDescent="0.25">
      <c r="K556" s="191" t="s">
        <v>1370</v>
      </c>
    </row>
    <row r="557" spans="11:11" x14ac:dyDescent="0.25">
      <c r="K557" s="191" t="s">
        <v>1371</v>
      </c>
    </row>
    <row r="558" spans="11:11" x14ac:dyDescent="0.25">
      <c r="K558" s="191" t="s">
        <v>1372</v>
      </c>
    </row>
    <row r="559" spans="11:11" x14ac:dyDescent="0.25">
      <c r="K559" s="191" t="s">
        <v>1373</v>
      </c>
    </row>
    <row r="560" spans="11:11" x14ac:dyDescent="0.25">
      <c r="K560" s="191" t="s">
        <v>1374</v>
      </c>
    </row>
    <row r="561" spans="11:11" x14ac:dyDescent="0.25">
      <c r="K561" s="191" t="s">
        <v>1375</v>
      </c>
    </row>
    <row r="562" spans="11:11" x14ac:dyDescent="0.25">
      <c r="K562" s="191" t="s">
        <v>1376</v>
      </c>
    </row>
    <row r="563" spans="11:11" x14ac:dyDescent="0.25">
      <c r="K563" s="191" t="s">
        <v>1377</v>
      </c>
    </row>
    <row r="564" spans="11:11" x14ac:dyDescent="0.25">
      <c r="K564" s="191" t="s">
        <v>1378</v>
      </c>
    </row>
    <row r="565" spans="11:11" x14ac:dyDescent="0.25">
      <c r="K565" s="191" t="s">
        <v>1379</v>
      </c>
    </row>
    <row r="566" spans="11:11" x14ac:dyDescent="0.25">
      <c r="K566" s="191" t="s">
        <v>1380</v>
      </c>
    </row>
    <row r="567" spans="11:11" x14ac:dyDescent="0.25">
      <c r="K567" s="191" t="s">
        <v>1381</v>
      </c>
    </row>
    <row r="568" spans="11:11" x14ac:dyDescent="0.25">
      <c r="K568" s="191" t="s">
        <v>1382</v>
      </c>
    </row>
    <row r="569" spans="11:11" x14ac:dyDescent="0.25">
      <c r="K569" s="191" t="s">
        <v>1383</v>
      </c>
    </row>
    <row r="570" spans="11:11" x14ac:dyDescent="0.25">
      <c r="K570" s="191" t="s">
        <v>1384</v>
      </c>
    </row>
    <row r="571" spans="11:11" x14ac:dyDescent="0.25">
      <c r="K571" s="191" t="s">
        <v>1385</v>
      </c>
    </row>
    <row r="572" spans="11:11" x14ac:dyDescent="0.25">
      <c r="K572" s="191" t="s">
        <v>1386</v>
      </c>
    </row>
    <row r="573" spans="11:11" x14ac:dyDescent="0.25">
      <c r="K573" s="191" t="s">
        <v>1387</v>
      </c>
    </row>
    <row r="574" spans="11:11" x14ac:dyDescent="0.25">
      <c r="K574" s="191" t="s">
        <v>1388</v>
      </c>
    </row>
    <row r="575" spans="11:11" x14ac:dyDescent="0.25">
      <c r="K575" s="191" t="s">
        <v>1389</v>
      </c>
    </row>
    <row r="576" spans="11:11" x14ac:dyDescent="0.25">
      <c r="K576" s="191" t="s">
        <v>1390</v>
      </c>
    </row>
    <row r="577" spans="11:11" x14ac:dyDescent="0.25">
      <c r="K577" s="191" t="s">
        <v>1391</v>
      </c>
    </row>
    <row r="578" spans="11:11" x14ac:dyDescent="0.25">
      <c r="K578" s="191" t="s">
        <v>1392</v>
      </c>
    </row>
    <row r="579" spans="11:11" x14ac:dyDescent="0.25">
      <c r="K579" s="191" t="s">
        <v>1393</v>
      </c>
    </row>
    <row r="580" spans="11:11" x14ac:dyDescent="0.25">
      <c r="K580" s="191" t="s">
        <v>1394</v>
      </c>
    </row>
    <row r="581" spans="11:11" x14ac:dyDescent="0.25">
      <c r="K581" s="191" t="s">
        <v>1395</v>
      </c>
    </row>
    <row r="582" spans="11:11" x14ac:dyDescent="0.25">
      <c r="K582" s="191" t="s">
        <v>1396</v>
      </c>
    </row>
    <row r="583" spans="11:11" x14ac:dyDescent="0.25">
      <c r="K583" s="191" t="s">
        <v>1397</v>
      </c>
    </row>
    <row r="584" spans="11:11" x14ac:dyDescent="0.25">
      <c r="K584" s="191" t="s">
        <v>1398</v>
      </c>
    </row>
    <row r="585" spans="11:11" x14ac:dyDescent="0.25">
      <c r="K585" s="191" t="s">
        <v>1399</v>
      </c>
    </row>
    <row r="586" spans="11:11" x14ac:dyDescent="0.25">
      <c r="K586" s="191" t="s">
        <v>1400</v>
      </c>
    </row>
    <row r="587" spans="11:11" x14ac:dyDescent="0.25">
      <c r="K587" s="191" t="s">
        <v>1401</v>
      </c>
    </row>
    <row r="588" spans="11:11" x14ac:dyDescent="0.25">
      <c r="K588" s="191" t="s">
        <v>1402</v>
      </c>
    </row>
    <row r="589" spans="11:11" x14ac:dyDescent="0.25">
      <c r="K589" s="191" t="s">
        <v>1403</v>
      </c>
    </row>
    <row r="590" spans="11:11" x14ac:dyDescent="0.25">
      <c r="K590" s="191" t="s">
        <v>1404</v>
      </c>
    </row>
    <row r="591" spans="11:11" x14ac:dyDescent="0.25">
      <c r="K591" s="191" t="s">
        <v>1405</v>
      </c>
    </row>
    <row r="592" spans="11:11" x14ac:dyDescent="0.25">
      <c r="K592" s="191" t="s">
        <v>1406</v>
      </c>
    </row>
    <row r="593" spans="11:11" x14ac:dyDescent="0.25">
      <c r="K593" s="191" t="s">
        <v>1407</v>
      </c>
    </row>
    <row r="594" spans="11:11" x14ac:dyDescent="0.25">
      <c r="K594" s="191" t="s">
        <v>1408</v>
      </c>
    </row>
    <row r="595" spans="11:11" x14ac:dyDescent="0.25">
      <c r="K595" s="191" t="s">
        <v>1409</v>
      </c>
    </row>
    <row r="596" spans="11:11" x14ac:dyDescent="0.25">
      <c r="K596" s="191" t="s">
        <v>1410</v>
      </c>
    </row>
    <row r="597" spans="11:11" x14ac:dyDescent="0.25">
      <c r="K597" s="191" t="s">
        <v>1411</v>
      </c>
    </row>
    <row r="598" spans="11:11" x14ac:dyDescent="0.25">
      <c r="K598" s="191" t="s">
        <v>1412</v>
      </c>
    </row>
    <row r="599" spans="11:11" x14ac:dyDescent="0.25">
      <c r="K599" s="191" t="s">
        <v>1413</v>
      </c>
    </row>
    <row r="600" spans="11:11" x14ac:dyDescent="0.25">
      <c r="K600" s="191" t="s">
        <v>1414</v>
      </c>
    </row>
    <row r="601" spans="11:11" x14ac:dyDescent="0.25">
      <c r="K601" s="191" t="s">
        <v>1415</v>
      </c>
    </row>
    <row r="602" spans="11:11" x14ac:dyDescent="0.25">
      <c r="K602" s="191" t="s">
        <v>1416</v>
      </c>
    </row>
    <row r="603" spans="11:11" x14ac:dyDescent="0.25">
      <c r="K603" s="191" t="s">
        <v>1417</v>
      </c>
    </row>
    <row r="604" spans="11:11" x14ac:dyDescent="0.25">
      <c r="K604" s="191" t="s">
        <v>1418</v>
      </c>
    </row>
    <row r="605" spans="11:11" x14ac:dyDescent="0.25">
      <c r="K605" s="191" t="s">
        <v>1419</v>
      </c>
    </row>
    <row r="606" spans="11:11" x14ac:dyDescent="0.25">
      <c r="K606" s="191" t="s">
        <v>1420</v>
      </c>
    </row>
    <row r="607" spans="11:11" x14ac:dyDescent="0.25">
      <c r="K607" s="191" t="s">
        <v>1421</v>
      </c>
    </row>
    <row r="608" spans="11:11" x14ac:dyDescent="0.25">
      <c r="K608" s="191" t="s">
        <v>1422</v>
      </c>
    </row>
    <row r="609" spans="11:11" x14ac:dyDescent="0.25">
      <c r="K609" s="191" t="s">
        <v>1423</v>
      </c>
    </row>
    <row r="610" spans="11:11" x14ac:dyDescent="0.25">
      <c r="K610" s="191" t="s">
        <v>1424</v>
      </c>
    </row>
    <row r="611" spans="11:11" x14ac:dyDescent="0.25">
      <c r="K611" s="191" t="s">
        <v>1425</v>
      </c>
    </row>
    <row r="612" spans="11:11" x14ac:dyDescent="0.25">
      <c r="K612" s="191" t="s">
        <v>1426</v>
      </c>
    </row>
    <row r="613" spans="11:11" x14ac:dyDescent="0.25">
      <c r="K613" s="191" t="s">
        <v>1427</v>
      </c>
    </row>
    <row r="614" spans="11:11" x14ac:dyDescent="0.25">
      <c r="K614" s="191" t="s">
        <v>1428</v>
      </c>
    </row>
    <row r="615" spans="11:11" x14ac:dyDescent="0.25">
      <c r="K615" s="191" t="s">
        <v>1429</v>
      </c>
    </row>
    <row r="616" spans="11:11" x14ac:dyDescent="0.25">
      <c r="K616" s="191" t="s">
        <v>1430</v>
      </c>
    </row>
    <row r="617" spans="11:11" x14ac:dyDescent="0.25">
      <c r="K617" s="191" t="s">
        <v>1431</v>
      </c>
    </row>
    <row r="618" spans="11:11" x14ac:dyDescent="0.25">
      <c r="K618" s="191" t="s">
        <v>1432</v>
      </c>
    </row>
    <row r="619" spans="11:11" x14ac:dyDescent="0.25">
      <c r="K619" s="191" t="s">
        <v>1433</v>
      </c>
    </row>
    <row r="620" spans="11:11" x14ac:dyDescent="0.25">
      <c r="K620" s="191" t="s">
        <v>1434</v>
      </c>
    </row>
    <row r="621" spans="11:11" x14ac:dyDescent="0.25">
      <c r="K621" s="191" t="s">
        <v>1435</v>
      </c>
    </row>
    <row r="622" spans="11:11" x14ac:dyDescent="0.25">
      <c r="K622" s="191" t="s">
        <v>1436</v>
      </c>
    </row>
    <row r="623" spans="11:11" x14ac:dyDescent="0.25">
      <c r="K623" s="191" t="s">
        <v>1437</v>
      </c>
    </row>
    <row r="624" spans="11:11" x14ac:dyDescent="0.25">
      <c r="K624" s="191" t="s">
        <v>1438</v>
      </c>
    </row>
    <row r="625" spans="11:11" x14ac:dyDescent="0.25">
      <c r="K625" s="191" t="s">
        <v>1439</v>
      </c>
    </row>
    <row r="626" spans="11:11" x14ac:dyDescent="0.25">
      <c r="K626" s="191" t="s">
        <v>1440</v>
      </c>
    </row>
    <row r="627" spans="11:11" x14ac:dyDescent="0.25">
      <c r="K627" s="191" t="s">
        <v>1441</v>
      </c>
    </row>
    <row r="628" spans="11:11" x14ac:dyDescent="0.25">
      <c r="K628" s="191" t="s">
        <v>1442</v>
      </c>
    </row>
    <row r="629" spans="11:11" x14ac:dyDescent="0.25">
      <c r="K629" s="191" t="s">
        <v>1443</v>
      </c>
    </row>
    <row r="630" spans="11:11" x14ac:dyDescent="0.25">
      <c r="K630" s="191" t="s">
        <v>1444</v>
      </c>
    </row>
    <row r="631" spans="11:11" x14ac:dyDescent="0.25">
      <c r="K631" s="191" t="s">
        <v>1445</v>
      </c>
    </row>
    <row r="632" spans="11:11" x14ac:dyDescent="0.25">
      <c r="K632" s="191" t="s">
        <v>1446</v>
      </c>
    </row>
    <row r="633" spans="11:11" x14ac:dyDescent="0.25">
      <c r="K633" s="191" t="s">
        <v>1447</v>
      </c>
    </row>
    <row r="634" spans="11:11" x14ac:dyDescent="0.25">
      <c r="K634" s="191" t="s">
        <v>1448</v>
      </c>
    </row>
    <row r="635" spans="11:11" x14ac:dyDescent="0.25">
      <c r="K635" s="191" t="s">
        <v>1449</v>
      </c>
    </row>
    <row r="636" spans="11:11" x14ac:dyDescent="0.25">
      <c r="K636" s="191" t="s">
        <v>1450</v>
      </c>
    </row>
    <row r="637" spans="11:11" x14ac:dyDescent="0.25">
      <c r="K637" s="191" t="s">
        <v>1451</v>
      </c>
    </row>
    <row r="638" spans="11:11" x14ac:dyDescent="0.25">
      <c r="K638" s="191" t="s">
        <v>1452</v>
      </c>
    </row>
    <row r="639" spans="11:11" x14ac:dyDescent="0.25">
      <c r="K639" s="191" t="s">
        <v>1453</v>
      </c>
    </row>
    <row r="640" spans="11:11" x14ac:dyDescent="0.25">
      <c r="K640" s="191" t="s">
        <v>1454</v>
      </c>
    </row>
    <row r="641" spans="11:11" x14ac:dyDescent="0.25">
      <c r="K641" s="191" t="s">
        <v>1455</v>
      </c>
    </row>
    <row r="642" spans="11:11" x14ac:dyDescent="0.25">
      <c r="K642" s="191" t="s">
        <v>1456</v>
      </c>
    </row>
    <row r="643" spans="11:11" x14ac:dyDescent="0.25">
      <c r="K643" s="191" t="s">
        <v>1457</v>
      </c>
    </row>
    <row r="644" spans="11:11" x14ac:dyDescent="0.25">
      <c r="K644" s="191" t="s">
        <v>1458</v>
      </c>
    </row>
    <row r="645" spans="11:11" x14ac:dyDescent="0.25">
      <c r="K645" s="191" t="s">
        <v>1459</v>
      </c>
    </row>
    <row r="646" spans="11:11" x14ac:dyDescent="0.25">
      <c r="K646" s="191" t="s">
        <v>1460</v>
      </c>
    </row>
    <row r="647" spans="11:11" x14ac:dyDescent="0.25">
      <c r="K647" s="191" t="s">
        <v>1461</v>
      </c>
    </row>
    <row r="648" spans="11:11" x14ac:dyDescent="0.25">
      <c r="K648" s="191" t="s">
        <v>1462</v>
      </c>
    </row>
    <row r="649" spans="11:11" x14ac:dyDescent="0.25">
      <c r="K649" s="191" t="s">
        <v>1463</v>
      </c>
    </row>
    <row r="650" spans="11:11" x14ac:dyDescent="0.25">
      <c r="K650" s="191" t="s">
        <v>1464</v>
      </c>
    </row>
    <row r="651" spans="11:11" x14ac:dyDescent="0.25">
      <c r="K651" s="191" t="s">
        <v>1465</v>
      </c>
    </row>
    <row r="652" spans="11:11" x14ac:dyDescent="0.25">
      <c r="K652" s="191" t="s">
        <v>1466</v>
      </c>
    </row>
    <row r="653" spans="11:11" x14ac:dyDescent="0.25">
      <c r="K653" s="191" t="s">
        <v>1467</v>
      </c>
    </row>
    <row r="654" spans="11:11" x14ac:dyDescent="0.25">
      <c r="K654" s="191" t="s">
        <v>1468</v>
      </c>
    </row>
    <row r="655" spans="11:11" x14ac:dyDescent="0.25">
      <c r="K655" s="191" t="s">
        <v>1469</v>
      </c>
    </row>
    <row r="656" spans="11:11" x14ac:dyDescent="0.25">
      <c r="K656" s="191" t="s">
        <v>1470</v>
      </c>
    </row>
    <row r="657" spans="11:11" x14ac:dyDescent="0.25">
      <c r="K657" s="191" t="s">
        <v>1471</v>
      </c>
    </row>
    <row r="658" spans="11:11" x14ac:dyDescent="0.25">
      <c r="K658" s="191" t="s">
        <v>1472</v>
      </c>
    </row>
    <row r="659" spans="11:11" x14ac:dyDescent="0.25">
      <c r="K659" s="191" t="s">
        <v>1473</v>
      </c>
    </row>
    <row r="660" spans="11:11" x14ac:dyDescent="0.25">
      <c r="K660" s="191" t="s">
        <v>1474</v>
      </c>
    </row>
    <row r="661" spans="11:11" x14ac:dyDescent="0.25">
      <c r="K661" s="191" t="s">
        <v>1475</v>
      </c>
    </row>
    <row r="662" spans="11:11" x14ac:dyDescent="0.25">
      <c r="K662" s="191" t="s">
        <v>1476</v>
      </c>
    </row>
    <row r="663" spans="11:11" x14ac:dyDescent="0.25">
      <c r="K663" s="191" t="s">
        <v>1477</v>
      </c>
    </row>
    <row r="664" spans="11:11" x14ac:dyDescent="0.25">
      <c r="K664" s="191" t="s">
        <v>1478</v>
      </c>
    </row>
    <row r="665" spans="11:11" x14ac:dyDescent="0.25">
      <c r="K665" s="191" t="s">
        <v>1479</v>
      </c>
    </row>
    <row r="666" spans="11:11" x14ac:dyDescent="0.25">
      <c r="K666" s="191" t="s">
        <v>1480</v>
      </c>
    </row>
    <row r="667" spans="11:11" x14ac:dyDescent="0.25">
      <c r="K667" s="191" t="s">
        <v>1481</v>
      </c>
    </row>
    <row r="668" spans="11:11" x14ac:dyDescent="0.25">
      <c r="K668" s="191" t="s">
        <v>1482</v>
      </c>
    </row>
    <row r="669" spans="11:11" x14ac:dyDescent="0.25">
      <c r="K669" s="191" t="s">
        <v>1483</v>
      </c>
    </row>
    <row r="670" spans="11:11" x14ac:dyDescent="0.25">
      <c r="K670" s="191" t="s">
        <v>1484</v>
      </c>
    </row>
    <row r="671" spans="11:11" x14ac:dyDescent="0.25">
      <c r="K671" s="191" t="s">
        <v>1485</v>
      </c>
    </row>
    <row r="672" spans="11:11" x14ac:dyDescent="0.25">
      <c r="K672" s="191" t="s">
        <v>1486</v>
      </c>
    </row>
    <row r="673" spans="11:11" x14ac:dyDescent="0.25">
      <c r="K673" s="191" t="s">
        <v>1487</v>
      </c>
    </row>
    <row r="674" spans="11:11" x14ac:dyDescent="0.25">
      <c r="K674" s="191" t="s">
        <v>1488</v>
      </c>
    </row>
    <row r="675" spans="11:11" x14ac:dyDescent="0.25">
      <c r="K675" s="191" t="s">
        <v>1489</v>
      </c>
    </row>
    <row r="676" spans="11:11" x14ac:dyDescent="0.25">
      <c r="K676" s="191" t="s">
        <v>1490</v>
      </c>
    </row>
    <row r="677" spans="11:11" x14ac:dyDescent="0.25">
      <c r="K677" s="191" t="s">
        <v>1491</v>
      </c>
    </row>
    <row r="678" spans="11:11" x14ac:dyDescent="0.25">
      <c r="K678" s="191" t="s">
        <v>1492</v>
      </c>
    </row>
    <row r="679" spans="11:11" x14ac:dyDescent="0.25">
      <c r="K679" s="191" t="s">
        <v>1493</v>
      </c>
    </row>
    <row r="680" spans="11:11" x14ac:dyDescent="0.25">
      <c r="K680" s="191" t="s">
        <v>1494</v>
      </c>
    </row>
    <row r="681" spans="11:11" x14ac:dyDescent="0.25">
      <c r="K681" s="191" t="s">
        <v>1495</v>
      </c>
    </row>
    <row r="682" spans="11:11" x14ac:dyDescent="0.25">
      <c r="K682" s="191" t="s">
        <v>1496</v>
      </c>
    </row>
    <row r="683" spans="11:11" x14ac:dyDescent="0.25">
      <c r="K683" s="191" t="s">
        <v>1497</v>
      </c>
    </row>
    <row r="684" spans="11:11" x14ac:dyDescent="0.25">
      <c r="K684" s="191" t="s">
        <v>1498</v>
      </c>
    </row>
    <row r="685" spans="11:11" x14ac:dyDescent="0.25">
      <c r="K685" s="191" t="s">
        <v>1499</v>
      </c>
    </row>
    <row r="686" spans="11:11" x14ac:dyDescent="0.25">
      <c r="K686" s="191" t="s">
        <v>1500</v>
      </c>
    </row>
    <row r="687" spans="11:11" x14ac:dyDescent="0.25">
      <c r="K687" s="191" t="s">
        <v>1501</v>
      </c>
    </row>
    <row r="688" spans="11:11" x14ac:dyDescent="0.25">
      <c r="K688" s="191" t="s">
        <v>1502</v>
      </c>
    </row>
    <row r="689" spans="11:11" x14ac:dyDescent="0.25">
      <c r="K689" s="191" t="s">
        <v>1503</v>
      </c>
    </row>
    <row r="690" spans="11:11" x14ac:dyDescent="0.25">
      <c r="K690" s="191" t="s">
        <v>1504</v>
      </c>
    </row>
    <row r="691" spans="11:11" x14ac:dyDescent="0.25">
      <c r="K691" s="191" t="s">
        <v>1505</v>
      </c>
    </row>
    <row r="692" spans="11:11" x14ac:dyDescent="0.25">
      <c r="K692" s="191" t="s">
        <v>1506</v>
      </c>
    </row>
    <row r="693" spans="11:11" x14ac:dyDescent="0.25">
      <c r="K693" s="191" t="s">
        <v>1507</v>
      </c>
    </row>
    <row r="694" spans="11:11" x14ac:dyDescent="0.25">
      <c r="K694" s="191" t="s">
        <v>1508</v>
      </c>
    </row>
    <row r="695" spans="11:11" x14ac:dyDescent="0.25">
      <c r="K695" s="191" t="s">
        <v>1509</v>
      </c>
    </row>
    <row r="696" spans="11:11" x14ac:dyDescent="0.25">
      <c r="K696" s="191" t="s">
        <v>1510</v>
      </c>
    </row>
    <row r="697" spans="11:11" x14ac:dyDescent="0.25">
      <c r="K697" s="191" t="s">
        <v>1511</v>
      </c>
    </row>
    <row r="698" spans="11:11" x14ac:dyDescent="0.25">
      <c r="K698" s="191" t="s">
        <v>1512</v>
      </c>
    </row>
    <row r="699" spans="11:11" x14ac:dyDescent="0.25">
      <c r="K699" s="191" t="s">
        <v>1513</v>
      </c>
    </row>
    <row r="700" spans="11:11" x14ac:dyDescent="0.25">
      <c r="K700" s="191" t="s">
        <v>1514</v>
      </c>
    </row>
    <row r="701" spans="11:11" x14ac:dyDescent="0.25">
      <c r="K701" s="191" t="s">
        <v>1515</v>
      </c>
    </row>
    <row r="702" spans="11:11" x14ac:dyDescent="0.25">
      <c r="K702" s="191" t="s">
        <v>1516</v>
      </c>
    </row>
    <row r="703" spans="11:11" x14ac:dyDescent="0.25">
      <c r="K703" s="191" t="s">
        <v>1517</v>
      </c>
    </row>
    <row r="704" spans="11:11" x14ac:dyDescent="0.25">
      <c r="K704" s="191" t="s">
        <v>1518</v>
      </c>
    </row>
    <row r="705" spans="11:11" x14ac:dyDescent="0.25">
      <c r="K705" s="191" t="s">
        <v>1519</v>
      </c>
    </row>
    <row r="706" spans="11:11" x14ac:dyDescent="0.25">
      <c r="K706" s="191" t="s">
        <v>1520</v>
      </c>
    </row>
    <row r="707" spans="11:11" x14ac:dyDescent="0.25">
      <c r="K707" s="191" t="s">
        <v>1521</v>
      </c>
    </row>
    <row r="708" spans="11:11" x14ac:dyDescent="0.25">
      <c r="K708" s="191" t="s">
        <v>1522</v>
      </c>
    </row>
    <row r="709" spans="11:11" x14ac:dyDescent="0.25">
      <c r="K709" s="191" t="s">
        <v>1523</v>
      </c>
    </row>
    <row r="710" spans="11:11" x14ac:dyDescent="0.25">
      <c r="K710" s="191" t="s">
        <v>1524</v>
      </c>
    </row>
    <row r="711" spans="11:11" x14ac:dyDescent="0.25">
      <c r="K711" s="191" t="s">
        <v>1525</v>
      </c>
    </row>
    <row r="712" spans="11:11" x14ac:dyDescent="0.25">
      <c r="K712" s="191" t="s">
        <v>1526</v>
      </c>
    </row>
    <row r="713" spans="11:11" x14ac:dyDescent="0.25">
      <c r="K713" s="191" t="s">
        <v>1527</v>
      </c>
    </row>
    <row r="714" spans="11:11" x14ac:dyDescent="0.25">
      <c r="K714" s="191" t="s">
        <v>1528</v>
      </c>
    </row>
    <row r="715" spans="11:11" x14ac:dyDescent="0.25">
      <c r="K715" s="191" t="s">
        <v>1529</v>
      </c>
    </row>
    <row r="716" spans="11:11" x14ac:dyDescent="0.25">
      <c r="K716" s="191" t="s">
        <v>1530</v>
      </c>
    </row>
    <row r="717" spans="11:11" x14ac:dyDescent="0.25">
      <c r="K717" s="191" t="s">
        <v>1531</v>
      </c>
    </row>
    <row r="718" spans="11:11" x14ac:dyDescent="0.25">
      <c r="K718" s="191" t="s">
        <v>1532</v>
      </c>
    </row>
    <row r="719" spans="11:11" x14ac:dyDescent="0.25">
      <c r="K719" s="191" t="s">
        <v>1533</v>
      </c>
    </row>
    <row r="720" spans="11:11" x14ac:dyDescent="0.25">
      <c r="K720" s="191" t="s">
        <v>1534</v>
      </c>
    </row>
    <row r="721" spans="11:11" x14ac:dyDescent="0.25">
      <c r="K721" s="191" t="s">
        <v>1535</v>
      </c>
    </row>
    <row r="722" spans="11:11" x14ac:dyDescent="0.25">
      <c r="K722" s="191" t="s">
        <v>1536</v>
      </c>
    </row>
    <row r="723" spans="11:11" x14ac:dyDescent="0.25">
      <c r="K723" s="191" t="s">
        <v>1537</v>
      </c>
    </row>
    <row r="724" spans="11:11" x14ac:dyDescent="0.25">
      <c r="K724" s="191" t="s">
        <v>1538</v>
      </c>
    </row>
    <row r="725" spans="11:11" x14ac:dyDescent="0.25">
      <c r="K725" s="191" t="s">
        <v>1539</v>
      </c>
    </row>
    <row r="726" spans="11:11" x14ac:dyDescent="0.25">
      <c r="K726" s="191" t="s">
        <v>1540</v>
      </c>
    </row>
    <row r="727" spans="11:11" x14ac:dyDescent="0.25">
      <c r="K727" s="191" t="s">
        <v>1541</v>
      </c>
    </row>
    <row r="728" spans="11:11" x14ac:dyDescent="0.25">
      <c r="K728" s="191" t="s">
        <v>1542</v>
      </c>
    </row>
    <row r="729" spans="11:11" x14ac:dyDescent="0.25">
      <c r="K729" s="191" t="s">
        <v>1543</v>
      </c>
    </row>
    <row r="730" spans="11:11" x14ac:dyDescent="0.25">
      <c r="K730" s="191" t="s">
        <v>1544</v>
      </c>
    </row>
    <row r="731" spans="11:11" x14ac:dyDescent="0.25">
      <c r="K731" s="191" t="s">
        <v>1545</v>
      </c>
    </row>
    <row r="732" spans="11:11" x14ac:dyDescent="0.25">
      <c r="K732" s="191" t="s">
        <v>1546</v>
      </c>
    </row>
    <row r="733" spans="11:11" x14ac:dyDescent="0.25">
      <c r="K733" s="191" t="s">
        <v>1547</v>
      </c>
    </row>
    <row r="734" spans="11:11" x14ac:dyDescent="0.25">
      <c r="K734" s="191" t="s">
        <v>1548</v>
      </c>
    </row>
    <row r="735" spans="11:11" x14ac:dyDescent="0.25">
      <c r="K735" s="191" t="s">
        <v>1549</v>
      </c>
    </row>
    <row r="736" spans="11:11" x14ac:dyDescent="0.25">
      <c r="K736" s="191" t="s">
        <v>1550</v>
      </c>
    </row>
    <row r="737" spans="11:11" x14ac:dyDescent="0.25">
      <c r="K737" s="191" t="s">
        <v>1551</v>
      </c>
    </row>
    <row r="738" spans="11:11" x14ac:dyDescent="0.25">
      <c r="K738" s="191" t="s">
        <v>1552</v>
      </c>
    </row>
    <row r="739" spans="11:11" x14ac:dyDescent="0.25">
      <c r="K739" s="191" t="s">
        <v>1553</v>
      </c>
    </row>
    <row r="740" spans="11:11" x14ac:dyDescent="0.25">
      <c r="K740" s="191" t="s">
        <v>1554</v>
      </c>
    </row>
    <row r="741" spans="11:11" x14ac:dyDescent="0.25">
      <c r="K741" s="191" t="s">
        <v>1555</v>
      </c>
    </row>
    <row r="742" spans="11:11" x14ac:dyDescent="0.25">
      <c r="K742" s="191" t="s">
        <v>1556</v>
      </c>
    </row>
    <row r="743" spans="11:11" x14ac:dyDescent="0.25">
      <c r="K743" s="191" t="s">
        <v>1557</v>
      </c>
    </row>
    <row r="744" spans="11:11" x14ac:dyDescent="0.25">
      <c r="K744" s="191" t="s">
        <v>1558</v>
      </c>
    </row>
    <row r="745" spans="11:11" x14ac:dyDescent="0.25">
      <c r="K745" s="191" t="s">
        <v>1559</v>
      </c>
    </row>
    <row r="746" spans="11:11" x14ac:dyDescent="0.25">
      <c r="K746" s="191" t="s">
        <v>1560</v>
      </c>
    </row>
    <row r="747" spans="11:11" x14ac:dyDescent="0.25">
      <c r="K747" s="191" t="s">
        <v>1561</v>
      </c>
    </row>
    <row r="748" spans="11:11" x14ac:dyDescent="0.25">
      <c r="K748" s="191" t="s">
        <v>1562</v>
      </c>
    </row>
    <row r="749" spans="11:11" x14ac:dyDescent="0.25">
      <c r="K749" s="191" t="s">
        <v>1563</v>
      </c>
    </row>
    <row r="750" spans="11:11" x14ac:dyDescent="0.25">
      <c r="K750" s="191" t="s">
        <v>1564</v>
      </c>
    </row>
    <row r="751" spans="11:11" x14ac:dyDescent="0.25">
      <c r="K751" s="191" t="s">
        <v>1565</v>
      </c>
    </row>
    <row r="752" spans="11:11" x14ac:dyDescent="0.25">
      <c r="K752" s="191" t="s">
        <v>1566</v>
      </c>
    </row>
    <row r="753" spans="11:11" x14ac:dyDescent="0.25">
      <c r="K753" s="191" t="s">
        <v>1567</v>
      </c>
    </row>
    <row r="754" spans="11:11" x14ac:dyDescent="0.25">
      <c r="K754" s="191" t="s">
        <v>1568</v>
      </c>
    </row>
    <row r="755" spans="11:11" x14ac:dyDescent="0.25">
      <c r="K755" s="191" t="s">
        <v>1569</v>
      </c>
    </row>
    <row r="756" spans="11:11" x14ac:dyDescent="0.25">
      <c r="K756" s="191" t="s">
        <v>1570</v>
      </c>
    </row>
    <row r="757" spans="11:11" x14ac:dyDescent="0.25">
      <c r="K757" s="191" t="s">
        <v>1571</v>
      </c>
    </row>
    <row r="758" spans="11:11" x14ac:dyDescent="0.25">
      <c r="K758" s="191" t="s">
        <v>1572</v>
      </c>
    </row>
    <row r="759" spans="11:11" x14ac:dyDescent="0.25">
      <c r="K759" s="191" t="s">
        <v>1573</v>
      </c>
    </row>
    <row r="760" spans="11:11" x14ac:dyDescent="0.25">
      <c r="K760" s="191" t="s">
        <v>1574</v>
      </c>
    </row>
    <row r="761" spans="11:11" x14ac:dyDescent="0.25">
      <c r="K761" s="191" t="s">
        <v>1575</v>
      </c>
    </row>
    <row r="762" spans="11:11" x14ac:dyDescent="0.25">
      <c r="K762" s="191" t="s">
        <v>1576</v>
      </c>
    </row>
    <row r="763" spans="11:11" x14ac:dyDescent="0.25">
      <c r="K763" s="191" t="s">
        <v>1577</v>
      </c>
    </row>
    <row r="764" spans="11:11" x14ac:dyDescent="0.25">
      <c r="K764" s="191" t="s">
        <v>1578</v>
      </c>
    </row>
    <row r="765" spans="11:11" x14ac:dyDescent="0.25">
      <c r="K765" s="191" t="s">
        <v>1579</v>
      </c>
    </row>
    <row r="766" spans="11:11" x14ac:dyDescent="0.25">
      <c r="K766" s="191" t="s">
        <v>1580</v>
      </c>
    </row>
    <row r="767" spans="11:11" x14ac:dyDescent="0.25">
      <c r="K767" s="191" t="s">
        <v>1581</v>
      </c>
    </row>
    <row r="768" spans="11:11" x14ac:dyDescent="0.25">
      <c r="K768" s="191" t="s">
        <v>1582</v>
      </c>
    </row>
    <row r="769" spans="11:11" x14ac:dyDescent="0.25">
      <c r="K769" s="191" t="s">
        <v>1583</v>
      </c>
    </row>
    <row r="770" spans="11:11" x14ac:dyDescent="0.25">
      <c r="K770" s="191" t="s">
        <v>1584</v>
      </c>
    </row>
    <row r="771" spans="11:11" x14ac:dyDescent="0.25">
      <c r="K771" s="191" t="s">
        <v>1585</v>
      </c>
    </row>
    <row r="772" spans="11:11" x14ac:dyDescent="0.25">
      <c r="K772" s="191" t="s">
        <v>1586</v>
      </c>
    </row>
    <row r="773" spans="11:11" x14ac:dyDescent="0.25">
      <c r="K773" s="191" t="s">
        <v>1587</v>
      </c>
    </row>
    <row r="774" spans="11:11" x14ac:dyDescent="0.25">
      <c r="K774" s="191" t="s">
        <v>1588</v>
      </c>
    </row>
    <row r="775" spans="11:11" x14ac:dyDescent="0.25">
      <c r="K775" s="191" t="s">
        <v>1589</v>
      </c>
    </row>
    <row r="776" spans="11:11" x14ac:dyDescent="0.25">
      <c r="K776" s="191" t="s">
        <v>1590</v>
      </c>
    </row>
    <row r="777" spans="11:11" x14ac:dyDescent="0.25">
      <c r="K777" s="191" t="s">
        <v>1591</v>
      </c>
    </row>
    <row r="778" spans="11:11" x14ac:dyDescent="0.25">
      <c r="K778" s="191" t="s">
        <v>1592</v>
      </c>
    </row>
    <row r="779" spans="11:11" x14ac:dyDescent="0.25">
      <c r="K779" s="191" t="s">
        <v>1593</v>
      </c>
    </row>
    <row r="780" spans="11:11" x14ac:dyDescent="0.25">
      <c r="K780" s="191" t="s">
        <v>1594</v>
      </c>
    </row>
    <row r="781" spans="11:11" x14ac:dyDescent="0.25">
      <c r="K781" s="191" t="s">
        <v>1595</v>
      </c>
    </row>
    <row r="782" spans="11:11" x14ac:dyDescent="0.25">
      <c r="K782" s="191" t="s">
        <v>1596</v>
      </c>
    </row>
    <row r="783" spans="11:11" x14ac:dyDescent="0.25">
      <c r="K783" s="191" t="s">
        <v>1597</v>
      </c>
    </row>
    <row r="784" spans="11:11" x14ac:dyDescent="0.25">
      <c r="K784" s="191" t="s">
        <v>1598</v>
      </c>
    </row>
    <row r="785" spans="11:11" x14ac:dyDescent="0.25">
      <c r="K785" s="191" t="s">
        <v>1599</v>
      </c>
    </row>
    <row r="786" spans="11:11" x14ac:dyDescent="0.25">
      <c r="K786" s="191" t="s">
        <v>1600</v>
      </c>
    </row>
    <row r="787" spans="11:11" x14ac:dyDescent="0.25">
      <c r="K787" s="191" t="s">
        <v>1601</v>
      </c>
    </row>
    <row r="788" spans="11:11" x14ac:dyDescent="0.25">
      <c r="K788" s="191" t="s">
        <v>1602</v>
      </c>
    </row>
    <row r="789" spans="11:11" x14ac:dyDescent="0.25">
      <c r="K789" s="191" t="s">
        <v>1603</v>
      </c>
    </row>
    <row r="790" spans="11:11" x14ac:dyDescent="0.25">
      <c r="K790" s="191" t="s">
        <v>1604</v>
      </c>
    </row>
    <row r="791" spans="11:11" x14ac:dyDescent="0.25">
      <c r="K791" s="191" t="s">
        <v>1605</v>
      </c>
    </row>
    <row r="792" spans="11:11" x14ac:dyDescent="0.25">
      <c r="K792" s="191" t="s">
        <v>1606</v>
      </c>
    </row>
    <row r="793" spans="11:11" x14ac:dyDescent="0.25">
      <c r="K793" s="191" t="s">
        <v>1607</v>
      </c>
    </row>
    <row r="794" spans="11:11" x14ac:dyDescent="0.25">
      <c r="K794" s="191" t="s">
        <v>1608</v>
      </c>
    </row>
    <row r="795" spans="11:11" x14ac:dyDescent="0.25">
      <c r="K795" s="191" t="s">
        <v>1609</v>
      </c>
    </row>
    <row r="796" spans="11:11" x14ac:dyDescent="0.25">
      <c r="K796" s="191" t="s">
        <v>1610</v>
      </c>
    </row>
    <row r="797" spans="11:11" x14ac:dyDescent="0.25">
      <c r="K797" s="191" t="s">
        <v>1611</v>
      </c>
    </row>
    <row r="798" spans="11:11" x14ac:dyDescent="0.25">
      <c r="K798" s="191" t="s">
        <v>1612</v>
      </c>
    </row>
    <row r="799" spans="11:11" x14ac:dyDescent="0.25">
      <c r="K799" s="191" t="s">
        <v>1613</v>
      </c>
    </row>
    <row r="800" spans="11:11" x14ac:dyDescent="0.25">
      <c r="K800" s="191" t="s">
        <v>1614</v>
      </c>
    </row>
    <row r="801" spans="11:11" x14ac:dyDescent="0.25">
      <c r="K801" s="191" t="s">
        <v>1615</v>
      </c>
    </row>
    <row r="802" spans="11:11" x14ac:dyDescent="0.25">
      <c r="K802" s="191" t="s">
        <v>1616</v>
      </c>
    </row>
    <row r="803" spans="11:11" x14ac:dyDescent="0.25">
      <c r="K803" s="191" t="s">
        <v>1617</v>
      </c>
    </row>
    <row r="804" spans="11:11" x14ac:dyDescent="0.25">
      <c r="K804" s="191" t="s">
        <v>1618</v>
      </c>
    </row>
    <row r="805" spans="11:11" x14ac:dyDescent="0.25">
      <c r="K805" s="191" t="s">
        <v>1619</v>
      </c>
    </row>
    <row r="806" spans="11:11" x14ac:dyDescent="0.25">
      <c r="K806" s="191" t="s">
        <v>1620</v>
      </c>
    </row>
    <row r="807" spans="11:11" x14ac:dyDescent="0.25">
      <c r="K807" s="191" t="s">
        <v>1621</v>
      </c>
    </row>
    <row r="808" spans="11:11" x14ac:dyDescent="0.25">
      <c r="K808" s="191" t="s">
        <v>1622</v>
      </c>
    </row>
    <row r="809" spans="11:11" x14ac:dyDescent="0.25">
      <c r="K809" s="191" t="s">
        <v>1623</v>
      </c>
    </row>
    <row r="810" spans="11:11" x14ac:dyDescent="0.25">
      <c r="K810" s="191" t="s">
        <v>1624</v>
      </c>
    </row>
    <row r="811" spans="11:11" x14ac:dyDescent="0.25">
      <c r="K811" s="191" t="s">
        <v>1625</v>
      </c>
    </row>
    <row r="812" spans="11:11" x14ac:dyDescent="0.25">
      <c r="K812" s="191" t="s">
        <v>1626</v>
      </c>
    </row>
    <row r="813" spans="11:11" x14ac:dyDescent="0.25">
      <c r="K813" s="191" t="s">
        <v>1627</v>
      </c>
    </row>
    <row r="814" spans="11:11" x14ac:dyDescent="0.25">
      <c r="K814" s="191" t="s">
        <v>1628</v>
      </c>
    </row>
    <row r="815" spans="11:11" x14ac:dyDescent="0.25">
      <c r="K815" s="191" t="s">
        <v>1629</v>
      </c>
    </row>
    <row r="816" spans="11:11" x14ac:dyDescent="0.25">
      <c r="K816" s="191" t="s">
        <v>1630</v>
      </c>
    </row>
    <row r="817" spans="11:11" x14ac:dyDescent="0.25">
      <c r="K817" s="191" t="s">
        <v>1631</v>
      </c>
    </row>
    <row r="818" spans="11:11" x14ac:dyDescent="0.25">
      <c r="K818" s="191" t="s">
        <v>1632</v>
      </c>
    </row>
    <row r="819" spans="11:11" x14ac:dyDescent="0.25">
      <c r="K819" s="191" t="s">
        <v>1633</v>
      </c>
    </row>
    <row r="820" spans="11:11" x14ac:dyDescent="0.25">
      <c r="K820" s="191" t="s">
        <v>1634</v>
      </c>
    </row>
    <row r="821" spans="11:11" x14ac:dyDescent="0.25">
      <c r="K821" s="191" t="s">
        <v>1635</v>
      </c>
    </row>
    <row r="822" spans="11:11" x14ac:dyDescent="0.25">
      <c r="K822" s="191" t="s">
        <v>1636</v>
      </c>
    </row>
    <row r="823" spans="11:11" x14ac:dyDescent="0.25">
      <c r="K823" s="191" t="s">
        <v>1637</v>
      </c>
    </row>
    <row r="824" spans="11:11" x14ac:dyDescent="0.25">
      <c r="K824" s="191" t="s">
        <v>1638</v>
      </c>
    </row>
    <row r="825" spans="11:11" x14ac:dyDescent="0.25">
      <c r="K825" s="191" t="s">
        <v>1639</v>
      </c>
    </row>
    <row r="826" spans="11:11" x14ac:dyDescent="0.25">
      <c r="K826" s="191" t="s">
        <v>1640</v>
      </c>
    </row>
    <row r="827" spans="11:11" x14ac:dyDescent="0.25">
      <c r="K827" s="191" t="s">
        <v>1641</v>
      </c>
    </row>
    <row r="828" spans="11:11" x14ac:dyDescent="0.25">
      <c r="K828" s="191" t="s">
        <v>1642</v>
      </c>
    </row>
    <row r="829" spans="11:11" x14ac:dyDescent="0.25">
      <c r="K829" s="191" t="s">
        <v>1643</v>
      </c>
    </row>
    <row r="830" spans="11:11" x14ac:dyDescent="0.25">
      <c r="K830" s="191" t="s">
        <v>1644</v>
      </c>
    </row>
    <row r="831" spans="11:11" x14ac:dyDescent="0.25">
      <c r="K831" s="191" t="s">
        <v>1645</v>
      </c>
    </row>
    <row r="832" spans="11:11" x14ac:dyDescent="0.25">
      <c r="K832" s="191" t="s">
        <v>1646</v>
      </c>
    </row>
    <row r="833" spans="11:11" x14ac:dyDescent="0.25">
      <c r="K833" s="191" t="s">
        <v>1647</v>
      </c>
    </row>
    <row r="834" spans="11:11" x14ac:dyDescent="0.25">
      <c r="K834" s="191" t="s">
        <v>1648</v>
      </c>
    </row>
    <row r="835" spans="11:11" x14ac:dyDescent="0.25">
      <c r="K835" s="191" t="s">
        <v>1649</v>
      </c>
    </row>
    <row r="836" spans="11:11" x14ac:dyDescent="0.25">
      <c r="K836" s="191" t="s">
        <v>1650</v>
      </c>
    </row>
    <row r="837" spans="11:11" x14ac:dyDescent="0.25">
      <c r="K837" s="191" t="s">
        <v>1651</v>
      </c>
    </row>
    <row r="838" spans="11:11" x14ac:dyDescent="0.25">
      <c r="K838" s="191" t="s">
        <v>1652</v>
      </c>
    </row>
    <row r="839" spans="11:11" x14ac:dyDescent="0.25">
      <c r="K839" s="191" t="s">
        <v>1653</v>
      </c>
    </row>
    <row r="840" spans="11:11" x14ac:dyDescent="0.25">
      <c r="K840" s="191" t="s">
        <v>1654</v>
      </c>
    </row>
    <row r="841" spans="11:11" x14ac:dyDescent="0.25">
      <c r="K841" s="191" t="s">
        <v>1655</v>
      </c>
    </row>
    <row r="842" spans="11:11" x14ac:dyDescent="0.25">
      <c r="K842" s="191" t="s">
        <v>1656</v>
      </c>
    </row>
    <row r="843" spans="11:11" x14ac:dyDescent="0.25">
      <c r="K843" s="191" t="s">
        <v>1657</v>
      </c>
    </row>
    <row r="844" spans="11:11" x14ac:dyDescent="0.25">
      <c r="K844" s="191" t="s">
        <v>1658</v>
      </c>
    </row>
    <row r="845" spans="11:11" x14ac:dyDescent="0.25">
      <c r="K845" s="191" t="s">
        <v>1659</v>
      </c>
    </row>
    <row r="846" spans="11:11" x14ac:dyDescent="0.25">
      <c r="K846" s="191" t="s">
        <v>1660</v>
      </c>
    </row>
    <row r="847" spans="11:11" x14ac:dyDescent="0.25">
      <c r="K847" s="191" t="s">
        <v>1661</v>
      </c>
    </row>
    <row r="848" spans="11:11" x14ac:dyDescent="0.25">
      <c r="K848" s="191" t="s">
        <v>1662</v>
      </c>
    </row>
    <row r="849" spans="11:11" x14ac:dyDescent="0.25">
      <c r="K849" s="191" t="s">
        <v>1663</v>
      </c>
    </row>
    <row r="850" spans="11:11" x14ac:dyDescent="0.25">
      <c r="K850" s="191" t="s">
        <v>1664</v>
      </c>
    </row>
    <row r="851" spans="11:11" x14ac:dyDescent="0.25">
      <c r="K851" s="191" t="s">
        <v>1665</v>
      </c>
    </row>
    <row r="852" spans="11:11" x14ac:dyDescent="0.25">
      <c r="K852" s="191" t="s">
        <v>1666</v>
      </c>
    </row>
    <row r="853" spans="11:11" x14ac:dyDescent="0.25">
      <c r="K853" s="191" t="s">
        <v>1667</v>
      </c>
    </row>
    <row r="854" spans="11:11" x14ac:dyDescent="0.25">
      <c r="K854" s="191" t="s">
        <v>1668</v>
      </c>
    </row>
    <row r="855" spans="11:11" x14ac:dyDescent="0.25">
      <c r="K855" s="191" t="s">
        <v>1669</v>
      </c>
    </row>
    <row r="856" spans="11:11" x14ac:dyDescent="0.25">
      <c r="K856" s="191" t="s">
        <v>1670</v>
      </c>
    </row>
    <row r="857" spans="11:11" x14ac:dyDescent="0.25">
      <c r="K857" s="191" t="s">
        <v>1671</v>
      </c>
    </row>
    <row r="858" spans="11:11" x14ac:dyDescent="0.25">
      <c r="K858" s="191" t="s">
        <v>1672</v>
      </c>
    </row>
    <row r="859" spans="11:11" x14ac:dyDescent="0.25">
      <c r="K859" s="191" t="s">
        <v>1673</v>
      </c>
    </row>
    <row r="860" spans="11:11" x14ac:dyDescent="0.25">
      <c r="K860" s="191" t="s">
        <v>1674</v>
      </c>
    </row>
    <row r="861" spans="11:11" x14ac:dyDescent="0.25">
      <c r="K861" s="191" t="s">
        <v>1675</v>
      </c>
    </row>
    <row r="862" spans="11:11" x14ac:dyDescent="0.25">
      <c r="K862" s="191" t="s">
        <v>1676</v>
      </c>
    </row>
    <row r="863" spans="11:11" x14ac:dyDescent="0.25">
      <c r="K863" s="191" t="s">
        <v>1677</v>
      </c>
    </row>
    <row r="864" spans="11:11" x14ac:dyDescent="0.25">
      <c r="K864" s="191" t="s">
        <v>1678</v>
      </c>
    </row>
    <row r="865" spans="11:11" x14ac:dyDescent="0.25">
      <c r="K865" s="191" t="s">
        <v>1679</v>
      </c>
    </row>
    <row r="866" spans="11:11" x14ac:dyDescent="0.25">
      <c r="K866" s="191" t="s">
        <v>1680</v>
      </c>
    </row>
    <row r="867" spans="11:11" x14ac:dyDescent="0.25">
      <c r="K867" s="191" t="s">
        <v>1681</v>
      </c>
    </row>
    <row r="868" spans="11:11" x14ac:dyDescent="0.25">
      <c r="K868" s="191" t="s">
        <v>1682</v>
      </c>
    </row>
    <row r="869" spans="11:11" x14ac:dyDescent="0.25">
      <c r="K869" s="191" t="s">
        <v>1683</v>
      </c>
    </row>
    <row r="870" spans="11:11" x14ac:dyDescent="0.25">
      <c r="K870" s="191" t="s">
        <v>1684</v>
      </c>
    </row>
    <row r="871" spans="11:11" x14ac:dyDescent="0.25">
      <c r="K871" s="191" t="s">
        <v>1685</v>
      </c>
    </row>
    <row r="872" spans="11:11" x14ac:dyDescent="0.25">
      <c r="K872" s="191" t="s">
        <v>1686</v>
      </c>
    </row>
    <row r="873" spans="11:11" x14ac:dyDescent="0.25">
      <c r="K873" s="191" t="s">
        <v>1687</v>
      </c>
    </row>
    <row r="874" spans="11:11" x14ac:dyDescent="0.25">
      <c r="K874" s="191" t="s">
        <v>1688</v>
      </c>
    </row>
    <row r="875" spans="11:11" x14ac:dyDescent="0.25">
      <c r="K875" s="191" t="s">
        <v>1689</v>
      </c>
    </row>
    <row r="876" spans="11:11" x14ac:dyDescent="0.25">
      <c r="K876" s="191" t="s">
        <v>1690</v>
      </c>
    </row>
    <row r="877" spans="11:11" x14ac:dyDescent="0.25">
      <c r="K877" s="191" t="s">
        <v>1691</v>
      </c>
    </row>
    <row r="878" spans="11:11" x14ac:dyDescent="0.25">
      <c r="K878" s="191" t="s">
        <v>1692</v>
      </c>
    </row>
    <row r="879" spans="11:11" x14ac:dyDescent="0.25">
      <c r="K879" s="191" t="s">
        <v>1693</v>
      </c>
    </row>
    <row r="880" spans="11:11" x14ac:dyDescent="0.25">
      <c r="K880" s="191" t="s">
        <v>1694</v>
      </c>
    </row>
    <row r="881" spans="11:11" x14ac:dyDescent="0.25">
      <c r="K881" s="191" t="s">
        <v>1695</v>
      </c>
    </row>
    <row r="882" spans="11:11" x14ac:dyDescent="0.25">
      <c r="K882" s="191" t="s">
        <v>1696</v>
      </c>
    </row>
    <row r="883" spans="11:11" x14ac:dyDescent="0.25">
      <c r="K883" s="191" t="s">
        <v>1697</v>
      </c>
    </row>
    <row r="884" spans="11:11" x14ac:dyDescent="0.25">
      <c r="K884" s="191" t="s">
        <v>1698</v>
      </c>
    </row>
    <row r="885" spans="11:11" x14ac:dyDescent="0.25">
      <c r="K885" s="191" t="s">
        <v>1699</v>
      </c>
    </row>
    <row r="886" spans="11:11" x14ac:dyDescent="0.25">
      <c r="K886" s="191" t="s">
        <v>1700</v>
      </c>
    </row>
    <row r="887" spans="11:11" x14ac:dyDescent="0.25">
      <c r="K887" s="191" t="s">
        <v>1701</v>
      </c>
    </row>
    <row r="888" spans="11:11" x14ac:dyDescent="0.25">
      <c r="K888" s="191" t="s">
        <v>1702</v>
      </c>
    </row>
    <row r="889" spans="11:11" x14ac:dyDescent="0.25">
      <c r="K889" s="191" t="s">
        <v>1703</v>
      </c>
    </row>
    <row r="890" spans="11:11" x14ac:dyDescent="0.25">
      <c r="K890" s="191" t="s">
        <v>1704</v>
      </c>
    </row>
    <row r="891" spans="11:11" x14ac:dyDescent="0.25">
      <c r="K891" s="191" t="s">
        <v>1705</v>
      </c>
    </row>
    <row r="892" spans="11:11" x14ac:dyDescent="0.25">
      <c r="K892" s="191" t="s">
        <v>1706</v>
      </c>
    </row>
    <row r="893" spans="11:11" x14ac:dyDescent="0.25">
      <c r="K893" s="191" t="s">
        <v>1707</v>
      </c>
    </row>
    <row r="894" spans="11:11" x14ac:dyDescent="0.25">
      <c r="K894" s="191" t="s">
        <v>1708</v>
      </c>
    </row>
    <row r="895" spans="11:11" x14ac:dyDescent="0.25">
      <c r="K895" s="191" t="s">
        <v>1709</v>
      </c>
    </row>
    <row r="896" spans="11:11" x14ac:dyDescent="0.25">
      <c r="K896" s="191" t="s">
        <v>1710</v>
      </c>
    </row>
    <row r="897" spans="11:11" x14ac:dyDescent="0.25">
      <c r="K897" s="191" t="s">
        <v>1711</v>
      </c>
    </row>
    <row r="898" spans="11:11" x14ac:dyDescent="0.25">
      <c r="K898" s="191" t="s">
        <v>1712</v>
      </c>
    </row>
    <row r="899" spans="11:11" x14ac:dyDescent="0.25">
      <c r="K899" s="191" t="s">
        <v>1713</v>
      </c>
    </row>
    <row r="900" spans="11:11" x14ac:dyDescent="0.25">
      <c r="K900" s="191" t="s">
        <v>1714</v>
      </c>
    </row>
    <row r="901" spans="11:11" x14ac:dyDescent="0.25">
      <c r="K901" s="191" t="s">
        <v>1715</v>
      </c>
    </row>
    <row r="902" spans="11:11" x14ac:dyDescent="0.25">
      <c r="K902" s="191" t="s">
        <v>1716</v>
      </c>
    </row>
    <row r="903" spans="11:11" x14ac:dyDescent="0.25">
      <c r="K903" s="191" t="s">
        <v>1717</v>
      </c>
    </row>
    <row r="904" spans="11:11" x14ac:dyDescent="0.25">
      <c r="K904" s="191" t="s">
        <v>1718</v>
      </c>
    </row>
    <row r="905" spans="11:11" x14ac:dyDescent="0.25">
      <c r="K905" s="191" t="s">
        <v>1719</v>
      </c>
    </row>
    <row r="906" spans="11:11" x14ac:dyDescent="0.25">
      <c r="K906" s="191" t="s">
        <v>1720</v>
      </c>
    </row>
    <row r="907" spans="11:11" x14ac:dyDescent="0.25">
      <c r="K907" s="191" t="s">
        <v>1721</v>
      </c>
    </row>
    <row r="908" spans="11:11" x14ac:dyDescent="0.25">
      <c r="K908" s="191" t="s">
        <v>1722</v>
      </c>
    </row>
    <row r="909" spans="11:11" x14ac:dyDescent="0.25">
      <c r="K909" s="191" t="s">
        <v>1723</v>
      </c>
    </row>
    <row r="910" spans="11:11" x14ac:dyDescent="0.25">
      <c r="K910" s="191" t="s">
        <v>1724</v>
      </c>
    </row>
    <row r="911" spans="11:11" x14ac:dyDescent="0.25">
      <c r="K911" s="191" t="s">
        <v>1725</v>
      </c>
    </row>
    <row r="912" spans="11:11" x14ac:dyDescent="0.25">
      <c r="K912" s="191" t="s">
        <v>1726</v>
      </c>
    </row>
    <row r="913" spans="11:11" x14ac:dyDescent="0.25">
      <c r="K913" s="191" t="s">
        <v>1727</v>
      </c>
    </row>
    <row r="914" spans="11:11" x14ac:dyDescent="0.25">
      <c r="K914" s="191" t="s">
        <v>1728</v>
      </c>
    </row>
    <row r="915" spans="11:11" x14ac:dyDescent="0.25">
      <c r="K915" s="191" t="s">
        <v>1729</v>
      </c>
    </row>
    <row r="916" spans="11:11" x14ac:dyDescent="0.25">
      <c r="K916" s="191" t="s">
        <v>1730</v>
      </c>
    </row>
    <row r="917" spans="11:11" x14ac:dyDescent="0.25">
      <c r="K917" s="191" t="s">
        <v>1731</v>
      </c>
    </row>
    <row r="918" spans="11:11" x14ac:dyDescent="0.25">
      <c r="K918" s="191" t="s">
        <v>1732</v>
      </c>
    </row>
    <row r="919" spans="11:11" x14ac:dyDescent="0.25">
      <c r="K919" s="191" t="s">
        <v>1733</v>
      </c>
    </row>
    <row r="920" spans="11:11" x14ac:dyDescent="0.25">
      <c r="K920" s="191" t="s">
        <v>1734</v>
      </c>
    </row>
    <row r="921" spans="11:11" x14ac:dyDescent="0.25">
      <c r="K921" s="191" t="s">
        <v>1735</v>
      </c>
    </row>
    <row r="922" spans="11:11" x14ac:dyDescent="0.25">
      <c r="K922" s="191" t="s">
        <v>1736</v>
      </c>
    </row>
    <row r="923" spans="11:11" x14ac:dyDescent="0.25">
      <c r="K923" s="191" t="s">
        <v>1737</v>
      </c>
    </row>
    <row r="924" spans="11:11" x14ac:dyDescent="0.25">
      <c r="K924" s="191" t="s">
        <v>1738</v>
      </c>
    </row>
    <row r="925" spans="11:11" x14ac:dyDescent="0.25">
      <c r="K925" s="191" t="s">
        <v>1739</v>
      </c>
    </row>
    <row r="926" spans="11:11" x14ac:dyDescent="0.25">
      <c r="K926" s="191" t="s">
        <v>1740</v>
      </c>
    </row>
    <row r="927" spans="11:11" x14ac:dyDescent="0.25">
      <c r="K927" s="191" t="s">
        <v>1741</v>
      </c>
    </row>
    <row r="928" spans="11:11" x14ac:dyDescent="0.25">
      <c r="K928" s="191" t="s">
        <v>1742</v>
      </c>
    </row>
    <row r="929" spans="11:11" x14ac:dyDescent="0.25">
      <c r="K929" s="191" t="s">
        <v>1743</v>
      </c>
    </row>
    <row r="930" spans="11:11" x14ac:dyDescent="0.25">
      <c r="K930" s="191" t="s">
        <v>1744</v>
      </c>
    </row>
    <row r="931" spans="11:11" x14ac:dyDescent="0.25">
      <c r="K931" s="191" t="s">
        <v>1745</v>
      </c>
    </row>
    <row r="932" spans="11:11" x14ac:dyDescent="0.25">
      <c r="K932" s="191" t="s">
        <v>1746</v>
      </c>
    </row>
    <row r="933" spans="11:11" x14ac:dyDescent="0.25">
      <c r="K933" s="191" t="s">
        <v>1747</v>
      </c>
    </row>
    <row r="934" spans="11:11" x14ac:dyDescent="0.25">
      <c r="K934" s="191" t="s">
        <v>1748</v>
      </c>
    </row>
    <row r="935" spans="11:11" x14ac:dyDescent="0.25">
      <c r="K935" s="191" t="s">
        <v>1749</v>
      </c>
    </row>
    <row r="936" spans="11:11" x14ac:dyDescent="0.25">
      <c r="K936" s="191" t="s">
        <v>1750</v>
      </c>
    </row>
    <row r="937" spans="11:11" x14ac:dyDescent="0.25">
      <c r="K937" s="191" t="s">
        <v>1751</v>
      </c>
    </row>
    <row r="938" spans="11:11" x14ac:dyDescent="0.25">
      <c r="K938" s="191" t="s">
        <v>1752</v>
      </c>
    </row>
    <row r="939" spans="11:11" x14ac:dyDescent="0.25">
      <c r="K939" s="191" t="s">
        <v>1753</v>
      </c>
    </row>
    <row r="940" spans="11:11" x14ac:dyDescent="0.25">
      <c r="K940" s="191" t="s">
        <v>1754</v>
      </c>
    </row>
    <row r="941" spans="11:11" x14ac:dyDescent="0.25">
      <c r="K941" s="191" t="s">
        <v>1755</v>
      </c>
    </row>
    <row r="942" spans="11:11" x14ac:dyDescent="0.25">
      <c r="K942" s="191" t="s">
        <v>1756</v>
      </c>
    </row>
    <row r="943" spans="11:11" x14ac:dyDescent="0.25">
      <c r="K943" s="191" t="s">
        <v>1757</v>
      </c>
    </row>
    <row r="944" spans="11:11" x14ac:dyDescent="0.25">
      <c r="K944" s="191" t="s">
        <v>1758</v>
      </c>
    </row>
    <row r="945" spans="11:11" x14ac:dyDescent="0.25">
      <c r="K945" s="191" t="s">
        <v>1759</v>
      </c>
    </row>
    <row r="946" spans="11:11" x14ac:dyDescent="0.25">
      <c r="K946" s="191" t="s">
        <v>1760</v>
      </c>
    </row>
    <row r="947" spans="11:11" x14ac:dyDescent="0.25">
      <c r="K947" s="191" t="s">
        <v>1761</v>
      </c>
    </row>
    <row r="948" spans="11:11" x14ac:dyDescent="0.25">
      <c r="K948" s="191" t="s">
        <v>1762</v>
      </c>
    </row>
    <row r="949" spans="11:11" x14ac:dyDescent="0.25">
      <c r="K949" s="191" t="s">
        <v>1763</v>
      </c>
    </row>
    <row r="950" spans="11:11" x14ac:dyDescent="0.25">
      <c r="K950" s="191" t="s">
        <v>1764</v>
      </c>
    </row>
    <row r="951" spans="11:11" x14ac:dyDescent="0.25">
      <c r="K951" s="191" t="s">
        <v>1765</v>
      </c>
    </row>
    <row r="952" spans="11:11" x14ac:dyDescent="0.25">
      <c r="K952" s="191" t="s">
        <v>1766</v>
      </c>
    </row>
    <row r="953" spans="11:11" x14ac:dyDescent="0.25">
      <c r="K953" s="191" t="s">
        <v>1767</v>
      </c>
    </row>
    <row r="954" spans="11:11" x14ac:dyDescent="0.25">
      <c r="K954" s="191" t="s">
        <v>1768</v>
      </c>
    </row>
    <row r="955" spans="11:11" x14ac:dyDescent="0.25">
      <c r="K955" s="191" t="s">
        <v>1769</v>
      </c>
    </row>
    <row r="956" spans="11:11" x14ac:dyDescent="0.25">
      <c r="K956" s="191" t="s">
        <v>1770</v>
      </c>
    </row>
    <row r="957" spans="11:11" x14ac:dyDescent="0.25">
      <c r="K957" s="191" t="s">
        <v>1771</v>
      </c>
    </row>
    <row r="958" spans="11:11" x14ac:dyDescent="0.25">
      <c r="K958" s="191" t="s">
        <v>1772</v>
      </c>
    </row>
    <row r="959" spans="11:11" x14ac:dyDescent="0.25">
      <c r="K959" s="191" t="s">
        <v>1773</v>
      </c>
    </row>
    <row r="960" spans="11:11" x14ac:dyDescent="0.25">
      <c r="K960" s="191" t="s">
        <v>1774</v>
      </c>
    </row>
    <row r="961" spans="11:11" x14ac:dyDescent="0.25">
      <c r="K961" s="191" t="s">
        <v>1775</v>
      </c>
    </row>
    <row r="962" spans="11:11" x14ac:dyDescent="0.25">
      <c r="K962" s="191" t="s">
        <v>1776</v>
      </c>
    </row>
    <row r="963" spans="11:11" x14ac:dyDescent="0.25">
      <c r="K963" s="191" t="s">
        <v>1777</v>
      </c>
    </row>
    <row r="964" spans="11:11" x14ac:dyDescent="0.25">
      <c r="K964" s="191" t="s">
        <v>1778</v>
      </c>
    </row>
    <row r="965" spans="11:11" x14ac:dyDescent="0.25">
      <c r="K965" s="191" t="s">
        <v>1779</v>
      </c>
    </row>
    <row r="966" spans="11:11" x14ac:dyDescent="0.25">
      <c r="K966" s="191" t="s">
        <v>1780</v>
      </c>
    </row>
    <row r="967" spans="11:11" x14ac:dyDescent="0.25">
      <c r="K967" s="191" t="s">
        <v>1781</v>
      </c>
    </row>
    <row r="968" spans="11:11" x14ac:dyDescent="0.25">
      <c r="K968" s="191" t="s">
        <v>1782</v>
      </c>
    </row>
    <row r="969" spans="11:11" x14ac:dyDescent="0.25">
      <c r="K969" s="191" t="s">
        <v>1783</v>
      </c>
    </row>
    <row r="970" spans="11:11" x14ac:dyDescent="0.25">
      <c r="K970" s="191" t="s">
        <v>1784</v>
      </c>
    </row>
    <row r="971" spans="11:11" x14ac:dyDescent="0.25">
      <c r="K971" s="191" t="s">
        <v>1785</v>
      </c>
    </row>
    <row r="972" spans="11:11" x14ac:dyDescent="0.25">
      <c r="K972" s="191" t="s">
        <v>1786</v>
      </c>
    </row>
    <row r="973" spans="11:11" x14ac:dyDescent="0.25">
      <c r="K973" s="191" t="s">
        <v>1787</v>
      </c>
    </row>
    <row r="974" spans="11:11" x14ac:dyDescent="0.25">
      <c r="K974" s="191" t="s">
        <v>1788</v>
      </c>
    </row>
    <row r="975" spans="11:11" x14ac:dyDescent="0.25">
      <c r="K975" s="191" t="s">
        <v>1789</v>
      </c>
    </row>
    <row r="976" spans="11:11" x14ac:dyDescent="0.25">
      <c r="K976" s="191" t="s">
        <v>1790</v>
      </c>
    </row>
    <row r="977" spans="11:11" x14ac:dyDescent="0.25">
      <c r="K977" s="191" t="s">
        <v>1791</v>
      </c>
    </row>
    <row r="978" spans="11:11" x14ac:dyDescent="0.25">
      <c r="K978" s="191" t="s">
        <v>1792</v>
      </c>
    </row>
    <row r="979" spans="11:11" x14ac:dyDescent="0.25">
      <c r="K979" s="191" t="s">
        <v>1793</v>
      </c>
    </row>
    <row r="980" spans="11:11" x14ac:dyDescent="0.25">
      <c r="K980" s="191" t="s">
        <v>1794</v>
      </c>
    </row>
    <row r="981" spans="11:11" x14ac:dyDescent="0.25">
      <c r="K981" s="191" t="s">
        <v>1795</v>
      </c>
    </row>
    <row r="982" spans="11:11" x14ac:dyDescent="0.25">
      <c r="K982" s="191" t="s">
        <v>1796</v>
      </c>
    </row>
    <row r="983" spans="11:11" x14ac:dyDescent="0.25">
      <c r="K983" s="191" t="s">
        <v>1797</v>
      </c>
    </row>
    <row r="984" spans="11:11" x14ac:dyDescent="0.25">
      <c r="K984" s="191" t="s">
        <v>1798</v>
      </c>
    </row>
    <row r="985" spans="11:11" x14ac:dyDescent="0.25">
      <c r="K985" s="191" t="s">
        <v>1799</v>
      </c>
    </row>
    <row r="986" spans="11:11" x14ac:dyDescent="0.25">
      <c r="K986" s="191" t="s">
        <v>1800</v>
      </c>
    </row>
    <row r="987" spans="11:11" x14ac:dyDescent="0.25">
      <c r="K987" s="191" t="s">
        <v>1801</v>
      </c>
    </row>
    <row r="988" spans="11:11" x14ac:dyDescent="0.25">
      <c r="K988" s="191" t="s">
        <v>1802</v>
      </c>
    </row>
    <row r="989" spans="11:11" x14ac:dyDescent="0.25">
      <c r="K989" s="191" t="s">
        <v>1803</v>
      </c>
    </row>
    <row r="990" spans="11:11" x14ac:dyDescent="0.25">
      <c r="K990" s="191" t="s">
        <v>1804</v>
      </c>
    </row>
    <row r="991" spans="11:11" x14ac:dyDescent="0.25">
      <c r="K991" s="191" t="s">
        <v>1805</v>
      </c>
    </row>
    <row r="992" spans="11:11" x14ac:dyDescent="0.25">
      <c r="K992" s="191" t="s">
        <v>1806</v>
      </c>
    </row>
    <row r="993" spans="11:11" x14ac:dyDescent="0.25">
      <c r="K993" s="191" t="s">
        <v>1807</v>
      </c>
    </row>
    <row r="994" spans="11:11" x14ac:dyDescent="0.25">
      <c r="K994" s="191" t="s">
        <v>1808</v>
      </c>
    </row>
    <row r="995" spans="11:11" x14ac:dyDescent="0.25">
      <c r="K995" s="191" t="s">
        <v>1809</v>
      </c>
    </row>
    <row r="996" spans="11:11" x14ac:dyDescent="0.25">
      <c r="K996" s="191" t="s">
        <v>1810</v>
      </c>
    </row>
    <row r="997" spans="11:11" x14ac:dyDescent="0.25">
      <c r="K997" s="191" t="s">
        <v>1811</v>
      </c>
    </row>
    <row r="998" spans="11:11" x14ac:dyDescent="0.25">
      <c r="K998" s="191" t="s">
        <v>1812</v>
      </c>
    </row>
    <row r="999" spans="11:11" x14ac:dyDescent="0.25">
      <c r="K999" s="191" t="s">
        <v>1813</v>
      </c>
    </row>
    <row r="1000" spans="11:11" x14ac:dyDescent="0.25">
      <c r="K1000" s="191" t="s">
        <v>1814</v>
      </c>
    </row>
    <row r="1001" spans="11:11" x14ac:dyDescent="0.25">
      <c r="K1001" s="191" t="s">
        <v>1815</v>
      </c>
    </row>
    <row r="1002" spans="11:11" x14ac:dyDescent="0.25">
      <c r="K1002" s="191" t="s">
        <v>1816</v>
      </c>
    </row>
    <row r="1003" spans="11:11" x14ac:dyDescent="0.25">
      <c r="K1003" s="191" t="s">
        <v>1817</v>
      </c>
    </row>
    <row r="1004" spans="11:11" x14ac:dyDescent="0.25">
      <c r="K1004" s="191" t="s">
        <v>1818</v>
      </c>
    </row>
    <row r="1005" spans="11:11" x14ac:dyDescent="0.25">
      <c r="K1005" s="191" t="s">
        <v>1819</v>
      </c>
    </row>
    <row r="1006" spans="11:11" x14ac:dyDescent="0.25">
      <c r="K1006" s="191" t="s">
        <v>1820</v>
      </c>
    </row>
    <row r="1007" spans="11:11" x14ac:dyDescent="0.25">
      <c r="K1007" s="191" t="s">
        <v>1821</v>
      </c>
    </row>
    <row r="1008" spans="11:11" x14ac:dyDescent="0.25">
      <c r="K1008" s="191" t="s">
        <v>1822</v>
      </c>
    </row>
    <row r="1009" spans="11:11" x14ac:dyDescent="0.25">
      <c r="K1009" s="191" t="s">
        <v>1823</v>
      </c>
    </row>
    <row r="1010" spans="11:11" x14ac:dyDescent="0.25">
      <c r="K1010" s="191" t="s">
        <v>1824</v>
      </c>
    </row>
    <row r="1011" spans="11:11" x14ac:dyDescent="0.25">
      <c r="K1011" s="191" t="s">
        <v>1825</v>
      </c>
    </row>
    <row r="1012" spans="11:11" x14ac:dyDescent="0.25">
      <c r="K1012" s="191" t="s">
        <v>1826</v>
      </c>
    </row>
    <row r="1013" spans="11:11" x14ac:dyDescent="0.25">
      <c r="K1013" s="191" t="s">
        <v>1827</v>
      </c>
    </row>
    <row r="1014" spans="11:11" x14ac:dyDescent="0.25">
      <c r="K1014" s="191" t="s">
        <v>1828</v>
      </c>
    </row>
    <row r="1015" spans="11:11" x14ac:dyDescent="0.25">
      <c r="K1015" s="191" t="s">
        <v>1829</v>
      </c>
    </row>
    <row r="1016" spans="11:11" x14ac:dyDescent="0.25">
      <c r="K1016" s="191" t="s">
        <v>1830</v>
      </c>
    </row>
    <row r="1017" spans="11:11" x14ac:dyDescent="0.25">
      <c r="K1017" s="191" t="s">
        <v>1831</v>
      </c>
    </row>
    <row r="1018" spans="11:11" x14ac:dyDescent="0.25">
      <c r="K1018" s="191" t="s">
        <v>1832</v>
      </c>
    </row>
    <row r="1019" spans="11:11" x14ac:dyDescent="0.25">
      <c r="K1019" s="191" t="s">
        <v>1833</v>
      </c>
    </row>
    <row r="1020" spans="11:11" x14ac:dyDescent="0.25">
      <c r="K1020" s="191" t="s">
        <v>1834</v>
      </c>
    </row>
    <row r="1021" spans="11:11" x14ac:dyDescent="0.25">
      <c r="K1021" s="191" t="s">
        <v>1835</v>
      </c>
    </row>
    <row r="1022" spans="11:11" x14ac:dyDescent="0.25">
      <c r="K1022" s="191" t="s">
        <v>1836</v>
      </c>
    </row>
    <row r="1023" spans="11:11" x14ac:dyDescent="0.25">
      <c r="K1023" s="191" t="s">
        <v>1837</v>
      </c>
    </row>
    <row r="1024" spans="11:11" x14ac:dyDescent="0.25">
      <c r="K1024" s="191" t="s">
        <v>1838</v>
      </c>
    </row>
    <row r="1025" spans="11:11" x14ac:dyDescent="0.25">
      <c r="K1025" s="191" t="s">
        <v>1839</v>
      </c>
    </row>
    <row r="1026" spans="11:11" x14ac:dyDescent="0.25">
      <c r="K1026" s="191" t="s">
        <v>1840</v>
      </c>
    </row>
    <row r="1027" spans="11:11" x14ac:dyDescent="0.25">
      <c r="K1027" s="191" t="s">
        <v>1841</v>
      </c>
    </row>
    <row r="1028" spans="11:11" x14ac:dyDescent="0.25">
      <c r="K1028" s="191" t="s">
        <v>1842</v>
      </c>
    </row>
    <row r="1029" spans="11:11" x14ac:dyDescent="0.25">
      <c r="K1029" s="191" t="s">
        <v>1843</v>
      </c>
    </row>
    <row r="1030" spans="11:11" x14ac:dyDescent="0.25">
      <c r="K1030" s="191" t="s">
        <v>1844</v>
      </c>
    </row>
    <row r="1031" spans="11:11" x14ac:dyDescent="0.25">
      <c r="K1031" s="191" t="s">
        <v>1845</v>
      </c>
    </row>
    <row r="1032" spans="11:11" x14ac:dyDescent="0.25">
      <c r="K1032" s="191" t="s">
        <v>1846</v>
      </c>
    </row>
    <row r="1033" spans="11:11" x14ac:dyDescent="0.25">
      <c r="K1033" s="191" t="s">
        <v>1847</v>
      </c>
    </row>
    <row r="1034" spans="11:11" x14ac:dyDescent="0.25">
      <c r="K1034" s="191" t="s">
        <v>1848</v>
      </c>
    </row>
    <row r="1035" spans="11:11" x14ac:dyDescent="0.25">
      <c r="K1035" s="191" t="s">
        <v>1849</v>
      </c>
    </row>
    <row r="1036" spans="11:11" x14ac:dyDescent="0.25">
      <c r="K1036" s="191" t="s">
        <v>1850</v>
      </c>
    </row>
    <row r="1037" spans="11:11" x14ac:dyDescent="0.25">
      <c r="K1037" s="191" t="s">
        <v>1851</v>
      </c>
    </row>
    <row r="1038" spans="11:11" x14ac:dyDescent="0.25">
      <c r="K1038" s="191" t="s">
        <v>1852</v>
      </c>
    </row>
    <row r="1039" spans="11:11" x14ac:dyDescent="0.25">
      <c r="K1039" s="191" t="s">
        <v>1853</v>
      </c>
    </row>
    <row r="1040" spans="11:11" x14ac:dyDescent="0.25">
      <c r="K1040" s="191" t="s">
        <v>1854</v>
      </c>
    </row>
    <row r="1041" spans="11:11" x14ac:dyDescent="0.25">
      <c r="K1041" s="191" t="s">
        <v>1855</v>
      </c>
    </row>
    <row r="1042" spans="11:11" x14ac:dyDescent="0.25">
      <c r="K1042" s="191" t="s">
        <v>1856</v>
      </c>
    </row>
    <row r="1043" spans="11:11" x14ac:dyDescent="0.25">
      <c r="K1043" s="191" t="s">
        <v>1857</v>
      </c>
    </row>
    <row r="1044" spans="11:11" x14ac:dyDescent="0.25">
      <c r="K1044" s="191" t="s">
        <v>1858</v>
      </c>
    </row>
    <row r="1045" spans="11:11" x14ac:dyDescent="0.25">
      <c r="K1045" s="191" t="s">
        <v>1859</v>
      </c>
    </row>
    <row r="1046" spans="11:11" x14ac:dyDescent="0.25">
      <c r="K1046" s="191" t="s">
        <v>1860</v>
      </c>
    </row>
    <row r="1047" spans="11:11" x14ac:dyDescent="0.25">
      <c r="K1047" s="191" t="s">
        <v>1861</v>
      </c>
    </row>
    <row r="1048" spans="11:11" x14ac:dyDescent="0.25">
      <c r="K1048" s="191" t="s">
        <v>1862</v>
      </c>
    </row>
    <row r="1049" spans="11:11" x14ac:dyDescent="0.25">
      <c r="K1049" s="191" t="s">
        <v>1863</v>
      </c>
    </row>
    <row r="1050" spans="11:11" x14ac:dyDescent="0.25">
      <c r="K1050" s="191" t="s">
        <v>1864</v>
      </c>
    </row>
    <row r="1051" spans="11:11" x14ac:dyDescent="0.25">
      <c r="K1051" s="191" t="s">
        <v>1865</v>
      </c>
    </row>
    <row r="1052" spans="11:11" x14ac:dyDescent="0.25">
      <c r="K1052" s="191" t="s">
        <v>1866</v>
      </c>
    </row>
    <row r="1053" spans="11:11" x14ac:dyDescent="0.25">
      <c r="K1053" s="191" t="s">
        <v>1867</v>
      </c>
    </row>
    <row r="1054" spans="11:11" x14ac:dyDescent="0.25">
      <c r="K1054" s="191" t="s">
        <v>1868</v>
      </c>
    </row>
    <row r="1055" spans="11:11" x14ac:dyDescent="0.25">
      <c r="K1055" s="191" t="s">
        <v>1869</v>
      </c>
    </row>
    <row r="1056" spans="11:11" x14ac:dyDescent="0.25">
      <c r="K1056" s="191" t="s">
        <v>1869</v>
      </c>
    </row>
    <row r="1057" spans="11:11" x14ac:dyDescent="0.25">
      <c r="K1057" s="191" t="s">
        <v>1870</v>
      </c>
    </row>
    <row r="1058" spans="11:11" x14ac:dyDescent="0.25">
      <c r="K1058" s="191" t="s">
        <v>1871</v>
      </c>
    </row>
    <row r="1059" spans="11:11" x14ac:dyDescent="0.25">
      <c r="K1059" s="191" t="s">
        <v>1872</v>
      </c>
    </row>
    <row r="1060" spans="11:11" x14ac:dyDescent="0.25">
      <c r="K1060" s="191" t="s">
        <v>1873</v>
      </c>
    </row>
    <row r="1061" spans="11:11" x14ac:dyDescent="0.25">
      <c r="K1061" s="191" t="s">
        <v>1874</v>
      </c>
    </row>
    <row r="1062" spans="11:11" x14ac:dyDescent="0.25">
      <c r="K1062" s="191" t="s">
        <v>1875</v>
      </c>
    </row>
    <row r="1063" spans="11:11" x14ac:dyDescent="0.25">
      <c r="K1063" s="191" t="s">
        <v>1876</v>
      </c>
    </row>
    <row r="1064" spans="11:11" x14ac:dyDescent="0.25">
      <c r="K1064" s="191" t="s">
        <v>1877</v>
      </c>
    </row>
    <row r="1065" spans="11:11" x14ac:dyDescent="0.25">
      <c r="K1065" s="191" t="s">
        <v>1878</v>
      </c>
    </row>
    <row r="1066" spans="11:11" x14ac:dyDescent="0.25">
      <c r="K1066" s="191" t="s">
        <v>1879</v>
      </c>
    </row>
    <row r="1067" spans="11:11" x14ac:dyDescent="0.25">
      <c r="K1067" s="191" t="s">
        <v>1880</v>
      </c>
    </row>
    <row r="1068" spans="11:11" x14ac:dyDescent="0.25">
      <c r="K1068" s="191" t="s">
        <v>1881</v>
      </c>
    </row>
    <row r="1069" spans="11:11" x14ac:dyDescent="0.25">
      <c r="K1069" s="191" t="s">
        <v>1882</v>
      </c>
    </row>
    <row r="1070" spans="11:11" x14ac:dyDescent="0.25">
      <c r="K1070" s="191" t="s">
        <v>1883</v>
      </c>
    </row>
    <row r="1071" spans="11:11" x14ac:dyDescent="0.25">
      <c r="K1071" s="191" t="s">
        <v>1884</v>
      </c>
    </row>
    <row r="1072" spans="11:11" x14ac:dyDescent="0.25">
      <c r="K1072" s="191" t="s">
        <v>1885</v>
      </c>
    </row>
    <row r="1073" spans="11:11" x14ac:dyDescent="0.25">
      <c r="K1073" s="191" t="s">
        <v>1886</v>
      </c>
    </row>
    <row r="1074" spans="11:11" x14ac:dyDescent="0.25">
      <c r="K1074" s="191" t="s">
        <v>1887</v>
      </c>
    </row>
    <row r="1075" spans="11:11" x14ac:dyDescent="0.25">
      <c r="K1075" s="191" t="s">
        <v>1888</v>
      </c>
    </row>
    <row r="1076" spans="11:11" x14ac:dyDescent="0.25">
      <c r="K1076" s="191" t="s">
        <v>1889</v>
      </c>
    </row>
    <row r="1077" spans="11:11" x14ac:dyDescent="0.25">
      <c r="K1077" s="191" t="s">
        <v>1890</v>
      </c>
    </row>
    <row r="1078" spans="11:11" x14ac:dyDescent="0.25">
      <c r="K1078" s="191" t="s">
        <v>1891</v>
      </c>
    </row>
    <row r="1079" spans="11:11" x14ac:dyDescent="0.25">
      <c r="K1079" s="191" t="s">
        <v>1892</v>
      </c>
    </row>
    <row r="1080" spans="11:11" x14ac:dyDescent="0.25">
      <c r="K1080" s="191" t="s">
        <v>1893</v>
      </c>
    </row>
    <row r="1081" spans="11:11" x14ac:dyDescent="0.25">
      <c r="K1081" s="191" t="s">
        <v>1894</v>
      </c>
    </row>
    <row r="1082" spans="11:11" x14ac:dyDescent="0.25">
      <c r="K1082" s="191" t="s">
        <v>1895</v>
      </c>
    </row>
    <row r="1083" spans="11:11" x14ac:dyDescent="0.25">
      <c r="K1083" s="191" t="s">
        <v>1896</v>
      </c>
    </row>
    <row r="1084" spans="11:11" x14ac:dyDescent="0.25">
      <c r="K1084" s="191" t="s">
        <v>1897</v>
      </c>
    </row>
    <row r="1085" spans="11:11" x14ac:dyDescent="0.25">
      <c r="K1085" s="191" t="s">
        <v>1898</v>
      </c>
    </row>
    <row r="1086" spans="11:11" x14ac:dyDescent="0.25">
      <c r="K1086" s="191" t="s">
        <v>1899</v>
      </c>
    </row>
    <row r="1087" spans="11:11" x14ac:dyDescent="0.25">
      <c r="K1087" s="191" t="s">
        <v>1900</v>
      </c>
    </row>
    <row r="1088" spans="11:11" x14ac:dyDescent="0.25">
      <c r="K1088" s="191" t="s">
        <v>1901</v>
      </c>
    </row>
    <row r="1089" spans="11:11" x14ac:dyDescent="0.25">
      <c r="K1089" s="191" t="s">
        <v>1902</v>
      </c>
    </row>
    <row r="1090" spans="11:11" x14ac:dyDescent="0.25">
      <c r="K1090" s="191" t="s">
        <v>1903</v>
      </c>
    </row>
    <row r="1091" spans="11:11" x14ac:dyDescent="0.25">
      <c r="K1091" s="191" t="s">
        <v>1904</v>
      </c>
    </row>
    <row r="1092" spans="11:11" x14ac:dyDescent="0.25">
      <c r="K1092" s="191" t="s">
        <v>1905</v>
      </c>
    </row>
    <row r="1093" spans="11:11" x14ac:dyDescent="0.25">
      <c r="K1093" s="191" t="s">
        <v>1906</v>
      </c>
    </row>
    <row r="1094" spans="11:11" x14ac:dyDescent="0.25">
      <c r="K1094" s="191" t="s">
        <v>1907</v>
      </c>
    </row>
    <row r="1095" spans="11:11" x14ac:dyDescent="0.25">
      <c r="K1095" s="191" t="s">
        <v>1908</v>
      </c>
    </row>
    <row r="1096" spans="11:11" x14ac:dyDescent="0.25">
      <c r="K1096" s="191" t="s">
        <v>1909</v>
      </c>
    </row>
    <row r="1097" spans="11:11" x14ac:dyDescent="0.25">
      <c r="K1097" s="191" t="s">
        <v>1910</v>
      </c>
    </row>
    <row r="1098" spans="11:11" x14ac:dyDescent="0.25">
      <c r="K1098" s="191" t="s">
        <v>1909</v>
      </c>
    </row>
    <row r="1099" spans="11:11" x14ac:dyDescent="0.25">
      <c r="K1099" s="191" t="s">
        <v>1911</v>
      </c>
    </row>
    <row r="1100" spans="11:11" x14ac:dyDescent="0.25">
      <c r="K1100" s="191" t="s">
        <v>1912</v>
      </c>
    </row>
    <row r="1101" spans="11:11" x14ac:dyDescent="0.25">
      <c r="K1101" s="191" t="s">
        <v>1913</v>
      </c>
    </row>
    <row r="1102" spans="11:11" x14ac:dyDescent="0.25">
      <c r="K1102" s="191" t="s">
        <v>1914</v>
      </c>
    </row>
    <row r="1103" spans="11:11" x14ac:dyDescent="0.25">
      <c r="K1103" s="191" t="s">
        <v>1915</v>
      </c>
    </row>
    <row r="1104" spans="11:11" x14ac:dyDescent="0.25">
      <c r="K1104" s="191" t="s">
        <v>1916</v>
      </c>
    </row>
    <row r="1105" spans="11:11" x14ac:dyDescent="0.25">
      <c r="K1105" s="191" t="s">
        <v>1917</v>
      </c>
    </row>
    <row r="1106" spans="11:11" x14ac:dyDescent="0.25">
      <c r="K1106" s="191" t="s">
        <v>1918</v>
      </c>
    </row>
    <row r="1107" spans="11:11" x14ac:dyDescent="0.25">
      <c r="K1107" s="191" t="s">
        <v>1919</v>
      </c>
    </row>
    <row r="1108" spans="11:11" x14ac:dyDescent="0.25">
      <c r="K1108" s="191" t="s">
        <v>1920</v>
      </c>
    </row>
    <row r="1109" spans="11:11" x14ac:dyDescent="0.25">
      <c r="K1109" s="191" t="s">
        <v>1921</v>
      </c>
    </row>
    <row r="1110" spans="11:11" x14ac:dyDescent="0.25">
      <c r="K1110" s="191" t="s">
        <v>1922</v>
      </c>
    </row>
    <row r="1111" spans="11:11" x14ac:dyDescent="0.25">
      <c r="K1111" s="191" t="s">
        <v>1923</v>
      </c>
    </row>
    <row r="1112" spans="11:11" x14ac:dyDescent="0.25">
      <c r="K1112" s="191" t="s">
        <v>1924</v>
      </c>
    </row>
    <row r="1113" spans="11:11" x14ac:dyDescent="0.25">
      <c r="K1113" s="191" t="s">
        <v>1925</v>
      </c>
    </row>
    <row r="1114" spans="11:11" x14ac:dyDescent="0.25">
      <c r="K1114" s="191" t="s">
        <v>1926</v>
      </c>
    </row>
    <row r="1115" spans="11:11" x14ac:dyDescent="0.25">
      <c r="K1115" s="191" t="s">
        <v>1927</v>
      </c>
    </row>
    <row r="1116" spans="11:11" x14ac:dyDescent="0.25">
      <c r="K1116" s="191" t="s">
        <v>1928</v>
      </c>
    </row>
    <row r="1117" spans="11:11" x14ac:dyDescent="0.25">
      <c r="K1117" s="191" t="s">
        <v>1929</v>
      </c>
    </row>
    <row r="1118" spans="11:11" x14ac:dyDescent="0.25">
      <c r="K1118" s="191" t="s">
        <v>1930</v>
      </c>
    </row>
    <row r="1119" spans="11:11" x14ac:dyDescent="0.25">
      <c r="K1119" s="191" t="s">
        <v>1931</v>
      </c>
    </row>
    <row r="1120" spans="11:11" x14ac:dyDescent="0.25">
      <c r="K1120" s="191" t="s">
        <v>1932</v>
      </c>
    </row>
    <row r="1121" spans="11:11" x14ac:dyDescent="0.25">
      <c r="K1121" s="191" t="s">
        <v>1933</v>
      </c>
    </row>
    <row r="1122" spans="11:11" x14ac:dyDescent="0.25">
      <c r="K1122" s="191" t="s">
        <v>1934</v>
      </c>
    </row>
    <row r="1123" spans="11:11" x14ac:dyDescent="0.25">
      <c r="K1123" s="191" t="s">
        <v>1935</v>
      </c>
    </row>
    <row r="1124" spans="11:11" x14ac:dyDescent="0.25">
      <c r="K1124" s="191" t="s">
        <v>1936</v>
      </c>
    </row>
    <row r="1125" spans="11:11" x14ac:dyDescent="0.25">
      <c r="K1125" s="191" t="s">
        <v>1937</v>
      </c>
    </row>
    <row r="1126" spans="11:11" x14ac:dyDescent="0.25">
      <c r="K1126" s="191" t="s">
        <v>1938</v>
      </c>
    </row>
    <row r="1127" spans="11:11" x14ac:dyDescent="0.25">
      <c r="K1127" s="191" t="s">
        <v>1939</v>
      </c>
    </row>
    <row r="1128" spans="11:11" x14ac:dyDescent="0.25">
      <c r="K1128" s="191" t="s">
        <v>1940</v>
      </c>
    </row>
    <row r="1129" spans="11:11" x14ac:dyDescent="0.25">
      <c r="K1129" s="191" t="s">
        <v>1941</v>
      </c>
    </row>
    <row r="1130" spans="11:11" x14ac:dyDescent="0.25">
      <c r="K1130" s="191" t="s">
        <v>1942</v>
      </c>
    </row>
    <row r="1131" spans="11:11" x14ac:dyDescent="0.25">
      <c r="K1131" s="191" t="s">
        <v>1943</v>
      </c>
    </row>
    <row r="1132" spans="11:11" x14ac:dyDescent="0.25">
      <c r="K1132" s="191" t="s">
        <v>1944</v>
      </c>
    </row>
    <row r="1133" spans="11:11" x14ac:dyDescent="0.25">
      <c r="K1133" s="191" t="s">
        <v>1945</v>
      </c>
    </row>
    <row r="1134" spans="11:11" x14ac:dyDescent="0.25">
      <c r="K1134" s="191" t="s">
        <v>1946</v>
      </c>
    </row>
    <row r="1135" spans="11:11" x14ac:dyDescent="0.25">
      <c r="K1135" s="191" t="s">
        <v>1947</v>
      </c>
    </row>
    <row r="1136" spans="11:11" x14ac:dyDescent="0.25">
      <c r="K1136" s="191" t="s">
        <v>1948</v>
      </c>
    </row>
    <row r="1137" spans="11:11" x14ac:dyDescent="0.25">
      <c r="K1137" s="191" t="s">
        <v>1949</v>
      </c>
    </row>
    <row r="1138" spans="11:11" x14ac:dyDescent="0.25">
      <c r="K1138" s="191" t="s">
        <v>1950</v>
      </c>
    </row>
    <row r="1139" spans="11:11" x14ac:dyDescent="0.25">
      <c r="K1139" s="191" t="s">
        <v>1951</v>
      </c>
    </row>
    <row r="1140" spans="11:11" x14ac:dyDescent="0.25">
      <c r="K1140" s="191" t="s">
        <v>1952</v>
      </c>
    </row>
    <row r="1141" spans="11:11" x14ac:dyDescent="0.25">
      <c r="K1141" s="191" t="s">
        <v>1953</v>
      </c>
    </row>
    <row r="1142" spans="11:11" x14ac:dyDescent="0.25">
      <c r="K1142" s="191" t="s">
        <v>1954</v>
      </c>
    </row>
    <row r="1143" spans="11:11" x14ac:dyDescent="0.25">
      <c r="K1143" s="191" t="s">
        <v>1955</v>
      </c>
    </row>
    <row r="1144" spans="11:11" x14ac:dyDescent="0.25">
      <c r="K1144" s="191" t="s">
        <v>1956</v>
      </c>
    </row>
    <row r="1145" spans="11:11" x14ac:dyDescent="0.25">
      <c r="K1145" s="191" t="s">
        <v>1957</v>
      </c>
    </row>
    <row r="1146" spans="11:11" x14ac:dyDescent="0.25">
      <c r="K1146" s="191" t="s">
        <v>1958</v>
      </c>
    </row>
    <row r="1147" spans="11:11" x14ac:dyDescent="0.25">
      <c r="K1147" s="191" t="s">
        <v>1959</v>
      </c>
    </row>
    <row r="1148" spans="11:11" x14ac:dyDescent="0.25">
      <c r="K1148" s="191" t="s">
        <v>1960</v>
      </c>
    </row>
    <row r="1149" spans="11:11" x14ac:dyDescent="0.25">
      <c r="K1149" s="191" t="s">
        <v>1961</v>
      </c>
    </row>
    <row r="1150" spans="11:11" x14ac:dyDescent="0.25">
      <c r="K1150" s="191" t="s">
        <v>1962</v>
      </c>
    </row>
    <row r="1151" spans="11:11" x14ac:dyDescent="0.25">
      <c r="K1151" s="191" t="s">
        <v>1963</v>
      </c>
    </row>
    <row r="1152" spans="11:11" x14ac:dyDescent="0.25">
      <c r="K1152" s="191" t="s">
        <v>1964</v>
      </c>
    </row>
    <row r="1153" spans="11:11" x14ac:dyDescent="0.25">
      <c r="K1153" s="191" t="s">
        <v>1965</v>
      </c>
    </row>
    <row r="1154" spans="11:11" x14ac:dyDescent="0.25">
      <c r="K1154" s="191" t="s">
        <v>1966</v>
      </c>
    </row>
    <row r="1155" spans="11:11" x14ac:dyDescent="0.25">
      <c r="K1155" s="191" t="s">
        <v>1967</v>
      </c>
    </row>
    <row r="1156" spans="11:11" x14ac:dyDescent="0.25">
      <c r="K1156" s="191" t="s">
        <v>1968</v>
      </c>
    </row>
    <row r="1157" spans="11:11" x14ac:dyDescent="0.25">
      <c r="K1157" s="191" t="s">
        <v>1969</v>
      </c>
    </row>
    <row r="1158" spans="11:11" x14ac:dyDescent="0.25">
      <c r="K1158" s="191" t="s">
        <v>1970</v>
      </c>
    </row>
    <row r="1159" spans="11:11" x14ac:dyDescent="0.25">
      <c r="K1159" s="191" t="s">
        <v>1971</v>
      </c>
    </row>
    <row r="1160" spans="11:11" x14ac:dyDescent="0.25">
      <c r="K1160" s="191" t="s">
        <v>1972</v>
      </c>
    </row>
    <row r="1161" spans="11:11" x14ac:dyDescent="0.25">
      <c r="K1161" s="191" t="s">
        <v>1973</v>
      </c>
    </row>
    <row r="1162" spans="11:11" x14ac:dyDescent="0.25">
      <c r="K1162" s="191" t="s">
        <v>1974</v>
      </c>
    </row>
    <row r="1163" spans="11:11" x14ac:dyDescent="0.25">
      <c r="K1163" s="191" t="s">
        <v>1975</v>
      </c>
    </row>
    <row r="1164" spans="11:11" x14ac:dyDescent="0.25">
      <c r="K1164" s="191" t="s">
        <v>1976</v>
      </c>
    </row>
    <row r="1165" spans="11:11" x14ac:dyDescent="0.25">
      <c r="K1165" s="191" t="s">
        <v>1977</v>
      </c>
    </row>
    <row r="1166" spans="11:11" x14ac:dyDescent="0.25">
      <c r="K1166" s="191" t="s">
        <v>1978</v>
      </c>
    </row>
    <row r="1167" spans="11:11" x14ac:dyDescent="0.25">
      <c r="K1167" s="191" t="s">
        <v>1979</v>
      </c>
    </row>
    <row r="1168" spans="11:11" x14ac:dyDescent="0.25">
      <c r="K1168" s="191" t="s">
        <v>1980</v>
      </c>
    </row>
    <row r="1169" spans="11:11" x14ac:dyDescent="0.25">
      <c r="K1169" s="191" t="s">
        <v>1981</v>
      </c>
    </row>
    <row r="1170" spans="11:11" x14ac:dyDescent="0.25">
      <c r="K1170" s="191" t="s">
        <v>1982</v>
      </c>
    </row>
    <row r="1171" spans="11:11" x14ac:dyDescent="0.25">
      <c r="K1171" s="191" t="s">
        <v>1983</v>
      </c>
    </row>
    <row r="1172" spans="11:11" x14ac:dyDescent="0.25">
      <c r="K1172" s="191" t="s">
        <v>1984</v>
      </c>
    </row>
    <row r="1173" spans="11:11" x14ac:dyDescent="0.25">
      <c r="K1173" s="191" t="s">
        <v>1985</v>
      </c>
    </row>
    <row r="1174" spans="11:11" x14ac:dyDescent="0.25">
      <c r="K1174" s="191" t="s">
        <v>1986</v>
      </c>
    </row>
    <row r="1175" spans="11:11" x14ac:dyDescent="0.25">
      <c r="K1175" s="191" t="s">
        <v>1987</v>
      </c>
    </row>
    <row r="1176" spans="11:11" x14ac:dyDescent="0.25">
      <c r="K1176" s="191" t="s">
        <v>1988</v>
      </c>
    </row>
    <row r="1177" spans="11:11" x14ac:dyDescent="0.25">
      <c r="K1177" s="191" t="s">
        <v>1989</v>
      </c>
    </row>
    <row r="1178" spans="11:11" x14ac:dyDescent="0.25">
      <c r="K1178" s="191" t="s">
        <v>1990</v>
      </c>
    </row>
    <row r="1179" spans="11:11" x14ac:dyDescent="0.25">
      <c r="K1179" s="191" t="s">
        <v>1991</v>
      </c>
    </row>
    <row r="1180" spans="11:11" x14ac:dyDescent="0.25">
      <c r="K1180" s="191" t="s">
        <v>1992</v>
      </c>
    </row>
    <row r="1181" spans="11:11" x14ac:dyDescent="0.25">
      <c r="K1181" s="191" t="s">
        <v>1993</v>
      </c>
    </row>
    <row r="1182" spans="11:11" x14ac:dyDescent="0.25">
      <c r="K1182" s="191" t="s">
        <v>1994</v>
      </c>
    </row>
    <row r="1183" spans="11:11" x14ac:dyDescent="0.25">
      <c r="K1183" s="191" t="s">
        <v>1995</v>
      </c>
    </row>
    <row r="1184" spans="11:11" x14ac:dyDescent="0.25">
      <c r="K1184" s="191" t="s">
        <v>1996</v>
      </c>
    </row>
    <row r="1185" spans="11:11" x14ac:dyDescent="0.25">
      <c r="K1185" s="191" t="s">
        <v>1997</v>
      </c>
    </row>
    <row r="1186" spans="11:11" x14ac:dyDescent="0.25">
      <c r="K1186" s="191" t="s">
        <v>1998</v>
      </c>
    </row>
    <row r="1187" spans="11:11" x14ac:dyDescent="0.25">
      <c r="K1187" s="191" t="s">
        <v>1999</v>
      </c>
    </row>
    <row r="1188" spans="11:11" x14ac:dyDescent="0.25">
      <c r="K1188" s="191" t="s">
        <v>2000</v>
      </c>
    </row>
    <row r="1189" spans="11:11" x14ac:dyDescent="0.25">
      <c r="K1189" s="191" t="s">
        <v>2001</v>
      </c>
    </row>
    <row r="1190" spans="11:11" x14ac:dyDescent="0.25">
      <c r="K1190" s="191" t="s">
        <v>2002</v>
      </c>
    </row>
    <row r="1191" spans="11:11" x14ac:dyDescent="0.25">
      <c r="K1191" s="191" t="s">
        <v>2003</v>
      </c>
    </row>
    <row r="1192" spans="11:11" x14ac:dyDescent="0.25">
      <c r="K1192" s="191" t="s">
        <v>2004</v>
      </c>
    </row>
    <row r="1193" spans="11:11" x14ac:dyDescent="0.25">
      <c r="K1193" s="191" t="s">
        <v>2005</v>
      </c>
    </row>
    <row r="1194" spans="11:11" x14ac:dyDescent="0.25">
      <c r="K1194" s="191" t="s">
        <v>2006</v>
      </c>
    </row>
    <row r="1195" spans="11:11" x14ac:dyDescent="0.25">
      <c r="K1195" s="191" t="s">
        <v>2007</v>
      </c>
    </row>
    <row r="1196" spans="11:11" x14ac:dyDescent="0.25">
      <c r="K1196" s="191" t="s">
        <v>2008</v>
      </c>
    </row>
    <row r="1197" spans="11:11" x14ac:dyDescent="0.25">
      <c r="K1197" s="191" t="s">
        <v>2009</v>
      </c>
    </row>
    <row r="1198" spans="11:11" x14ac:dyDescent="0.25">
      <c r="K1198" s="191" t="s">
        <v>2010</v>
      </c>
    </row>
    <row r="1199" spans="11:11" x14ac:dyDescent="0.25">
      <c r="K1199" s="191" t="s">
        <v>2011</v>
      </c>
    </row>
    <row r="1200" spans="11:11" x14ac:dyDescent="0.25">
      <c r="K1200" s="191" t="s">
        <v>2012</v>
      </c>
    </row>
    <row r="1201" spans="11:11" x14ac:dyDescent="0.25">
      <c r="K1201" s="191" t="s">
        <v>2013</v>
      </c>
    </row>
    <row r="1202" spans="11:11" x14ac:dyDescent="0.25">
      <c r="K1202" s="191" t="s">
        <v>2014</v>
      </c>
    </row>
    <row r="1203" spans="11:11" x14ac:dyDescent="0.25">
      <c r="K1203" s="191" t="s">
        <v>2015</v>
      </c>
    </row>
    <row r="1204" spans="11:11" x14ac:dyDescent="0.25">
      <c r="K1204" s="191" t="s">
        <v>2016</v>
      </c>
    </row>
    <row r="1205" spans="11:11" x14ac:dyDescent="0.25">
      <c r="K1205" s="191" t="s">
        <v>2017</v>
      </c>
    </row>
    <row r="1206" spans="11:11" x14ac:dyDescent="0.25">
      <c r="K1206" s="191" t="s">
        <v>2018</v>
      </c>
    </row>
    <row r="1207" spans="11:11" x14ac:dyDescent="0.25">
      <c r="K1207" s="191" t="s">
        <v>2019</v>
      </c>
    </row>
    <row r="1208" spans="11:11" x14ac:dyDescent="0.25">
      <c r="K1208" s="191" t="s">
        <v>2020</v>
      </c>
    </row>
    <row r="1209" spans="11:11" x14ac:dyDescent="0.25">
      <c r="K1209" s="191" t="s">
        <v>2021</v>
      </c>
    </row>
    <row r="1210" spans="11:11" x14ac:dyDescent="0.25">
      <c r="K1210" s="191" t="s">
        <v>2022</v>
      </c>
    </row>
    <row r="1211" spans="11:11" x14ac:dyDescent="0.25">
      <c r="K1211" s="191" t="s">
        <v>2023</v>
      </c>
    </row>
    <row r="1212" spans="11:11" x14ac:dyDescent="0.25">
      <c r="K1212" s="191" t="s">
        <v>2024</v>
      </c>
    </row>
    <row r="1213" spans="11:11" x14ac:dyDescent="0.25">
      <c r="K1213" s="191" t="s">
        <v>2025</v>
      </c>
    </row>
    <row r="1214" spans="11:11" x14ac:dyDescent="0.25">
      <c r="K1214" s="191" t="s">
        <v>2026</v>
      </c>
    </row>
    <row r="1215" spans="11:11" x14ac:dyDescent="0.25">
      <c r="K1215" s="191" t="s">
        <v>2027</v>
      </c>
    </row>
    <row r="1216" spans="11:11" x14ac:dyDescent="0.25">
      <c r="K1216" s="191" t="s">
        <v>2028</v>
      </c>
    </row>
    <row r="1217" spans="11:11" x14ac:dyDescent="0.25">
      <c r="K1217" s="191" t="s">
        <v>2029</v>
      </c>
    </row>
    <row r="1218" spans="11:11" x14ac:dyDescent="0.25">
      <c r="K1218" s="191" t="s">
        <v>2030</v>
      </c>
    </row>
    <row r="1219" spans="11:11" x14ac:dyDescent="0.25">
      <c r="K1219" s="191" t="s">
        <v>2031</v>
      </c>
    </row>
    <row r="1220" spans="11:11" x14ac:dyDescent="0.25">
      <c r="K1220" s="191" t="s">
        <v>2032</v>
      </c>
    </row>
    <row r="1221" spans="11:11" x14ac:dyDescent="0.25">
      <c r="K1221" s="191" t="s">
        <v>2033</v>
      </c>
    </row>
    <row r="1222" spans="11:11" x14ac:dyDescent="0.25">
      <c r="K1222" s="191" t="s">
        <v>2034</v>
      </c>
    </row>
    <row r="1223" spans="11:11" x14ac:dyDescent="0.25">
      <c r="K1223" s="191" t="s">
        <v>2035</v>
      </c>
    </row>
    <row r="1224" spans="11:11" x14ac:dyDescent="0.25">
      <c r="K1224" s="191" t="s">
        <v>2036</v>
      </c>
    </row>
    <row r="1225" spans="11:11" x14ac:dyDescent="0.25">
      <c r="K1225" s="191" t="s">
        <v>2037</v>
      </c>
    </row>
    <row r="1226" spans="11:11" x14ac:dyDescent="0.25">
      <c r="K1226" s="191" t="s">
        <v>2038</v>
      </c>
    </row>
    <row r="1227" spans="11:11" x14ac:dyDescent="0.25">
      <c r="K1227" s="191" t="s">
        <v>2039</v>
      </c>
    </row>
    <row r="1228" spans="11:11" x14ac:dyDescent="0.25">
      <c r="K1228" s="191" t="s">
        <v>2040</v>
      </c>
    </row>
    <row r="1229" spans="11:11" x14ac:dyDescent="0.25">
      <c r="K1229" s="191" t="s">
        <v>2041</v>
      </c>
    </row>
    <row r="1230" spans="11:11" x14ac:dyDescent="0.25">
      <c r="K1230" s="191" t="s">
        <v>2042</v>
      </c>
    </row>
    <row r="1231" spans="11:11" x14ac:dyDescent="0.25">
      <c r="K1231" s="191" t="s">
        <v>2043</v>
      </c>
    </row>
    <row r="1232" spans="11:11" x14ac:dyDescent="0.25">
      <c r="K1232" s="191" t="s">
        <v>2044</v>
      </c>
    </row>
    <row r="1233" spans="11:11" x14ac:dyDescent="0.25">
      <c r="K1233" s="191" t="s">
        <v>2045</v>
      </c>
    </row>
    <row r="1234" spans="11:11" x14ac:dyDescent="0.25">
      <c r="K1234" s="191" t="s">
        <v>2046</v>
      </c>
    </row>
    <row r="1235" spans="11:11" x14ac:dyDescent="0.25">
      <c r="K1235" s="191" t="s">
        <v>2047</v>
      </c>
    </row>
    <row r="1236" spans="11:11" x14ac:dyDescent="0.25">
      <c r="K1236" s="191" t="s">
        <v>2048</v>
      </c>
    </row>
    <row r="1237" spans="11:11" x14ac:dyDescent="0.25">
      <c r="K1237" s="191" t="s">
        <v>2049</v>
      </c>
    </row>
    <row r="1238" spans="11:11" x14ac:dyDescent="0.25">
      <c r="K1238" s="191" t="s">
        <v>2050</v>
      </c>
    </row>
    <row r="1239" spans="11:11" x14ac:dyDescent="0.25">
      <c r="K1239" s="191" t="s">
        <v>2051</v>
      </c>
    </row>
    <row r="1240" spans="11:11" x14ac:dyDescent="0.25">
      <c r="K1240" s="191" t="s">
        <v>2052</v>
      </c>
    </row>
    <row r="1241" spans="11:11" x14ac:dyDescent="0.25">
      <c r="K1241" s="191" t="s">
        <v>2053</v>
      </c>
    </row>
    <row r="1242" spans="11:11" x14ac:dyDescent="0.25">
      <c r="K1242" s="191" t="s">
        <v>2054</v>
      </c>
    </row>
    <row r="1243" spans="11:11" x14ac:dyDescent="0.25">
      <c r="K1243" s="191" t="s">
        <v>2055</v>
      </c>
    </row>
    <row r="1244" spans="11:11" x14ac:dyDescent="0.25">
      <c r="K1244" s="191" t="s">
        <v>2056</v>
      </c>
    </row>
    <row r="1245" spans="11:11" x14ac:dyDescent="0.25">
      <c r="K1245" s="191" t="s">
        <v>2057</v>
      </c>
    </row>
    <row r="1246" spans="11:11" x14ac:dyDescent="0.25">
      <c r="K1246" s="191" t="s">
        <v>2058</v>
      </c>
    </row>
    <row r="1247" spans="11:11" x14ac:dyDescent="0.25">
      <c r="K1247" s="191" t="s">
        <v>2059</v>
      </c>
    </row>
    <row r="1248" spans="11:11" x14ac:dyDescent="0.25">
      <c r="K1248" s="191" t="s">
        <v>2060</v>
      </c>
    </row>
    <row r="1249" spans="11:11" x14ac:dyDescent="0.25">
      <c r="K1249" s="191" t="s">
        <v>2061</v>
      </c>
    </row>
    <row r="1250" spans="11:11" x14ac:dyDescent="0.25">
      <c r="K1250" s="191" t="s">
        <v>2062</v>
      </c>
    </row>
    <row r="1251" spans="11:11" x14ac:dyDescent="0.25">
      <c r="K1251" s="191" t="s">
        <v>2063</v>
      </c>
    </row>
    <row r="1252" spans="11:11" x14ac:dyDescent="0.25">
      <c r="K1252" s="191" t="s">
        <v>2064</v>
      </c>
    </row>
    <row r="1253" spans="11:11" x14ac:dyDescent="0.25">
      <c r="K1253" s="191" t="s">
        <v>2065</v>
      </c>
    </row>
    <row r="1254" spans="11:11" x14ac:dyDescent="0.25">
      <c r="K1254" s="191" t="s">
        <v>2066</v>
      </c>
    </row>
    <row r="1255" spans="11:11" x14ac:dyDescent="0.25">
      <c r="K1255" s="191" t="s">
        <v>2067</v>
      </c>
    </row>
    <row r="1256" spans="11:11" x14ac:dyDescent="0.25">
      <c r="K1256" s="191" t="s">
        <v>2068</v>
      </c>
    </row>
    <row r="1257" spans="11:11" x14ac:dyDescent="0.25">
      <c r="K1257" s="191" t="s">
        <v>2069</v>
      </c>
    </row>
    <row r="1258" spans="11:11" x14ac:dyDescent="0.25">
      <c r="K1258" s="191" t="s">
        <v>2070</v>
      </c>
    </row>
    <row r="1259" spans="11:11" x14ac:dyDescent="0.25">
      <c r="K1259" s="191" t="s">
        <v>2071</v>
      </c>
    </row>
    <row r="1260" spans="11:11" x14ac:dyDescent="0.25">
      <c r="K1260" s="191" t="s">
        <v>2072</v>
      </c>
    </row>
    <row r="1261" spans="11:11" x14ac:dyDescent="0.25">
      <c r="K1261" s="191" t="s">
        <v>2073</v>
      </c>
    </row>
    <row r="1262" spans="11:11" x14ac:dyDescent="0.25">
      <c r="K1262" s="191" t="s">
        <v>2074</v>
      </c>
    </row>
    <row r="1263" spans="11:11" x14ac:dyDescent="0.25">
      <c r="K1263" s="191" t="s">
        <v>2075</v>
      </c>
    </row>
    <row r="1264" spans="11:11" x14ac:dyDescent="0.25">
      <c r="K1264" s="191" t="s">
        <v>2076</v>
      </c>
    </row>
    <row r="1265" spans="11:11" x14ac:dyDescent="0.25">
      <c r="K1265" s="191" t="s">
        <v>2077</v>
      </c>
    </row>
    <row r="1266" spans="11:11" x14ac:dyDescent="0.25">
      <c r="K1266" s="191" t="s">
        <v>2078</v>
      </c>
    </row>
    <row r="1267" spans="11:11" x14ac:dyDescent="0.25">
      <c r="K1267" s="191" t="s">
        <v>2079</v>
      </c>
    </row>
    <row r="1268" spans="11:11" x14ac:dyDescent="0.25">
      <c r="K1268" s="191" t="s">
        <v>2080</v>
      </c>
    </row>
    <row r="1269" spans="11:11" x14ac:dyDescent="0.25">
      <c r="K1269" s="191" t="s">
        <v>2081</v>
      </c>
    </row>
    <row r="1270" spans="11:11" x14ac:dyDescent="0.25">
      <c r="K1270" s="191" t="s">
        <v>2082</v>
      </c>
    </row>
    <row r="1271" spans="11:11" x14ac:dyDescent="0.25">
      <c r="K1271" s="191" t="s">
        <v>2083</v>
      </c>
    </row>
    <row r="1272" spans="11:11" x14ac:dyDescent="0.25">
      <c r="K1272" s="191" t="s">
        <v>2084</v>
      </c>
    </row>
    <row r="1273" spans="11:11" x14ac:dyDescent="0.25">
      <c r="K1273" s="191" t="s">
        <v>2085</v>
      </c>
    </row>
    <row r="1274" spans="11:11" x14ac:dyDescent="0.25">
      <c r="K1274" s="191" t="s">
        <v>2086</v>
      </c>
    </row>
    <row r="1275" spans="11:11" x14ac:dyDescent="0.25">
      <c r="K1275" s="191" t="s">
        <v>2087</v>
      </c>
    </row>
    <row r="1276" spans="11:11" x14ac:dyDescent="0.25">
      <c r="K1276" s="191" t="s">
        <v>2088</v>
      </c>
    </row>
    <row r="1277" spans="11:11" x14ac:dyDescent="0.25">
      <c r="K1277" s="191" t="s">
        <v>2089</v>
      </c>
    </row>
    <row r="1278" spans="11:11" x14ac:dyDescent="0.25">
      <c r="K1278" s="191" t="s">
        <v>2090</v>
      </c>
    </row>
    <row r="1279" spans="11:11" x14ac:dyDescent="0.25">
      <c r="K1279" s="191" t="s">
        <v>2091</v>
      </c>
    </row>
    <row r="1280" spans="11:11" x14ac:dyDescent="0.25">
      <c r="K1280" s="191" t="s">
        <v>2092</v>
      </c>
    </row>
    <row r="1281" spans="11:11" x14ac:dyDescent="0.25">
      <c r="K1281" s="191" t="s">
        <v>2093</v>
      </c>
    </row>
    <row r="1282" spans="11:11" x14ac:dyDescent="0.25">
      <c r="K1282" s="191" t="s">
        <v>2094</v>
      </c>
    </row>
    <row r="1283" spans="11:11" x14ac:dyDescent="0.25">
      <c r="K1283" s="191" t="s">
        <v>2095</v>
      </c>
    </row>
    <row r="1284" spans="11:11" x14ac:dyDescent="0.25">
      <c r="K1284" s="191" t="s">
        <v>2096</v>
      </c>
    </row>
    <row r="1285" spans="11:11" x14ac:dyDescent="0.25">
      <c r="K1285" s="191" t="s">
        <v>2097</v>
      </c>
    </row>
    <row r="1286" spans="11:11" x14ac:dyDescent="0.25">
      <c r="K1286" s="191" t="s">
        <v>2098</v>
      </c>
    </row>
    <row r="1287" spans="11:11" x14ac:dyDescent="0.25">
      <c r="K1287" s="191" t="s">
        <v>2099</v>
      </c>
    </row>
    <row r="1288" spans="11:11" x14ac:dyDescent="0.25">
      <c r="K1288" s="191" t="s">
        <v>2100</v>
      </c>
    </row>
    <row r="1289" spans="11:11" x14ac:dyDescent="0.25">
      <c r="K1289" s="191" t="s">
        <v>2101</v>
      </c>
    </row>
    <row r="1290" spans="11:11" x14ac:dyDescent="0.25">
      <c r="K1290" s="191" t="s">
        <v>2102</v>
      </c>
    </row>
    <row r="1291" spans="11:11" x14ac:dyDescent="0.25">
      <c r="K1291" s="191" t="s">
        <v>2103</v>
      </c>
    </row>
    <row r="1292" spans="11:11" x14ac:dyDescent="0.25">
      <c r="K1292" s="191" t="s">
        <v>2104</v>
      </c>
    </row>
    <row r="1293" spans="11:11" x14ac:dyDescent="0.25">
      <c r="K1293" s="191" t="s">
        <v>2105</v>
      </c>
    </row>
    <row r="1294" spans="11:11" x14ac:dyDescent="0.25">
      <c r="K1294" s="191" t="s">
        <v>2106</v>
      </c>
    </row>
    <row r="1295" spans="11:11" x14ac:dyDescent="0.25">
      <c r="K1295" s="191" t="s">
        <v>2107</v>
      </c>
    </row>
    <row r="1296" spans="11:11" x14ac:dyDescent="0.25">
      <c r="K1296" s="191" t="s">
        <v>2108</v>
      </c>
    </row>
    <row r="1297" spans="11:11" x14ac:dyDescent="0.25">
      <c r="K1297" s="191" t="s">
        <v>2109</v>
      </c>
    </row>
    <row r="1298" spans="11:11" x14ac:dyDescent="0.25">
      <c r="K1298" s="191" t="s">
        <v>2110</v>
      </c>
    </row>
    <row r="1299" spans="11:11" x14ac:dyDescent="0.25">
      <c r="K1299" s="191" t="s">
        <v>2111</v>
      </c>
    </row>
    <row r="1300" spans="11:11" x14ac:dyDescent="0.25">
      <c r="K1300" s="191" t="s">
        <v>2112</v>
      </c>
    </row>
    <row r="1301" spans="11:11" x14ac:dyDescent="0.25">
      <c r="K1301" s="191" t="s">
        <v>2113</v>
      </c>
    </row>
    <row r="1302" spans="11:11" x14ac:dyDescent="0.25">
      <c r="K1302" s="191" t="s">
        <v>2114</v>
      </c>
    </row>
    <row r="1303" spans="11:11" x14ac:dyDescent="0.25">
      <c r="K1303" s="191" t="s">
        <v>2115</v>
      </c>
    </row>
    <row r="1304" spans="11:11" x14ac:dyDescent="0.25">
      <c r="K1304" s="191" t="s">
        <v>2116</v>
      </c>
    </row>
    <row r="1305" spans="11:11" x14ac:dyDescent="0.25">
      <c r="K1305" s="191" t="s">
        <v>2117</v>
      </c>
    </row>
    <row r="1306" spans="11:11" x14ac:dyDescent="0.25">
      <c r="K1306" s="191" t="s">
        <v>2118</v>
      </c>
    </row>
    <row r="1307" spans="11:11" x14ac:dyDescent="0.25">
      <c r="K1307" s="191" t="s">
        <v>2119</v>
      </c>
    </row>
    <row r="1308" spans="11:11" x14ac:dyDescent="0.25">
      <c r="K1308" s="191" t="s">
        <v>2120</v>
      </c>
    </row>
    <row r="1309" spans="11:11" x14ac:dyDescent="0.25">
      <c r="K1309" s="191" t="s">
        <v>2121</v>
      </c>
    </row>
    <row r="1310" spans="11:11" x14ac:dyDescent="0.25">
      <c r="K1310" s="191" t="s">
        <v>2122</v>
      </c>
    </row>
    <row r="1311" spans="11:11" x14ac:dyDescent="0.25">
      <c r="K1311" s="191" t="s">
        <v>2123</v>
      </c>
    </row>
    <row r="1312" spans="11:11" x14ac:dyDescent="0.25">
      <c r="K1312" s="191" t="s">
        <v>2124</v>
      </c>
    </row>
    <row r="1313" spans="11:11" x14ac:dyDescent="0.25">
      <c r="K1313" s="191" t="s">
        <v>2125</v>
      </c>
    </row>
    <row r="1314" spans="11:11" x14ac:dyDescent="0.25">
      <c r="K1314" s="191" t="s">
        <v>2126</v>
      </c>
    </row>
    <row r="1315" spans="11:11" x14ac:dyDescent="0.25">
      <c r="K1315" s="191" t="s">
        <v>2127</v>
      </c>
    </row>
    <row r="1316" spans="11:11" x14ac:dyDescent="0.25">
      <c r="K1316" s="191" t="s">
        <v>2128</v>
      </c>
    </row>
    <row r="1317" spans="11:11" x14ac:dyDescent="0.25">
      <c r="K1317" s="191" t="s">
        <v>2129</v>
      </c>
    </row>
    <row r="1318" spans="11:11" x14ac:dyDescent="0.25">
      <c r="K1318" s="191" t="s">
        <v>2130</v>
      </c>
    </row>
    <row r="1319" spans="11:11" x14ac:dyDescent="0.25">
      <c r="K1319" s="191" t="s">
        <v>2131</v>
      </c>
    </row>
    <row r="1320" spans="11:11" x14ac:dyDescent="0.25">
      <c r="K1320" s="191" t="s">
        <v>2132</v>
      </c>
    </row>
    <row r="1321" spans="11:11" x14ac:dyDescent="0.25">
      <c r="K1321" s="191" t="s">
        <v>2133</v>
      </c>
    </row>
    <row r="1322" spans="11:11" x14ac:dyDescent="0.25">
      <c r="K1322" s="191" t="s">
        <v>2134</v>
      </c>
    </row>
    <row r="1323" spans="11:11" x14ac:dyDescent="0.25">
      <c r="K1323" s="191" t="s">
        <v>2135</v>
      </c>
    </row>
    <row r="1324" spans="11:11" x14ac:dyDescent="0.25">
      <c r="K1324" s="191" t="s">
        <v>2136</v>
      </c>
    </row>
    <row r="1325" spans="11:11" x14ac:dyDescent="0.25">
      <c r="K1325" s="191" t="s">
        <v>2137</v>
      </c>
    </row>
    <row r="1326" spans="11:11" x14ac:dyDescent="0.25">
      <c r="K1326" s="191" t="s">
        <v>2138</v>
      </c>
    </row>
    <row r="1327" spans="11:11" x14ac:dyDescent="0.25">
      <c r="K1327" s="191" t="s">
        <v>2139</v>
      </c>
    </row>
    <row r="1328" spans="11:11" x14ac:dyDescent="0.25">
      <c r="K1328" s="191" t="s">
        <v>2140</v>
      </c>
    </row>
    <row r="1329" spans="11:11" x14ac:dyDescent="0.25">
      <c r="K1329" s="191" t="s">
        <v>2141</v>
      </c>
    </row>
    <row r="1330" spans="11:11" x14ac:dyDescent="0.25">
      <c r="K1330" s="191" t="s">
        <v>2142</v>
      </c>
    </row>
    <row r="1331" spans="11:11" x14ac:dyDescent="0.25">
      <c r="K1331" s="191" t="s">
        <v>2143</v>
      </c>
    </row>
    <row r="1332" spans="11:11" x14ac:dyDescent="0.25">
      <c r="K1332" s="191" t="s">
        <v>2144</v>
      </c>
    </row>
    <row r="1333" spans="11:11" x14ac:dyDescent="0.25">
      <c r="K1333" s="191" t="s">
        <v>2145</v>
      </c>
    </row>
    <row r="1334" spans="11:11" x14ac:dyDescent="0.25">
      <c r="K1334" s="191" t="s">
        <v>2146</v>
      </c>
    </row>
    <row r="1335" spans="11:11" x14ac:dyDescent="0.25">
      <c r="K1335" s="191" t="s">
        <v>2147</v>
      </c>
    </row>
    <row r="1336" spans="11:11" x14ac:dyDescent="0.25">
      <c r="K1336" s="191" t="s">
        <v>2148</v>
      </c>
    </row>
    <row r="1337" spans="11:11" x14ac:dyDescent="0.25">
      <c r="K1337" s="191" t="s">
        <v>2149</v>
      </c>
    </row>
    <row r="1338" spans="11:11" x14ac:dyDescent="0.25">
      <c r="K1338" s="191" t="s">
        <v>2150</v>
      </c>
    </row>
    <row r="1339" spans="11:11" x14ac:dyDescent="0.25">
      <c r="K1339" s="191" t="s">
        <v>2151</v>
      </c>
    </row>
    <row r="1340" spans="11:11" x14ac:dyDescent="0.25">
      <c r="K1340" s="191" t="s">
        <v>2152</v>
      </c>
    </row>
    <row r="1341" spans="11:11" x14ac:dyDescent="0.25">
      <c r="K1341" s="191" t="s">
        <v>2153</v>
      </c>
    </row>
    <row r="1342" spans="11:11" x14ac:dyDescent="0.25">
      <c r="K1342" s="191" t="s">
        <v>2154</v>
      </c>
    </row>
    <row r="1343" spans="11:11" x14ac:dyDescent="0.25">
      <c r="K1343" s="191" t="s">
        <v>2155</v>
      </c>
    </row>
    <row r="1344" spans="11:11" x14ac:dyDescent="0.25">
      <c r="K1344" s="191" t="s">
        <v>2156</v>
      </c>
    </row>
    <row r="1345" spans="11:11" x14ac:dyDescent="0.25">
      <c r="K1345" s="191" t="s">
        <v>2157</v>
      </c>
    </row>
    <row r="1346" spans="11:11" x14ac:dyDescent="0.25">
      <c r="K1346" s="191" t="s">
        <v>2158</v>
      </c>
    </row>
    <row r="1347" spans="11:11" x14ac:dyDescent="0.25">
      <c r="K1347" s="191" t="s">
        <v>2159</v>
      </c>
    </row>
    <row r="1348" spans="11:11" x14ac:dyDescent="0.25">
      <c r="K1348" s="191" t="s">
        <v>2160</v>
      </c>
    </row>
    <row r="1349" spans="11:11" x14ac:dyDescent="0.25">
      <c r="K1349" s="191" t="s">
        <v>2161</v>
      </c>
    </row>
    <row r="1350" spans="11:11" x14ac:dyDescent="0.25">
      <c r="K1350" s="191" t="s">
        <v>2162</v>
      </c>
    </row>
    <row r="1351" spans="11:11" x14ac:dyDescent="0.25">
      <c r="K1351" s="191" t="s">
        <v>2163</v>
      </c>
    </row>
    <row r="1352" spans="11:11" x14ac:dyDescent="0.25">
      <c r="K1352" s="191" t="s">
        <v>2164</v>
      </c>
    </row>
    <row r="1353" spans="11:11" x14ac:dyDescent="0.25">
      <c r="K1353" s="191" t="s">
        <v>2165</v>
      </c>
    </row>
    <row r="1354" spans="11:11" x14ac:dyDescent="0.25">
      <c r="K1354" s="191" t="s">
        <v>2166</v>
      </c>
    </row>
    <row r="1355" spans="11:11" x14ac:dyDescent="0.25">
      <c r="K1355" s="191" t="s">
        <v>2167</v>
      </c>
    </row>
    <row r="1356" spans="11:11" x14ac:dyDescent="0.25">
      <c r="K1356" s="191" t="s">
        <v>2168</v>
      </c>
    </row>
    <row r="1357" spans="11:11" x14ac:dyDescent="0.25">
      <c r="K1357" s="191" t="s">
        <v>2169</v>
      </c>
    </row>
    <row r="1358" spans="11:11" x14ac:dyDescent="0.25">
      <c r="K1358" s="191" t="s">
        <v>2170</v>
      </c>
    </row>
    <row r="1359" spans="11:11" x14ac:dyDescent="0.25">
      <c r="K1359" s="191" t="s">
        <v>2171</v>
      </c>
    </row>
    <row r="1360" spans="11:11" x14ac:dyDescent="0.25">
      <c r="K1360" s="191" t="s">
        <v>2172</v>
      </c>
    </row>
    <row r="1361" spans="11:11" x14ac:dyDescent="0.25">
      <c r="K1361" s="191" t="s">
        <v>2173</v>
      </c>
    </row>
    <row r="1362" spans="11:11" x14ac:dyDescent="0.25">
      <c r="K1362" s="191" t="s">
        <v>2174</v>
      </c>
    </row>
    <row r="1363" spans="11:11" x14ac:dyDescent="0.25">
      <c r="K1363" s="191" t="s">
        <v>2175</v>
      </c>
    </row>
    <row r="1364" spans="11:11" x14ac:dyDescent="0.25">
      <c r="K1364" s="191" t="s">
        <v>2176</v>
      </c>
    </row>
    <row r="1365" spans="11:11" x14ac:dyDescent="0.25">
      <c r="K1365" s="191" t="s">
        <v>2177</v>
      </c>
    </row>
    <row r="1366" spans="11:11" x14ac:dyDescent="0.25">
      <c r="K1366" s="191" t="s">
        <v>2178</v>
      </c>
    </row>
    <row r="1367" spans="11:11" x14ac:dyDescent="0.25">
      <c r="K1367" s="191" t="s">
        <v>2179</v>
      </c>
    </row>
    <row r="1368" spans="11:11" x14ac:dyDescent="0.25">
      <c r="K1368" s="191" t="s">
        <v>2180</v>
      </c>
    </row>
    <row r="1369" spans="11:11" x14ac:dyDescent="0.25">
      <c r="K1369" s="191" t="s">
        <v>2181</v>
      </c>
    </row>
    <row r="1370" spans="11:11" x14ac:dyDescent="0.25">
      <c r="K1370" s="191" t="s">
        <v>2182</v>
      </c>
    </row>
    <row r="1371" spans="11:11" x14ac:dyDescent="0.25">
      <c r="K1371" s="191" t="s">
        <v>2183</v>
      </c>
    </row>
    <row r="1372" spans="11:11" x14ac:dyDescent="0.25">
      <c r="K1372" s="191" t="s">
        <v>2184</v>
      </c>
    </row>
    <row r="1373" spans="11:11" x14ac:dyDescent="0.25">
      <c r="K1373" s="191" t="s">
        <v>2185</v>
      </c>
    </row>
    <row r="1374" spans="11:11" x14ac:dyDescent="0.25">
      <c r="K1374" s="191" t="s">
        <v>2186</v>
      </c>
    </row>
    <row r="1375" spans="11:11" x14ac:dyDescent="0.25">
      <c r="K1375" s="191" t="s">
        <v>2187</v>
      </c>
    </row>
    <row r="1376" spans="11:11" x14ac:dyDescent="0.25">
      <c r="K1376" s="191" t="s">
        <v>2188</v>
      </c>
    </row>
    <row r="1377" spans="11:11" x14ac:dyDescent="0.25">
      <c r="K1377" s="191" t="s">
        <v>2189</v>
      </c>
    </row>
    <row r="1378" spans="11:11" x14ac:dyDescent="0.25">
      <c r="K1378" s="191" t="s">
        <v>2190</v>
      </c>
    </row>
    <row r="1379" spans="11:11" x14ac:dyDescent="0.25">
      <c r="K1379" s="191" t="s">
        <v>2191</v>
      </c>
    </row>
    <row r="1380" spans="11:11" x14ac:dyDescent="0.25">
      <c r="K1380" s="191" t="s">
        <v>2192</v>
      </c>
    </row>
    <row r="1381" spans="11:11" x14ac:dyDescent="0.25">
      <c r="K1381" s="191" t="s">
        <v>2193</v>
      </c>
    </row>
    <row r="1382" spans="11:11" x14ac:dyDescent="0.25">
      <c r="K1382" s="191" t="s">
        <v>2194</v>
      </c>
    </row>
    <row r="1383" spans="11:11" x14ac:dyDescent="0.25">
      <c r="K1383" s="191" t="s">
        <v>2195</v>
      </c>
    </row>
    <row r="1384" spans="11:11" x14ac:dyDescent="0.25">
      <c r="K1384" s="191" t="s">
        <v>2196</v>
      </c>
    </row>
    <row r="1385" spans="11:11" x14ac:dyDescent="0.25">
      <c r="K1385" s="191" t="s">
        <v>2197</v>
      </c>
    </row>
    <row r="1386" spans="11:11" x14ac:dyDescent="0.25">
      <c r="K1386" s="191" t="s">
        <v>2198</v>
      </c>
    </row>
    <row r="1387" spans="11:11" x14ac:dyDescent="0.25">
      <c r="K1387" s="191" t="s">
        <v>2199</v>
      </c>
    </row>
    <row r="1388" spans="11:11" x14ac:dyDescent="0.25">
      <c r="K1388" s="191" t="s">
        <v>2200</v>
      </c>
    </row>
    <row r="1389" spans="11:11" x14ac:dyDescent="0.25">
      <c r="K1389" s="191" t="s">
        <v>2201</v>
      </c>
    </row>
    <row r="1390" spans="11:11" x14ac:dyDescent="0.25">
      <c r="K1390" s="191" t="s">
        <v>2202</v>
      </c>
    </row>
    <row r="1391" spans="11:11" x14ac:dyDescent="0.25">
      <c r="K1391" s="191" t="s">
        <v>2203</v>
      </c>
    </row>
    <row r="1392" spans="11:11" x14ac:dyDescent="0.25">
      <c r="K1392" s="191" t="s">
        <v>2204</v>
      </c>
    </row>
    <row r="1393" spans="11:11" x14ac:dyDescent="0.25">
      <c r="K1393" s="191" t="s">
        <v>2205</v>
      </c>
    </row>
    <row r="1394" spans="11:11" x14ac:dyDescent="0.25">
      <c r="K1394" s="191" t="s">
        <v>2206</v>
      </c>
    </row>
    <row r="1395" spans="11:11" x14ac:dyDescent="0.25">
      <c r="K1395" s="191" t="s">
        <v>2207</v>
      </c>
    </row>
    <row r="1396" spans="11:11" x14ac:dyDescent="0.25">
      <c r="K1396" s="191" t="s">
        <v>2208</v>
      </c>
    </row>
    <row r="1397" spans="11:11" x14ac:dyDescent="0.25">
      <c r="K1397" s="191" t="s">
        <v>2209</v>
      </c>
    </row>
    <row r="1398" spans="11:11" x14ac:dyDescent="0.25">
      <c r="K1398" s="191" t="s">
        <v>2210</v>
      </c>
    </row>
    <row r="1399" spans="11:11" x14ac:dyDescent="0.25">
      <c r="K1399" s="191" t="s">
        <v>2211</v>
      </c>
    </row>
    <row r="1400" spans="11:11" x14ac:dyDescent="0.25">
      <c r="K1400" s="191" t="s">
        <v>2212</v>
      </c>
    </row>
    <row r="1401" spans="11:11" x14ac:dyDescent="0.25">
      <c r="K1401" s="191" t="s">
        <v>2213</v>
      </c>
    </row>
    <row r="1402" spans="11:11" x14ac:dyDescent="0.25">
      <c r="K1402" s="191" t="s">
        <v>2214</v>
      </c>
    </row>
    <row r="1403" spans="11:11" x14ac:dyDescent="0.25">
      <c r="K1403" s="191" t="s">
        <v>2215</v>
      </c>
    </row>
    <row r="1404" spans="11:11" x14ac:dyDescent="0.25">
      <c r="K1404" s="191" t="s">
        <v>2216</v>
      </c>
    </row>
    <row r="1405" spans="11:11" x14ac:dyDescent="0.25">
      <c r="K1405" s="191" t="s">
        <v>2217</v>
      </c>
    </row>
    <row r="1406" spans="11:11" x14ac:dyDescent="0.25">
      <c r="K1406" s="191" t="s">
        <v>2218</v>
      </c>
    </row>
    <row r="1407" spans="11:11" x14ac:dyDescent="0.25">
      <c r="K1407" s="191" t="s">
        <v>2219</v>
      </c>
    </row>
    <row r="1408" spans="11:11" x14ac:dyDescent="0.25">
      <c r="K1408" s="191" t="s">
        <v>2220</v>
      </c>
    </row>
    <row r="1409" spans="11:11" x14ac:dyDescent="0.25">
      <c r="K1409" s="191" t="s">
        <v>2221</v>
      </c>
    </row>
    <row r="1410" spans="11:11" x14ac:dyDescent="0.25">
      <c r="K1410" s="191" t="s">
        <v>2222</v>
      </c>
    </row>
    <row r="1411" spans="11:11" x14ac:dyDescent="0.25">
      <c r="K1411" s="191" t="s">
        <v>2223</v>
      </c>
    </row>
    <row r="1412" spans="11:11" x14ac:dyDescent="0.25">
      <c r="K1412" s="191" t="s">
        <v>2224</v>
      </c>
    </row>
    <row r="1413" spans="11:11" x14ac:dyDescent="0.25">
      <c r="K1413" s="191" t="s">
        <v>2225</v>
      </c>
    </row>
    <row r="1414" spans="11:11" x14ac:dyDescent="0.25">
      <c r="K1414" s="191" t="s">
        <v>2226</v>
      </c>
    </row>
    <row r="1415" spans="11:11" x14ac:dyDescent="0.25">
      <c r="K1415" s="191" t="s">
        <v>2227</v>
      </c>
    </row>
    <row r="1416" spans="11:11" x14ac:dyDescent="0.25">
      <c r="K1416" s="191" t="s">
        <v>2228</v>
      </c>
    </row>
    <row r="1417" spans="11:11" x14ac:dyDescent="0.25">
      <c r="K1417" s="191" t="s">
        <v>2229</v>
      </c>
    </row>
    <row r="1418" spans="11:11" x14ac:dyDescent="0.25">
      <c r="K1418" s="191" t="s">
        <v>2230</v>
      </c>
    </row>
    <row r="1419" spans="11:11" x14ac:dyDescent="0.25">
      <c r="K1419" s="191" t="s">
        <v>2231</v>
      </c>
    </row>
    <row r="1420" spans="11:11" x14ac:dyDescent="0.25">
      <c r="K1420" s="191" t="s">
        <v>2232</v>
      </c>
    </row>
    <row r="1421" spans="11:11" x14ac:dyDescent="0.25">
      <c r="K1421" s="191" t="s">
        <v>2233</v>
      </c>
    </row>
    <row r="1422" spans="11:11" x14ac:dyDescent="0.25">
      <c r="K1422" s="191" t="s">
        <v>2234</v>
      </c>
    </row>
    <row r="1423" spans="11:11" x14ac:dyDescent="0.25">
      <c r="K1423" s="191" t="s">
        <v>2235</v>
      </c>
    </row>
    <row r="1424" spans="11:11" x14ac:dyDescent="0.25">
      <c r="K1424" s="191" t="s">
        <v>2236</v>
      </c>
    </row>
    <row r="1425" spans="11:11" x14ac:dyDescent="0.25">
      <c r="K1425" s="191" t="s">
        <v>2237</v>
      </c>
    </row>
    <row r="1426" spans="11:11" x14ac:dyDescent="0.25">
      <c r="K1426" s="191" t="s">
        <v>2238</v>
      </c>
    </row>
    <row r="1427" spans="11:11" x14ac:dyDescent="0.25">
      <c r="K1427" s="191" t="s">
        <v>2239</v>
      </c>
    </row>
    <row r="1428" spans="11:11" x14ac:dyDescent="0.25">
      <c r="K1428" s="191" t="s">
        <v>2240</v>
      </c>
    </row>
    <row r="1429" spans="11:11" x14ac:dyDescent="0.25">
      <c r="K1429" s="191" t="s">
        <v>2241</v>
      </c>
    </row>
    <row r="1430" spans="11:11" x14ac:dyDescent="0.25">
      <c r="K1430" s="191" t="s">
        <v>2242</v>
      </c>
    </row>
    <row r="1431" spans="11:11" x14ac:dyDescent="0.25">
      <c r="K1431" s="191" t="s">
        <v>2243</v>
      </c>
    </row>
    <row r="1432" spans="11:11" x14ac:dyDescent="0.25">
      <c r="K1432" s="191" t="s">
        <v>2244</v>
      </c>
    </row>
    <row r="1433" spans="11:11" x14ac:dyDescent="0.25">
      <c r="K1433" s="191" t="s">
        <v>2245</v>
      </c>
    </row>
    <row r="1434" spans="11:11" x14ac:dyDescent="0.25">
      <c r="K1434" s="191" t="s">
        <v>2246</v>
      </c>
    </row>
    <row r="1435" spans="11:11" x14ac:dyDescent="0.25">
      <c r="K1435" s="191" t="s">
        <v>2247</v>
      </c>
    </row>
    <row r="1436" spans="11:11" x14ac:dyDescent="0.25">
      <c r="K1436" s="191" t="s">
        <v>2248</v>
      </c>
    </row>
    <row r="1437" spans="11:11" x14ac:dyDescent="0.25">
      <c r="K1437" s="191" t="s">
        <v>2249</v>
      </c>
    </row>
    <row r="1438" spans="11:11" x14ac:dyDescent="0.25">
      <c r="K1438" s="191" t="s">
        <v>2250</v>
      </c>
    </row>
    <row r="1439" spans="11:11" x14ac:dyDescent="0.25">
      <c r="K1439" s="191" t="s">
        <v>2251</v>
      </c>
    </row>
    <row r="1440" spans="11:11" x14ac:dyDescent="0.25">
      <c r="K1440" s="191" t="s">
        <v>2252</v>
      </c>
    </row>
    <row r="1441" spans="11:11" x14ac:dyDescent="0.25">
      <c r="K1441" s="191" t="s">
        <v>2253</v>
      </c>
    </row>
    <row r="1442" spans="11:11" x14ac:dyDescent="0.25">
      <c r="K1442" s="191" t="s">
        <v>2254</v>
      </c>
    </row>
    <row r="1443" spans="11:11" x14ac:dyDescent="0.25">
      <c r="K1443" s="191" t="s">
        <v>2255</v>
      </c>
    </row>
    <row r="1444" spans="11:11" x14ac:dyDescent="0.25">
      <c r="K1444" s="191" t="s">
        <v>2256</v>
      </c>
    </row>
    <row r="1445" spans="11:11" x14ac:dyDescent="0.25">
      <c r="K1445" s="191" t="s">
        <v>2257</v>
      </c>
    </row>
    <row r="1446" spans="11:11" x14ac:dyDescent="0.25">
      <c r="K1446" s="191" t="s">
        <v>2258</v>
      </c>
    </row>
    <row r="1447" spans="11:11" x14ac:dyDescent="0.25">
      <c r="K1447" s="191" t="s">
        <v>2259</v>
      </c>
    </row>
    <row r="1448" spans="11:11" x14ac:dyDescent="0.25">
      <c r="K1448" s="191" t="s">
        <v>2260</v>
      </c>
    </row>
    <row r="1449" spans="11:11" x14ac:dyDescent="0.25">
      <c r="K1449" s="191" t="s">
        <v>2261</v>
      </c>
    </row>
    <row r="1450" spans="11:11" x14ac:dyDescent="0.25">
      <c r="K1450" s="191" t="s">
        <v>2262</v>
      </c>
    </row>
    <row r="1451" spans="11:11" x14ac:dyDescent="0.25">
      <c r="K1451" s="191" t="s">
        <v>2263</v>
      </c>
    </row>
    <row r="1452" spans="11:11" x14ac:dyDescent="0.25">
      <c r="K1452" s="191" t="s">
        <v>2264</v>
      </c>
    </row>
    <row r="1453" spans="11:11" x14ac:dyDescent="0.25">
      <c r="K1453" s="191" t="s">
        <v>2265</v>
      </c>
    </row>
    <row r="1454" spans="11:11" x14ac:dyDescent="0.25">
      <c r="K1454" s="191" t="s">
        <v>2266</v>
      </c>
    </row>
    <row r="1455" spans="11:11" x14ac:dyDescent="0.25">
      <c r="K1455" s="191" t="s">
        <v>2267</v>
      </c>
    </row>
    <row r="1456" spans="11:11" x14ac:dyDescent="0.25">
      <c r="K1456" s="191" t="s">
        <v>2268</v>
      </c>
    </row>
    <row r="1457" spans="11:11" x14ac:dyDescent="0.25">
      <c r="K1457" s="191" t="s">
        <v>2269</v>
      </c>
    </row>
    <row r="1458" spans="11:11" x14ac:dyDescent="0.25">
      <c r="K1458" s="191" t="s">
        <v>2270</v>
      </c>
    </row>
    <row r="1459" spans="11:11" x14ac:dyDescent="0.25">
      <c r="K1459" s="191" t="s">
        <v>2271</v>
      </c>
    </row>
    <row r="1460" spans="11:11" x14ac:dyDescent="0.25">
      <c r="K1460" s="191" t="s">
        <v>2272</v>
      </c>
    </row>
  </sheetData>
  <mergeCells count="7">
    <mergeCell ref="E8:F8"/>
    <mergeCell ref="H8:I8"/>
    <mergeCell ref="F7:H7"/>
    <mergeCell ref="N3:N4"/>
    <mergeCell ref="N6:O6"/>
    <mergeCell ref="N7:O7"/>
    <mergeCell ref="N8:O8"/>
  </mergeCells>
  <pageMargins left="0.7" right="0.7" top="0.75" bottom="0.75" header="0.3" footer="0.3"/>
  <pageSetup orientation="portrait" r:id="rId1"/>
</worksheet>
</file>

<file path=docMetadata/LabelInfo.xml><?xml version="1.0" encoding="utf-8"?>
<clbl:labelList xmlns:clbl="http://schemas.microsoft.com/office/2020/mipLabelMetadata">
  <clbl:label id="{d026e4c1-5892-497a-b9da-ee493c9f0364}" enabled="0" method="" siteId="{d026e4c1-5892-497a-b9da-ee493c9f03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Q1 Thematic Summary</vt:lpstr>
      <vt:lpstr>Core Summary</vt:lpstr>
      <vt:lpstr>Core</vt:lpstr>
      <vt:lpstr>Impact</vt:lpstr>
      <vt:lpstr>Differential + New Inputs</vt:lpstr>
      <vt:lpstr>Booster</vt:lpstr>
      <vt:lpstr>Ideas</vt:lpstr>
      <vt:lpstr>MMT Integration</vt:lpstr>
      <vt:lpstr>Targeting</vt:lpstr>
      <vt:lpstr>Audience Sizing</vt:lpstr>
      <vt:lpstr>Cities List</vt:lpstr>
      <vt:lpstr>Genre Selection</vt:lpstr>
      <vt:lpstr>Platform Selection</vt:lpstr>
      <vt:lpstr>CTV 30sec 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Nikhil</dc:creator>
  <cp:keywords/>
  <dc:description/>
  <cp:lastModifiedBy>Aggarwal, Ishank (BLR-INA)</cp:lastModifiedBy>
  <cp:revision/>
  <cp:lastPrinted>2024-04-03T10:19:09Z</cp:lastPrinted>
  <dcterms:created xsi:type="dcterms:W3CDTF">2024-02-15T19:47:08Z</dcterms:created>
  <dcterms:modified xsi:type="dcterms:W3CDTF">2024-06-21T12:33:39Z</dcterms:modified>
  <cp:category/>
  <cp:contentStatus/>
</cp:coreProperties>
</file>